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codeName="ThisWorkbook" defaultThemeVersion="166925"/>
  <mc:AlternateContent xmlns:mc="http://schemas.openxmlformats.org/markup-compatibility/2006">
    <mc:Choice Requires="x15">
      <x15ac:absPath xmlns:x15ac="http://schemas.microsoft.com/office/spreadsheetml/2010/11/ac" url="/Users/cahillc/Library/CloudStorage/Box-Box/Planning and Preparation Workbook/9.1.x/"/>
    </mc:Choice>
  </mc:AlternateContent>
  <xr:revisionPtr revIDLastSave="0" documentId="13_ncr:1_{9A6A762E-9B7B-3C45-A9B9-5DAC1993B142}" xr6:coauthVersionLast="47" xr6:coauthVersionMax="47" xr10:uidLastSave="{00000000-0000-0000-0000-000000000000}"/>
  <workbookProtection workbookAlgorithmName="SHA-512" workbookHashValue="4NYfjELmKykdleSHauaGS1w9i5BkwKftJiFOchumC5Xqwb11JvV3/KSJbESRAhoWvzxyVfmQPy0syspgo3qvQg==" workbookSaltValue="s2ijdyFdrL1UaUDm+y+iTg==" workbookSpinCount="100000" lockStructure="1"/>
  <bookViews>
    <workbookView xWindow="41120" yWindow="600" windowWidth="68800" windowHeight="28200" activeTab="1" xr2:uid="{98612615-D5B3-EF47-AF34-679F20CCC578}"/>
  </bookViews>
  <sheets>
    <sheet name="Prerequisite Checklist" sheetId="35" r:id="rId1"/>
    <sheet name="VCF &amp; VVF Planning" sheetId="106" r:id="rId2"/>
    <sheet name="Management Domain Sizing" sheetId="54" r:id="rId3"/>
    <sheet name="Static Reference Tables" sheetId="56" state="hidden" r:id="rId4"/>
    <sheet name="Deploy Management Domain" sheetId="62" r:id="rId5"/>
    <sheet name="Configure Management Domain" sheetId="108" r:id="rId6"/>
    <sheet name="Deploy Fleet Management Day-N" sheetId="118" r:id="rId7"/>
    <sheet name="Deploy Workload Domain" sheetId="65" r:id="rId8"/>
    <sheet name="Configure Workload Domain" sheetId="109" r:id="rId9"/>
    <sheet name="Deploy Cluster" sheetId="115" r:id="rId10"/>
    <sheet name="Change Control" sheetId="126" state="hidden" r:id="rId11"/>
    <sheet name="Arkham" sheetId="123" state="hidden" r:id="rId12"/>
    <sheet name="Value Reference Tables - MR" sheetId="87" state="hidden" r:id="rId13"/>
    <sheet name="Value Reference Tables" sheetId="63" state="hidden" r:id="rId14"/>
    <sheet name="Dumping Ground" sheetId="120" state="hidden" r:id="rId15"/>
    <sheet name="Additional Racks" sheetId="117" r:id="rId16"/>
    <sheet name="Site Protection &amp; DR" sheetId="75" state="hidden" r:id="rId17"/>
    <sheet name="Cyber Recovery" sheetId="127" r:id="rId18"/>
    <sheet name="On-Premises Ransomware Recovery" sheetId="119" state="hidden" r:id="rId19"/>
    <sheet name="Management Domain As Built" sheetId="113" r:id="rId20"/>
    <sheet name="Workload Domain As Built" sheetId="116" r:id="rId21"/>
    <sheet name="Public Reference Sheet" sheetId="112" state="hidden" r:id="rId22"/>
    <sheet name="Version History" sheetId="122" r:id="rId23"/>
    <sheet name="Private AI Ready Infrastructure" sheetId="95" state="hidden" r:id="rId24"/>
    <sheet name="Cloud-Based Ransomware Recovery" sheetId="86" state="hidden" r:id="rId25"/>
    <sheet name="Cross Cloud Mobility" sheetId="85" state="hidden" r:id="rId26"/>
    <sheet name="Active Directory Inputs" sheetId="34" state="hidden" r:id="rId27"/>
  </sheets>
  <definedNames>
    <definedName name="Additional_Instance">'Static Reference Tables'!$H$11:$H$13</definedName>
    <definedName name="administrator_vsphere_local_password">'Value Reference Tables'!$L$14</definedName>
    <definedName name="air_GPU_network_operator_namespace">'Value Reference Tables'!$U$43</definedName>
    <definedName name="air_GPU_operator_namespace">'Value Reference Tables'!$U$42</definedName>
    <definedName name="air_GPU_VM_class">'Value Reference Tables'!$U$41</definedName>
    <definedName name="air_license">'Value Reference Tables'!$U$40</definedName>
    <definedName name="asn_instance">'Value Reference Tables - MR'!$AH$18</definedName>
    <definedName name="asn_mgmt_az1">'Value Reference Tables - MR'!$AH$19</definedName>
    <definedName name="asn_mgmt_az2">'Value Reference Tables - MR'!$AH$20</definedName>
    <definedName name="asn_start">'Value Reference Tables - MR'!$AH$17</definedName>
    <definedName name="asn_wld_az1">'Value Reference Tables - MR'!$AH$21</definedName>
    <definedName name="asn_wld_az2">'Value Reference Tables - MR'!$AH$22</definedName>
    <definedName name="avilb_root_password">'Value Reference Tables'!$L$32</definedName>
    <definedName name="aws_regions">'Static Reference Tables'!$B$398:$B$425</definedName>
    <definedName name="ca_administrator_password">'Value Reference Tables'!$L$31</definedName>
    <definedName name="ca_administrator_username">'Value Reference Tables'!$L$8</definedName>
    <definedName name="ca_algorithm">'Value Reference Tables'!$O$39</definedName>
    <definedName name="ca_country">'Value Reference Tables'!$O$38</definedName>
    <definedName name="ca_email_address">'Value Reference Tables'!$O$41</definedName>
    <definedName name="ca_key_size">'Value Reference Tables'!$O$40</definedName>
    <definedName name="ca_locality">'Value Reference Tables'!$O$42</definedName>
    <definedName name="ca_organization">'Value Reference Tables'!$O$43</definedName>
    <definedName name="ca_organization_unit">'Value Reference Tables'!$O$44</definedName>
    <definedName name="ca_state">'Value Reference Tables'!$O$45</definedName>
    <definedName name="ca_template_name">'Value Reference Tables'!$O$37</definedName>
    <definedName name="calculated_mgmt_host_count">'Management Domain Sizing'!$R$8</definedName>
    <definedName name="cbr_aria_logs_key">'Value Reference Tables'!$U$149</definedName>
    <definedName name="cbr_aria_logs_url">'Value Reference Tables'!$U$148</definedName>
    <definedName name="cbr_firewall_rule_vcenter">'Value Reference Tables'!$U$134</definedName>
    <definedName name="cbr_recovery_host_count">'Value Reference Tables'!$U$130</definedName>
    <definedName name="cbr_recovery_host_type">'Value Reference Tables'!$U$129</definedName>
    <definedName name="cbr_recovery_management_subnet">'Value Reference Tables'!$U$133</definedName>
    <definedName name="cbr_recovery_region">'Value Reference Tables'!$U$128</definedName>
    <definedName name="cbr_recovery_sddc_name">'Value Reference Tables'!$U$127</definedName>
    <definedName name="cbr_recovery_subnet">'Value Reference Tables'!$U$132</definedName>
    <definedName name="cbr_recovery_vpc">'Value Reference Tables'!$U$131</definedName>
    <definedName name="cbr_vcdr_anti_affinity">'Value Reference Tables'!$U$145</definedName>
    <definedName name="cbr_vcdr_cdp1_hostname">'Value Reference Tables'!$U$137</definedName>
    <definedName name="cbr_vcdr_cdp1_ip">'Value Reference Tables'!$U$138</definedName>
    <definedName name="cbr_vcdr_cdp2_hostname">'Value Reference Tables'!$U$139</definedName>
    <definedName name="cbr_vcdr_cdp2_ip">'Value Reference Tables'!$U$140</definedName>
    <definedName name="cbr_vcdr_email_recipient">'Value Reference Tables'!$U$146</definedName>
    <definedName name="cbr_vcdr_email_sender">'Value Reference Tables'!$U$147</definedName>
    <definedName name="cbr_vcdr_label">'Value Reference Tables'!$U$144</definedName>
    <definedName name="cbr_vcdr_orchestrator_fqdn">'Value Reference Tables'!$U$142</definedName>
    <definedName name="cbr_vcdr_ova">'Value Reference Tables'!$U$141</definedName>
    <definedName name="cbr_vcdr_passcode">'Value Reference Tables'!$U$143</definedName>
    <definedName name="cbr_vcdr_site_name">'Value Reference Tables'!$U$135</definedName>
    <definedName name="cbr_vcdr_timezone">'Value Reference Tables'!$U$136</definedName>
    <definedName name="cbr_vcdr_vsphere_role">'Value Reference Tables'!$U$123</definedName>
    <definedName name="cbr_vm_folder">'Value Reference Tables'!$U$126</definedName>
    <definedName name="ccm_aws_admin_password">'Value Reference Tables'!$U$180</definedName>
    <definedName name="ccm_aws_admin_ssouser">'Value Reference Tables'!$U$179</definedName>
    <definedName name="ccm_aws_host_count">'Value Reference Tables'!$U$164</definedName>
    <definedName name="ccm_aws_host_type">'Value Reference Tables'!$U$163</definedName>
    <definedName name="ccm_aws_management_subnet">'Value Reference Tables'!$U$167</definedName>
    <definedName name="ccm_aws_region">'Value Reference Tables'!$U$162</definedName>
    <definedName name="ccm_aws_sddc_name">'Value Reference Tables'!$U$161</definedName>
    <definedName name="ccm_aws_subnet">'Value Reference Tables'!$U$166</definedName>
    <definedName name="ccm_aws_vpc">'Value Reference Tables'!$U$165</definedName>
    <definedName name="ccm_firewall_group">'Value Reference Tables'!$U$170</definedName>
    <definedName name="ccm_firewall_ip_addresses">'Value Reference Tables'!$U$171</definedName>
    <definedName name="ccm_firewall_rule_hcx">'Value Reference Tables'!$U$169</definedName>
    <definedName name="ccm_firewall_rule_vcenter">'Value Reference Tables'!$U$168</definedName>
    <definedName name="ccm_hcx_admin_password">'Value Reference Tables'!$U$175</definedName>
    <definedName name="ccm_hcx_cdp_hostname">'Value Reference Tables'!$U$174</definedName>
    <definedName name="ccm_hcx_cdp_ip">'Value Reference Tables'!$U$177</definedName>
    <definedName name="ccm_hcx_compute_profile">'Value Reference Tables'!$U$183</definedName>
    <definedName name="ccm_hcx_dc_location">'Value Reference Tables'!$U$173</definedName>
    <definedName name="ccm_hcx_license">'Value Reference Tables'!$U$172</definedName>
    <definedName name="ccm_hcx_mgmt_network_ip_range">'Value Reference Tables'!$U$181</definedName>
    <definedName name="ccm_hcx_nsx_svc_password">'Value Reference Tables'!$U$160</definedName>
    <definedName name="ccm_hcx_nsx_svc_user">'Value Reference Tables'!$U$159</definedName>
    <definedName name="ccm_hcx_remote_url">'Value Reference Tables'!$U$178</definedName>
    <definedName name="ccm_hcx_resource_pool">'Value Reference Tables'!$U$158</definedName>
    <definedName name="ccm_hcx_root_password">'Value Reference Tables'!$U$176</definedName>
    <definedName name="ccm_hcx_service_mesh">'Value Reference Tables'!$U$184</definedName>
    <definedName name="ccm_hcx_vm_folder">'Value Reference Tables'!$U$157</definedName>
    <definedName name="ccm_hcx_vmotion_network_ip_range">'Value Reference Tables'!$U$182</definedName>
    <definedName name="ccm_hcx_vsphere_role">'Value Reference Tables'!$U$153</definedName>
    <definedName name="ccm_hcx_vsphere_svc_password">'Value Reference Tables'!$U$155</definedName>
    <definedName name="ccm_hcx_vsphere_svc_user">'Value Reference Tables'!$U$154</definedName>
    <definedName name="ccm_vm_folder">'Value Reference Tables'!$U$156</definedName>
    <definedName name="certificate_authority_fqdn">'Value Reference Tables'!$L$58</definedName>
    <definedName name="certificate_authority_model">'Value Reference Tables'!$O$9</definedName>
    <definedName name="certificate_authority_name">'Value Reference Tables'!$L$59</definedName>
    <definedName name="change_control_new">'Change Control'!$B$2:$B$100</definedName>
    <definedName name="change_control_old">'Change Control'!$C$2:$C$100</definedName>
    <definedName name="child_ad_groups_ou">'Value Reference Tables'!$L$83</definedName>
    <definedName name="child_ad_users_ou">'Value Reference Tables'!$L$88</definedName>
    <definedName name="child_dns_zone">'Value Reference Tables'!$L$67</definedName>
    <definedName name="child_svc_nsx_ad_password">'Value Reference Tables'!$L$112</definedName>
    <definedName name="child_svc_nsx_ad_user">'Value Reference Tables'!$L$127</definedName>
    <definedName name="child_svc_vsphere_ad_password">'Value Reference Tables'!$L$111</definedName>
    <definedName name="child_svc_vsphere_ad_user">'Value Reference Tables'!$L$126</definedName>
    <definedName name="cluster_az1_host_fqdns">'Value Reference Tables'!$I$75:$I$90</definedName>
    <definedName name="cluster_az1_host_mgmt_ips">'Value Reference Tables'!$I$57:$I$72</definedName>
    <definedName name="cluster_az1_host_overlay_cidr">'Value Reference Tables'!$I$160</definedName>
    <definedName name="cluster_az1_host_overlay_gateway_ip">'Value Reference Tables'!$I$163</definedName>
    <definedName name="cluster_az1_host_overlay_network_pool_description">'Value Reference Tables'!$I$159</definedName>
    <definedName name="cluster_az1_host_overlay_network_pool_name">'Value Reference Tables'!$I$158</definedName>
    <definedName name="cluster_az1_host_overlay_network_profile_name">'Value Reference Tables'!$I$108</definedName>
    <definedName name="cluster_az1_host_overlay_new_pool_chosen">'Deploy Cluster'!$D$245</definedName>
    <definedName name="cluster_az1_host_overlay_pool_end_ip">'Value Reference Tables'!$I$162</definedName>
    <definedName name="cluster_az1_host_overlay_pool_start_ip">'Value Reference Tables'!$I$161</definedName>
    <definedName name="cluster_az1_host_overlay_transport_zone">'Value Reference Tables'!$I$154</definedName>
    <definedName name="cluster_az1_host_overlay_uplink_profile_name">'Value Reference Tables'!$I$168</definedName>
    <definedName name="cluster_az1_host_overlay_vlan">'Value Reference Tables'!$I$155</definedName>
    <definedName name="cluster_az1_host1_fqdn">'Value Reference Tables'!$I$75</definedName>
    <definedName name="cluster_az1_host1_mgmt_ip">'Value Reference Tables'!$I$57</definedName>
    <definedName name="cluster_az1_host10_fqdn">'Value Reference Tables'!$I$84</definedName>
    <definedName name="cluster_az1_host10_mgmt_ip">'Value Reference Tables'!$I$66</definedName>
    <definedName name="cluster_az1_host11_fqdn">'Value Reference Tables'!$I$85</definedName>
    <definedName name="cluster_az1_host11_mgmt_ip">'Value Reference Tables'!$I$67</definedName>
    <definedName name="cluster_az1_host12_fqdn">'Value Reference Tables'!$I$86</definedName>
    <definedName name="cluster_az1_host12_mgmt_ip">'Value Reference Tables'!$I$68</definedName>
    <definedName name="cluster_az1_host13_fqdn">'Value Reference Tables'!$I$87</definedName>
    <definedName name="cluster_az1_host13_mgmt_ip">'Value Reference Tables'!$I$69</definedName>
    <definedName name="cluster_az1_host14_fqdn">'Value Reference Tables'!$I$88</definedName>
    <definedName name="cluster_az1_host14_mgmt_ip">'Value Reference Tables'!$I$70</definedName>
    <definedName name="cluster_az1_host15_fqdn">'Value Reference Tables'!$I$89</definedName>
    <definedName name="cluster_az1_host15_mgmt_ip">'Value Reference Tables'!$I$71</definedName>
    <definedName name="cluster_az1_host16_fqdn">'Value Reference Tables'!$I$90</definedName>
    <definedName name="cluster_az1_host16_mgmt_ip">'Value Reference Tables'!$I$72</definedName>
    <definedName name="cluster_az1_host2_fqdn">'Value Reference Tables'!$I$76</definedName>
    <definedName name="cluster_az1_host2_mgmt_ip">'Value Reference Tables'!$I$58</definedName>
    <definedName name="cluster_az1_host3_fqdn">'Value Reference Tables'!$I$77</definedName>
    <definedName name="cluster_az1_host3_mgmt_ip">'Value Reference Tables'!$I$59</definedName>
    <definedName name="cluster_az1_host4_fqdn">'Value Reference Tables'!$I$78</definedName>
    <definedName name="cluster_az1_host4_mgmt_ip">'Value Reference Tables'!$I$60</definedName>
    <definedName name="cluster_az1_host5_fqdn">'Value Reference Tables'!$I$79</definedName>
    <definedName name="cluster_az1_host5_mgmt_ip">'Value Reference Tables'!$I$61</definedName>
    <definedName name="cluster_az1_host6_fqdn">'Value Reference Tables'!$I$80</definedName>
    <definedName name="cluster_az1_host6_mgmt_ip">'Value Reference Tables'!$I$62</definedName>
    <definedName name="cluster_az1_host7_fqdn">'Value Reference Tables'!$I$81</definedName>
    <definedName name="cluster_az1_host7_mgmt_ip">'Value Reference Tables'!$I$63</definedName>
    <definedName name="cluster_az1_host8_fqdn">'Value Reference Tables'!$I$82</definedName>
    <definedName name="cluster_az1_host8_mgmt_ip">'Value Reference Tables'!$I$64</definedName>
    <definedName name="cluster_az1_host9_fqdn">'Value Reference Tables'!$I$83</definedName>
    <definedName name="cluster_az1_host9_mgmt_ip">'Value Reference Tables'!$I$65</definedName>
    <definedName name="cluster_az1_mgmt_cidr">'Value Reference Tables'!$I$14</definedName>
    <definedName name="cluster_az1_mgmt_gateway_ip">'Value Reference Tables'!$I$13</definedName>
    <definedName name="cluster_az1_mgmt_lbt_chosen">'Deploy Cluster'!$D$213</definedName>
    <definedName name="cluster_az1_mgmt_mtu">'Value Reference Tables'!$I$15</definedName>
    <definedName name="cluster_az1_mgmt_pg">'Value Reference Tables'!$I$126</definedName>
    <definedName name="cluster_az1_mgmt_uplink1_chosen">'Deploy Cluster'!$D$214</definedName>
    <definedName name="cluster_az1_mgmt_uplink2_chosen">'Deploy Cluster'!$D$215</definedName>
    <definedName name="cluster_az1_mgmt_vlan">'Value Reference Tables'!$I$12</definedName>
    <definedName name="cluster_az1_mgmt_vm_lbt_chosen">'Deploy Cluster'!$D$218</definedName>
    <definedName name="cluster_az1_mgmt_vm_pg">'Value Reference Tables'!$I$131</definedName>
    <definedName name="cluster_az1_mgmt_vm_uplink1_chosen">'Deploy Cluster'!$D$219</definedName>
    <definedName name="cluster_az1_mgmt_vm_uplink2_chosen">'Deploy Cluster'!$D$220</definedName>
    <definedName name="cluster_az1_nsx_lbt_chosen">'Deploy Cluster'!$D$259</definedName>
    <definedName name="cluster_az1_nsx_uplink_count">'Value Reference Tables'!$I$165</definedName>
    <definedName name="cluster_az1_nsx_uplink1">'Value Reference Tables'!$I$166</definedName>
    <definedName name="cluster_az1_nsx_uplink1_active">'Value Reference Tables'!$I$170</definedName>
    <definedName name="cluster_az1_nsx_uplink2">'Value Reference Tables'!$I$167</definedName>
    <definedName name="cluster_az1_nsx_uplink2_active">'Value Reference Tables'!$I$171</definedName>
    <definedName name="cluster_az1_pool_name">'Value Reference Tables'!$I$73</definedName>
    <definedName name="cluster_az1_principal_storage_cidr">'Value Reference Tables'!$I$31</definedName>
    <definedName name="cluster_az1_principal_storage_gateway_cidr">'Value Reference Tables'!$I$33</definedName>
    <definedName name="cluster_az1_principal_storage_gateway_ip">'Value Reference Tables'!$I$32</definedName>
    <definedName name="cluster_az1_principal_storage_ip_assignment_chosen">'Deploy Cluster'!$D$64</definedName>
    <definedName name="cluster_az1_principal_storage_ip_scheme_chosen">'Deploy Cluster'!$D$61</definedName>
    <definedName name="cluster_az1_principal_storage_lbt_chosen">'Deploy Cluster'!$D$228</definedName>
    <definedName name="cluster_az1_principal_storage_mask">'Value Reference Tables'!$I$30</definedName>
    <definedName name="cluster_az1_principal_storage_mtu">'Value Reference Tables'!$I$28</definedName>
    <definedName name="cluster_az1_principal_storage_network">'Value Reference Tables'!$I$29</definedName>
    <definedName name="cluster_az1_principal_storage_pg">'Value Reference Tables'!$I$141</definedName>
    <definedName name="cluster_az1_principal_storage_pool_end_ip">'Value Reference Tables'!$I$35</definedName>
    <definedName name="cluster_az1_principal_storage_pool_start_ip">'Value Reference Tables'!$I$34</definedName>
    <definedName name="cluster_az1_principal_storage_uplink1_chosen">'Deploy Cluster'!$D$229</definedName>
    <definedName name="cluster_az1_principal_storage_uplink2_chosen">'Deploy Cluster'!$D$230</definedName>
    <definedName name="cluster_az1_principal_storage_vlan">'Value Reference Tables'!$I$27</definedName>
    <definedName name="cluster_az1_reuse_vcf_networkpool_chosen">'Deploy Cluster'!$B$13</definedName>
    <definedName name="cluster_az1_reuse_vcf_networkpool_result">'Deploy Cluster'!$D$13</definedName>
    <definedName name="cluster_az1_secondary_storage_cidr">'Value Reference Tables'!$I$41</definedName>
    <definedName name="cluster_az1_secondary_storage_gateway_cidr">'Value Reference Tables'!$I$43</definedName>
    <definedName name="cluster_az1_secondary_storage_gateway_ip">'Value Reference Tables'!$I$42</definedName>
    <definedName name="cluster_az1_secondary_storage_ip_assignment_chosen">'Deploy Cluster'!$D$75</definedName>
    <definedName name="cluster_az1_secondary_storage_ip_scheme_chosen">'Deploy Cluster'!$D$72</definedName>
    <definedName name="cluster_az1_secondary_storage_mask">'Value Reference Tables'!$I$40</definedName>
    <definedName name="cluster_az1_secondary_storage_mtu">'Value Reference Tables'!$I$38</definedName>
    <definedName name="cluster_az1_secondary_storage_network">'Value Reference Tables'!$I$39</definedName>
    <definedName name="cluster_az1_secondary_storage_pool_end_ip">'Value Reference Tables'!$I$45</definedName>
    <definedName name="cluster_az1_secondary_storage_pool_start_ip">'Value Reference Tables'!$I$44</definedName>
    <definedName name="cluster_az1_secondary_storage_vlan">'Value Reference Tables'!$I$37</definedName>
    <definedName name="cluster_az1_storage_cluster_cidr">'Value Reference Tables'!$I$51</definedName>
    <definedName name="cluster_az1_storage_cluster_gateway_cidr">'Value Reference Tables'!$I$53</definedName>
    <definedName name="cluster_az1_storage_cluster_gateway_ip">'Value Reference Tables'!$I$52</definedName>
    <definedName name="cluster_az1_storage_cluster_ip_assignment_chosen">'Deploy Cluster'!$D$86</definedName>
    <definedName name="cluster_az1_storage_cluster_ip_scheme_chosen">'Deploy Cluster'!$D$83</definedName>
    <definedName name="cluster_az1_storage_cluster_mask">'Value Reference Tables'!$I$50</definedName>
    <definedName name="cluster_az1_storage_cluster_mtu">'Value Reference Tables'!$I$48</definedName>
    <definedName name="cluster_az1_storage_cluster_network">'Value Reference Tables'!$I$49</definedName>
    <definedName name="cluster_az1_storage_cluster_pool_end_ip">'Value Reference Tables'!$I$55</definedName>
    <definedName name="cluster_az1_storage_cluster_pool_start_ip">'Value Reference Tables'!$I$54</definedName>
    <definedName name="cluster_az1_storage_cluster_vlan">'Value Reference Tables'!$I$47</definedName>
    <definedName name="cluster_az1_vmotion_cidr">'Value Reference Tables'!$I$21</definedName>
    <definedName name="cluster_az1_vmotion_gateway_cidr">'Value Reference Tables'!$I$23</definedName>
    <definedName name="cluster_az1_vmotion_gateway_ip">'Value Reference Tables'!$I$22</definedName>
    <definedName name="cluster_az1_vmotion_ip_assignment_chosen">'Deploy Cluster'!$D$53</definedName>
    <definedName name="cluster_az1_vmotion_ip_scheme_chosen">'Deploy Cluster'!$D$50</definedName>
    <definedName name="cluster_az1_vmotion_lbt_chosen">'Deploy Cluster'!$D$223</definedName>
    <definedName name="cluster_az1_vmotion_mask">'Value Reference Tables'!$I$20</definedName>
    <definedName name="cluster_az1_vmotion_mtu">'Value Reference Tables'!$I$18</definedName>
    <definedName name="cluster_az1_vmotion_network">'Value Reference Tables'!$I$19</definedName>
    <definedName name="cluster_az1_vmotion_pg">'Value Reference Tables'!$I$136</definedName>
    <definedName name="cluster_az1_vmotion_pool_end_ip">'Value Reference Tables'!$I$25</definedName>
    <definedName name="cluster_az1_vmotion_pool_start_ip">'Value Reference Tables'!$I$24</definedName>
    <definedName name="cluster_az1_vmotion_uplink1_chosen">'Deploy Cluster'!$D$224</definedName>
    <definedName name="cluster_az1_vmotion_uplink2_chosen">'Deploy Cluster'!$D$225</definedName>
    <definedName name="cluster_az1_vmotion_vlan">'Value Reference Tables'!$I$17</definedName>
    <definedName name="cluster_az1_vsan_storage_client_lbt_chosen">'Deploy Cluster'!$D$233</definedName>
    <definedName name="cluster_az1_vsan_storage_client_pg">'Value Reference Tables'!$I$146</definedName>
    <definedName name="cluster_az1_vsan_storage_client_uplink1">'Deploy Cluster'!$D$234</definedName>
    <definedName name="cluster_az1_vsan_storage_client_uplink2">'Deploy Cluster'!$D$235</definedName>
    <definedName name="cluster_az2_host_fqdns">'Value Reference Tables'!$I$289:$I$304</definedName>
    <definedName name="cluster_az2_host_mgmt_ips">'Value Reference Tables'!$I$202:$I$217</definedName>
    <definedName name="cluster_az2_host_overlay_cidr">'Value Reference Tables'!$I$283</definedName>
    <definedName name="cluster_az2_host_overlay_gateway_ip">'Value Reference Tables'!$I$284</definedName>
    <definedName name="cluster_az2_host_overlay_network_pool_name">'Value Reference Tables'!$I$280</definedName>
    <definedName name="cluster_az2_host_overlay_network_profile_name">'Value Reference Tables'!$I$279</definedName>
    <definedName name="cluster_az2_host_overlay_new_pool_chosen">'Deploy Cluster'!$D$418</definedName>
    <definedName name="cluster_az2_host_overlay_pool_end_ip">'Value Reference Tables'!$I$286</definedName>
    <definedName name="cluster_az2_host_overlay_pool_start_ip">'Value Reference Tables'!$I$285</definedName>
    <definedName name="cluster_az2_host_overlay_uplink_profile_name">'Value Reference Tables'!$I$281</definedName>
    <definedName name="cluster_az2_host_overlay_vlan">'Value Reference Tables'!$I$282</definedName>
    <definedName name="cluster_az2_host1_fqdn">'Value Reference Tables'!$I$289</definedName>
    <definedName name="cluster_az2_host1_mgmt_ip">'Value Reference Tables'!$I$202</definedName>
    <definedName name="cluster_az2_host10_fqdn">'Value Reference Tables'!$I$298</definedName>
    <definedName name="cluster_az2_host10_mgmt_ip">'Value Reference Tables'!$I$211</definedName>
    <definedName name="cluster_az2_host11_fqdn">'Value Reference Tables'!$I$299</definedName>
    <definedName name="cluster_az2_host11_mgmt_ip">'Value Reference Tables'!$I$212</definedName>
    <definedName name="cluster_az2_host12_fqdn">'Value Reference Tables'!$I$300</definedName>
    <definedName name="cluster_az2_host12_mgmt_ip">'Value Reference Tables'!$I$213</definedName>
    <definedName name="cluster_az2_host13_fqdn">'Value Reference Tables'!$I$301</definedName>
    <definedName name="cluster_az2_host13_mgmt_ip">'Value Reference Tables'!$I$214</definedName>
    <definedName name="cluster_az2_host14_fqdn">'Value Reference Tables'!$I$302</definedName>
    <definedName name="cluster_az2_host14_mgmt_ip">'Value Reference Tables'!$I$215</definedName>
    <definedName name="cluster_az2_host15_fqdn">'Value Reference Tables'!$I$303</definedName>
    <definedName name="cluster_az2_host15_mgmt_ip">'Value Reference Tables'!$I$216</definedName>
    <definedName name="cluster_az2_host16_fqdn">'Value Reference Tables'!$I$304</definedName>
    <definedName name="cluster_az2_host16_mgmt_ip">'Value Reference Tables'!$I$217</definedName>
    <definedName name="cluster_az2_host2_fqdn">'Value Reference Tables'!$I$290</definedName>
    <definedName name="cluster_az2_host2_mgmt_ip">'Value Reference Tables'!$I$203</definedName>
    <definedName name="cluster_az2_host3_fqdn">'Value Reference Tables'!$I$291</definedName>
    <definedName name="cluster_az2_host3_mgmt_ip">'Value Reference Tables'!$I$204</definedName>
    <definedName name="cluster_az2_host4_fqdn">'Value Reference Tables'!$I$292</definedName>
    <definedName name="cluster_az2_host4_mgmt_ip">'Value Reference Tables'!$I$205</definedName>
    <definedName name="cluster_az2_host5_fqdn">'Value Reference Tables'!$I$293</definedName>
    <definedName name="cluster_az2_host5_mgmt_ip">'Value Reference Tables'!$I$206</definedName>
    <definedName name="cluster_az2_host6_fqdn">'Value Reference Tables'!$I$294</definedName>
    <definedName name="cluster_az2_host6_mgmt_ip">'Value Reference Tables'!$I$207</definedName>
    <definedName name="cluster_az2_host7_fqdn">'Value Reference Tables'!$I$295</definedName>
    <definedName name="cluster_az2_host7_mgmt_ip">'Value Reference Tables'!$I$208</definedName>
    <definedName name="cluster_az2_host8_fqdn">'Value Reference Tables'!$I$296</definedName>
    <definedName name="cluster_az2_host8_mgmt_ip">'Value Reference Tables'!$I$209</definedName>
    <definedName name="cluster_az2_host9_fqdn">'Value Reference Tables'!$I$297</definedName>
    <definedName name="cluster_az2_host9_mgmt_ip">'Value Reference Tables'!$I$210</definedName>
    <definedName name="cluster_az2_mgmt_cidr">'Value Reference Tables'!$I$200</definedName>
    <definedName name="cluster_az2_mgmt_gateway_ip">'Value Reference Tables'!$I$199</definedName>
    <definedName name="cluster_az2_mgmt_mtu">'Value Reference Tables'!$I$201</definedName>
    <definedName name="cluster_az2_mgmt_vlan">'Value Reference Tables'!$I$198</definedName>
    <definedName name="cluster_az2_pool_name">'Value Reference Tables'!$I$218</definedName>
    <definedName name="cluster_az2_principal_storage_cidr">'Value Reference Tables'!$I$233</definedName>
    <definedName name="cluster_az2_principal_storage_gateway_ip">'Value Reference Tables'!$I$234</definedName>
    <definedName name="cluster_az2_principal_storage_mask">'Value Reference Tables'!$I$232</definedName>
    <definedName name="cluster_az2_principal_storage_mtu">'Value Reference Tables'!$I$230</definedName>
    <definedName name="cluster_az2_principal_storage_network">'Value Reference Tables'!$I$231</definedName>
    <definedName name="cluster_az2_principal_storage_pool_end_ip">'Value Reference Tables'!$I$236</definedName>
    <definedName name="cluster_az2_principal_storage_pool_start_ip">'Value Reference Tables'!$I$235</definedName>
    <definedName name="cluster_az2_principal_storage_vlan">'Value Reference Tables'!$I$229</definedName>
    <definedName name="cluster_az2_reuse_vcf_networkpool_chosen">'Deploy Cluster'!$D$292</definedName>
    <definedName name="cluster_az2_secondary_storage_gateway_ip">'Value Reference Tables'!$I$242</definedName>
    <definedName name="cluster_az2_secondary_storage_mask">'Value Reference Tables'!$I$241</definedName>
    <definedName name="cluster_az2_secondary_storage_mtu">'Value Reference Tables'!$I$239</definedName>
    <definedName name="cluster_az2_secondary_storage_network">'Value Reference Tables'!$I$240</definedName>
    <definedName name="cluster_az2_secondary_storage_pool_end_ip">'Value Reference Tables'!$I$244</definedName>
    <definedName name="cluster_az2_secondary_storage_pool_start_ip">'Value Reference Tables'!$I$243</definedName>
    <definedName name="cluster_az2_secondary_storage_vlan">'Value Reference Tables'!$I$238</definedName>
    <definedName name="cluster_az2_storage_cluster_cidr">'Value Reference Tables'!$I$250</definedName>
    <definedName name="cluster_az2_storage_cluster_gateway_ip">'Value Reference Tables'!$I$251</definedName>
    <definedName name="cluster_az2_storage_cluster_mask">'Value Reference Tables'!$I$249</definedName>
    <definedName name="cluster_az2_storage_cluster_mtu">'Value Reference Tables'!$I$247</definedName>
    <definedName name="cluster_az2_storage_cluster_network">'Value Reference Tables'!$I$248</definedName>
    <definedName name="cluster_az2_storage_cluster_pool_end_ip">'Value Reference Tables'!$I$253</definedName>
    <definedName name="cluster_az2_storage_cluster_pool_start_ip">'Value Reference Tables'!$I$252</definedName>
    <definedName name="cluster_az2_storage_cluster_vlan">'Value Reference Tables'!$I$246</definedName>
    <definedName name="cluster_az2_tor1_peer_asn">'Value Reference Tables'!$I$305</definedName>
    <definedName name="cluster_az2_tor1_peer_ip">'Value Reference Tables'!$I$306</definedName>
    <definedName name="cluster_az2_tor2_peer_asn">'Value Reference Tables'!$I$307</definedName>
    <definedName name="cluster_az2_tor2_peer_ip">'Value Reference Tables'!$I$308</definedName>
    <definedName name="cluster_az2_vmotion_cidr">'Value Reference Tables'!$I$224</definedName>
    <definedName name="cluster_az2_vmotion_gateway_ip">'Value Reference Tables'!$I$225</definedName>
    <definedName name="cluster_az2_vmotion_mask">'Value Reference Tables'!$I$223</definedName>
    <definedName name="cluster_az2_vmotion_mtu">'Value Reference Tables'!$I$221</definedName>
    <definedName name="cluster_az2_vmotion_network">'Value Reference Tables'!$I$222</definedName>
    <definedName name="cluster_az2_vmotion_pool_end_ip">'Value Reference Tables'!$I$227</definedName>
    <definedName name="cluster_az2_vmotion_pool_start_ip">'Value Reference Tables'!$I$226</definedName>
    <definedName name="cluster_az2_vmotion_vlan">'Value Reference Tables'!$I$220</definedName>
    <definedName name="cluster_chosen">'Deploy Cluster'!$B$8</definedName>
    <definedName name="cluster_cl01_vds_copy_profile_chosen">'Deploy Cluster'!$D$174</definedName>
    <definedName name="cluster_cluster_sddc_id">'Value Reference Tables'!$I$310</definedName>
    <definedName name="cluster_compute_hosts_per_rack_chosen">'Deploy Cluster'!$B$9</definedName>
    <definedName name="cluster_compute_hosts_per_rack_result">'Deploy Cluster'!$D$9</definedName>
    <definedName name="cluster_datacenter">'Value Reference Tables'!$I$277</definedName>
    <definedName name="cluster_domain_name">'Value Reference Tables'!$I$9</definedName>
    <definedName name="cluster_esx_root_password">'Value Reference Tables'!$I$93</definedName>
    <definedName name="cluster_esx_root_username">'Value Reference Tables'!$I$92</definedName>
    <definedName name="cluster_host_overlay_addressing_chosen">'Deploy Cluster'!$D$244</definedName>
    <definedName name="cluster_host_overlay_transportzone">'Value Reference Tables'!$I$309</definedName>
    <definedName name="cluster_image_name">'Value Reference Tables'!$I$95</definedName>
    <definedName name="cluster_multi_rack_count_chosen">'Deploy Cluster'!$B$10</definedName>
    <definedName name="cluster_multi_rack_count_result">'Deploy Cluster'!$D$10</definedName>
    <definedName name="cluster_name">'Value Reference Tables'!$I$94</definedName>
    <definedName name="cluster_nfs_datastore_name">'Value Reference Tables'!$I$101</definedName>
    <definedName name="cluster_nfs_server_address">'Value Reference Tables'!$I$103</definedName>
    <definedName name="cluster_nfs_share_path">'Value Reference Tables'!$I$102</definedName>
    <definedName name="cluster_nsx_default_operation_mode_chosen">'Deploy Cluster'!$D$237</definedName>
    <definedName name="cluster_nsx_operation_mode_chosen">'Deploy Cluster'!$D$238</definedName>
    <definedName name="cluster_nsx_overlay_transport_zone_chosen">'Deploy Cluster'!$D$239</definedName>
    <definedName name="cluster_nsx_vlan_transport_zone_chosen">'Deploy Cluster'!$D$240</definedName>
    <definedName name="cluster_nsx_vlan_transport_zone_name">'Value Reference Tables'!$I$164</definedName>
    <definedName name="cluster_nsxt_vip_fqdn">'Value Reference Tables'!$I$288</definedName>
    <definedName name="cluster_principal_storage_chosen">'Deploy Cluster'!$B$11</definedName>
    <definedName name="cluster_principal_storage_result">'Deploy Cluster'!$D$11</definedName>
    <definedName name="cluster_result">'Deploy Cluster'!$D$8</definedName>
    <definedName name="cluster_secondary_storage_chosen">'Deploy Cluster'!$B$12</definedName>
    <definedName name="cluster_secondary_storage_result">'Deploy Cluster'!$D$12</definedName>
    <definedName name="cluster_storage_cluster_name">'Value Reference Tables'!$I$96</definedName>
    <definedName name="cluster_stretched_cluster_chosen">'Deploy Cluster'!$B$14</definedName>
    <definedName name="cluster_stretched_cluster_result">'Deploy Cluster'!$D$14</definedName>
    <definedName name="cluster_vc_fqdn">'Value Reference Tables'!$I$276</definedName>
    <definedName name="cluster_vds_profile_chosen">'Deploy Cluster'!$D$173</definedName>
    <definedName name="cluster_vds01_lacp_mode_chosen">'Deploy Cluster'!$D$183</definedName>
    <definedName name="cluster_vds01_lacp_timeout_chosen">'Deploy Cluster'!$D$185</definedName>
    <definedName name="cluster_vds01_lag_lbt_chosen">'Deploy Cluster'!$D$184</definedName>
    <definedName name="cluster_vds01_lag_name">'Value Reference Tables'!$I$112</definedName>
    <definedName name="cluster_vds01_link_type_chosen">'Deploy Cluster'!$D$181</definedName>
    <definedName name="cluster_vds01_mtu">'Value Reference Tables'!$I$107</definedName>
    <definedName name="cluster_vds01_name">'Value Reference Tables'!$I$106</definedName>
    <definedName name="cluster_vds01_pnics">'Value Reference Tables'!$I$110</definedName>
    <definedName name="cluster_vds01_traffic_type">'Value Reference Tables'!$I$111</definedName>
    <definedName name="cluster_vds01_uplink_count">'Value Reference Tables'!$I$109</definedName>
    <definedName name="cluster_vds02_lacp_mode_chosen">'Deploy Cluster'!$D$194</definedName>
    <definedName name="cluster_vds02_lacp_timeout_chosen">'Deploy Cluster'!$D$196</definedName>
    <definedName name="cluster_vds02_lag_lbt_chosen">'Deploy Cluster'!$D$195</definedName>
    <definedName name="cluster_vds02_lag_name">'Value Reference Tables'!$I$118</definedName>
    <definedName name="cluster_vds02_link_type_chosen">'Deploy Cluster'!$D$192</definedName>
    <definedName name="cluster_vds02_mtu">'Value Reference Tables'!$I$114</definedName>
    <definedName name="cluster_vds02_name">'Value Reference Tables'!$I$113</definedName>
    <definedName name="cluster_vds02_pnics">'Value Reference Tables'!$I$116</definedName>
    <definedName name="cluster_vds02_traffic_type">'Value Reference Tables'!$I$117</definedName>
    <definedName name="cluster_vds02_uplink_count">'Value Reference Tables'!$I$115</definedName>
    <definedName name="cluster_vds03_lacp_mode_chosen">'Deploy Cluster'!$D$205</definedName>
    <definedName name="cluster_vds03_lacp_timeout_chosen">'Deploy Cluster'!$D$207</definedName>
    <definedName name="cluster_vds03_lag_lbt_chosen">'Deploy Cluster'!$D$206</definedName>
    <definedName name="cluster_vds03_lag_name">'Value Reference Tables'!$I$124</definedName>
    <definedName name="cluster_vds03_link_type_chosen">'Deploy Cluster'!$D$203</definedName>
    <definedName name="cluster_vds03_mtu">'Value Reference Tables'!$I$120</definedName>
    <definedName name="cluster_vds03_name">'Value Reference Tables'!$I$119</definedName>
    <definedName name="cluster_vds03_pnics">'Value Reference Tables'!$I$122</definedName>
    <definedName name="cluster_vds03_traffic_type">'Value Reference Tables'!$I$123</definedName>
    <definedName name="cluster_vds03_uplink_count">'Value Reference Tables'!$I$121</definedName>
    <definedName name="cluster_vmfs_datastore_name">'Value Reference Tables'!$I$100</definedName>
    <definedName name="cluster_vsan_client_network">'Deploy Cluster'!$D$142</definedName>
    <definedName name="cluster_vsan_compute_fault_domain_mapping_chosen">'Deploy Cluster'!$D$416</definedName>
    <definedName name="cluster_vsan_compute_network_topology_chosen">'Deploy Cluster'!$D$415</definedName>
    <definedName name="cluster_vsan_datastore">'Value Reference Tables'!$I$97</definedName>
    <definedName name="cluster_vsan_dedupe_compression_chosen">'Deploy Cluster'!$D$144</definedName>
    <definedName name="cluster_vsan_ftt_chosen">'Deploy Cluster'!$D$143</definedName>
    <definedName name="cluster_vsan_type">'Deploy Cluster'!$D$113</definedName>
    <definedName name="cluster_witness_cluster">'Value Reference Tables'!$I$263</definedName>
    <definedName name="cluster_witness_dns1_ip">'Value Reference Tables'!$I$272</definedName>
    <definedName name="cluster_witness_dns2_ip">'Value Reference Tables'!$I$273</definedName>
    <definedName name="cluster_witness_fqdn">'Value Reference Tables'!$I$278</definedName>
    <definedName name="cluster_witness_hostname">'Value Reference Tables'!$I$262</definedName>
    <definedName name="cluster_witness_ip">'Value Reference Tables'!$I$270</definedName>
    <definedName name="cluster_witness_mgmt_pg">'Value Reference Tables'!$I$266</definedName>
    <definedName name="cluster_witness_ntp1_server">'Value Reference Tables'!$I$274</definedName>
    <definedName name="cluster_witness_ntp2_server">'Value Reference Tables'!$I$275</definedName>
    <definedName name="cluster_witness_vm_folder">'Value Reference Tables'!$I$264</definedName>
    <definedName name="cluster_witness_vsan_datastore">'Value Reference Tables'!$I$265</definedName>
    <definedName name="cluster_witness_zone_vc_fqdn">'Value Reference Tables'!$I$261</definedName>
    <definedName name="cluster_witnessaz_mgmt_cidr">'Value Reference Tables'!$I$259</definedName>
    <definedName name="cluster_witnessaz_mgmt_gateway_ip">'Value Reference Tables'!$I$258</definedName>
    <definedName name="cluster_witnessaz_mgmt_mask">'Value Reference Tables'!$I$269</definedName>
    <definedName name="cluster_witnessaz_mgmt_mtu">'Value Reference Tables'!$I$260</definedName>
    <definedName name="cluster_witnessaz_mgmt_vlan">'Value Reference Tables'!$I$257</definedName>
    <definedName name="cluster_wld_domain_chosen">'Value Reference Tables'!$I$8</definedName>
    <definedName name="cr_clean_room">'Value Reference Tables'!$F$281</definedName>
    <definedName name="cr_console_cloud">'Value Reference Tables'!$F$280</definedName>
    <definedName name="cr_mgmt_protect_vc_domain">'Value Reference Tables'!$F$278</definedName>
    <definedName name="cr_mgmt_protect_vc_fqdn">'Value Reference Tables'!$F$277</definedName>
    <definedName name="cr_wld_pnr_fqdn">'Value Reference Tables'!$F$275</definedName>
    <definedName name="cr_wld_pnr_ip">'Value Reference Tables'!$F$276</definedName>
    <definedName name="cr_wld_protect_vc_replication_user">'Value Reference Tables'!$F$282</definedName>
    <definedName name="cr_wld_vrms_pg">'Value Reference Tables'!$F$279</definedName>
    <definedName name="deployment_type_vcf">'Static Reference Tables'!$E$15:$E$18</definedName>
    <definedName name="deployment_type_vvf">'Static Reference Tables'!$E$22:$E$24</definedName>
    <definedName name="domain_controller_hostname">'Value Reference Tables'!$L$57</definedName>
    <definedName name="dri_dns_servers">'Value Reference Tables'!$U$35</definedName>
    <definedName name="dri_ec_name">'Value Reference Tables'!$U$20</definedName>
    <definedName name="dri_k8s_size_hint">'Value Reference Tables'!$U$27</definedName>
    <definedName name="dri_load_balancer_ge">'Value Reference Tables'!$U$21</definedName>
    <definedName name="dri_load_balancer_le">'Value Reference Tables'!$U$22</definedName>
    <definedName name="dri_network_address_range_size">'Value Reference Tables'!$U$29</definedName>
    <definedName name="dri_network_mode">'Value Reference Tables'!$U$28</definedName>
    <definedName name="dri_nsxt_vip_fqdn">'Value Reference Tables'!$U$14</definedName>
    <definedName name="dri_ntp_servers">'Value Reference Tables'!$U$36</definedName>
    <definedName name="dri_overlay_transport_zone">'Value Reference Tables'!$U$16</definedName>
    <definedName name="dri_sddc_domain">'Value Reference Tables'!$U$8</definedName>
    <definedName name="dri_tier0_name">'Value Reference Tables'!$U$15</definedName>
    <definedName name="dri_vcenter_cluster">'Value Reference Tables'!$U$11</definedName>
    <definedName name="dri_vcenter_datacenter">'Value Reference Tables'!$U$10</definedName>
    <definedName name="dri_vcenter_fqdn">'Value Reference Tables'!$U$9</definedName>
    <definedName name="dri_vcenter_vds_name">'Value Reference Tables'!$U$12</definedName>
    <definedName name="dri_vcenter_vsan_datastore">'Value Reference Tables'!$U$13</definedName>
    <definedName name="esxi_root_password">'Value Reference Tables'!$L$13</definedName>
    <definedName name="first_domain_mgmt_only_viable">'Value Reference Tables'!$AA$54</definedName>
    <definedName name="first_domain_mgmt_vi_viable">'Value Reference Tables'!$AA$55</definedName>
    <definedName name="First_Instance">'Static Reference Tables'!$G$11:$G$14</definedName>
    <definedName name="flt_auto_node_pool_end_ip">'Value Reference Tables'!$C$31</definedName>
    <definedName name="flt_auto_node_pool_start_ip">'Value Reference Tables'!$C$30</definedName>
    <definedName name="flt_auto_sr_fqdn">'Value Reference Tables'!$R$50</definedName>
    <definedName name="flt_custom_management_cidr">Arkham!$B$3</definedName>
    <definedName name="flt_custom_management_gateway_ip">Arkham!$B$5</definedName>
    <definedName name="flt_custom_management_mask">Arkham!$B$6</definedName>
    <definedName name="flt_custom_management_mtu">Arkham!$B$7</definedName>
    <definedName name="flt_custom_management_network">Arkham!$B$4</definedName>
    <definedName name="flt_custom_management_vlan">Arkham!$B$8</definedName>
    <definedName name="flt_custom_network_chosen">'Deploy Fleet Management Day-N'!$B$7</definedName>
    <definedName name="flt_custom_network_result">'Deploy Fleet Management Day-N'!$D$7</definedName>
    <definedName name="flt_custom_network_vcf_ops_automation_chosen">'Deploy Fleet Management Day-N'!$B$8</definedName>
    <definedName name="flt_custom_network_vcf_ops_automation_result">'Deploy Fleet Management Day-N'!$D$8</definedName>
    <definedName name="flt_def_administrator_vsphere_local_password">'Value Reference Tables'!$F$244</definedName>
    <definedName name="flt_def_administrator_vsphere_local_username">'Value Reference Tables'!$F$243</definedName>
    <definedName name="flt_def_auto_admin_password">'Value Reference Tables'!$F$268</definedName>
    <definedName name="flt_def_auto_cluster_cidr">'Value Reference Tables'!$F$272</definedName>
    <definedName name="flt_def_auto_node_pool_end_ip">'Value Reference Tables'!$F$248</definedName>
    <definedName name="flt_def_auto_node_pool_start_ip">'Value Reference Tables'!$F$247</definedName>
    <definedName name="flt_def_auto_node_prefix">'Value Reference Tables'!$F$271</definedName>
    <definedName name="flt_def_auto_size_chosen">'Deploy Fleet Management Day-N'!$D$68</definedName>
    <definedName name="flt_def_auto_size_result">Arkham!$X$76</definedName>
    <definedName name="flt_def_auto_sr_fqdn">'Value Reference Tables'!$F$256</definedName>
    <definedName name="flt_def_auto_sr_ip">'Value Reference Tables'!$F$264</definedName>
    <definedName name="flt_def_ceip_status_chosen">'Deploy Fleet Management Day-N'!$D$22</definedName>
    <definedName name="flt_def_sddc_mgr_fqdn">'Value Reference Tables'!$F$242</definedName>
    <definedName name="flt_def_vcf_custom_network_chosen">'Deploy Fleet Management Day-N'!$D$53</definedName>
    <definedName name="flt_def_vcf_custom_passwords_chosen">'Deploy Fleet Management Day-N'!$D$52</definedName>
    <definedName name="flt_def_vcf_custom_size_chosen">'Deploy Fleet Management Day-N'!$D$54</definedName>
    <definedName name="flt_def_vcf_operations_admin_password">'Value Reference Tables'!$F$266</definedName>
    <definedName name="flt_def_vcf_operations_az1_vcf_mgmt_gateway_cidr">'Value Reference Tables'!$F$246</definedName>
    <definedName name="flt_def_vcf_operations_az1_vcf_mgmt_pg">'Value Reference Tables'!$F$245</definedName>
    <definedName name="flt_def_vcf_operations_custom_size_chosen">'Deploy Fleet Management Day-N'!$D$56</definedName>
    <definedName name="flt_def_vcf_operations_ha_mode_chosen">'Deploy Fleet Management Day-N'!$D$20</definedName>
    <definedName name="flt_def_vcf_operations_lc_fqdn">'Value Reference Tables'!$F$254</definedName>
    <definedName name="flt_def_vcf_operations_lc_ip">'Value Reference Tables'!$F$262</definedName>
    <definedName name="flt_def_vcf_operations_nodea_fqdn">'Value Reference Tables'!$F$249</definedName>
    <definedName name="flt_def_vcf_operations_nodea_ip">'Value Reference Tables'!$F$257</definedName>
    <definedName name="flt_def_vcf_operations_nodeb_fqdn">'Value Reference Tables'!$F$250</definedName>
    <definedName name="flt_def_vcf_operations_nodeb_ip">'Value Reference Tables'!$F$258</definedName>
    <definedName name="flt_def_vcf_operations_nodec_fqdn">'Value Reference Tables'!$F$251</definedName>
    <definedName name="flt_def_vcf_operations_nodec_ip">'Value Reference Tables'!$F$259</definedName>
    <definedName name="flt_def_vcf_operations_proxy_az1_vcf_mgmt_gateway_cidr">'Value Reference Tables'!$F$269</definedName>
    <definedName name="flt_def_vcf_operations_proxy_az1_vcf_mgmt_pg">'Value Reference Tables'!$F$270</definedName>
    <definedName name="flt_def_vcf_operations_proxy_custom_size_chosen">'Deploy Fleet Management Day-N'!$D$60</definedName>
    <definedName name="flt_def_vcf_operations_proxy_fqdn">'Value Reference Tables'!$F$253</definedName>
    <definedName name="flt_def_vcf_operations_proxy_ip">'Value Reference Tables'!$F$261</definedName>
    <definedName name="flt_def_vcf_operations_proxy_root_password">'Value Reference Tables'!$F$267</definedName>
    <definedName name="flt_def_vcf_operations_proxy_size_result">Arkham!$X$75</definedName>
    <definedName name="flt_def_vcf_operations_root_password">'Value Reference Tables'!$F$265</definedName>
    <definedName name="flt_def_vcf_operations_size_chosen">'Deploy Fleet Management Day-N'!$D$21</definedName>
    <definedName name="flt_def_vcf_operations_size_result">Arkham!$X$74</definedName>
    <definedName name="flt_def_vcf_operations_virtual_fqdn">'Value Reference Tables'!$F$252</definedName>
    <definedName name="flt_def_vcf_operations_virtual_ip">'Value Reference Tables'!$F$260</definedName>
    <definedName name="flt_def_vra_virtual_fqdn">'Value Reference Tables'!$F$255</definedName>
    <definedName name="flt_def_vra_virtual_ip">'Value Reference Tables'!$F$263</definedName>
    <definedName name="flt_fc_fqdn">'Value Reference Tables'!$R$16</definedName>
    <definedName name="flt_fc_hostname">'Value Reference Tables'!$R$12</definedName>
    <definedName name="flt_fc_ip">'Value Reference Tables'!$R$8</definedName>
    <definedName name="flt_ic_fqdn">'Value Reference Tables'!$C$73</definedName>
    <definedName name="flt_lc_fqdn">'Value Reference Tables'!$C$71</definedName>
    <definedName name="flt_logs_admin_password">'Value Reference Tables'!$L$208</definedName>
    <definedName name="flt_logs_admin_username">'Value Reference Tables'!$L$210</definedName>
    <definedName name="flt_logs_cert_ip_addresses">'Value Reference Tables'!$L$195</definedName>
    <definedName name="flt_logs_chosen">'Deploy Fleet Management Day-N'!$B$10</definedName>
    <definedName name="flt_logs_install_type_chosen">'Deploy Fleet Management Day-N'!$D$133</definedName>
    <definedName name="flt_logs_install_version">'Deploy Fleet Management Day-N'!$D$134</definedName>
    <definedName name="flt_logs_node_size_chosen">'Deploy Fleet Management Day-N'!$D$139</definedName>
    <definedName name="flt_logs_number_replicas_chosen">'Deploy Fleet Management Day-N'!$D$140</definedName>
    <definedName name="flt_logs_result">'Deploy Fleet Management Day-N'!$D$10</definedName>
    <definedName name="flt_logs_vip_fqdn">'Value Reference Tables'!$L$191</definedName>
    <definedName name="flt_logs_vip_ip">'Value Reference Tables'!$L$220</definedName>
    <definedName name="flt_net_admin_password">'Value Reference Tables'!$L$270</definedName>
    <definedName name="flt_net_chosen">'Deploy Fleet Management Day-N'!$B$11</definedName>
    <definedName name="flt_net_dual_stack_chosen">'Deploy Fleet Management Day-N'!$D$152</definedName>
    <definedName name="flt_net_ha_mode_chosen">'Deploy Fleet Management Day-N'!$D$150</definedName>
    <definedName name="flt_net_install_type_chosen">'Deploy Fleet Management Day-N'!$D$148</definedName>
    <definedName name="flt_net_install_version">'Deploy Fleet Management Day-N'!$D$149</definedName>
    <definedName name="flt_net_nodea_fqdn">'Value Reference Tables'!$L$241</definedName>
    <definedName name="flt_net_nodea_hostname">'Value Reference Tables'!$L$249</definedName>
    <definedName name="flt_net_nodea_ip">'Value Reference Tables'!$L$245</definedName>
    <definedName name="flt_net_prxy_fqdn">'Value Reference Tables'!$L$244</definedName>
    <definedName name="flt_net_prxy_hostname">'Value Reference Tables'!$L$252</definedName>
    <definedName name="flt_net_prxy_ip">'Value Reference Tables'!$L$248</definedName>
    <definedName name="flt_net_result">'Deploy Fleet Management Day-N'!$D$11</definedName>
    <definedName name="flt_sr_fqdn">'Value Reference Tables'!$C$72</definedName>
    <definedName name="flt_vcfms_node_pool_end_ip">'Value Reference Tables'!$C$33</definedName>
    <definedName name="flt_vcfms_node_pool_start_ip">'Value Reference Tables'!$C$32</definedName>
    <definedName name="flt_vidb_additional_vips">'Value Reference Tables'!$C$216</definedName>
    <definedName name="flt_vidb_base_dn">'Value Reference Tables'!$C$160</definedName>
    <definedName name="flt_vidb_bind_password">'Value Reference Tables'!$C$162</definedName>
    <definedName name="flt_vidb_bind_username">'Value Reference Tables'!$C$161</definedName>
    <definedName name="flt_vidb_chosen">'Deploy Fleet Management Day-N'!$B$9</definedName>
    <definedName name="flt_vidb_directory_name">'Value Reference Tables'!$C$150</definedName>
    <definedName name="flt_vidb_directory_search_chosen">'Deploy Fleet Management Day-N'!$D$110</definedName>
    <definedName name="flt_vidb_distinguished_name">'Value Reference Tables'!$C$166</definedName>
    <definedName name="flt_vidb_employeeID">'Value Reference Tables'!$C$167</definedName>
    <definedName name="flt_vidb_encrypted_cert">'Value Reference Tables'!$C$154</definedName>
    <definedName name="flt_vidb_encrypted_connection_chosen">'Deploy Fleet Management Day-N'!$D$104</definedName>
    <definedName name="flt_vidb_first_name">'Value Reference Tables'!$C$164</definedName>
    <definedName name="flt_vidb_global_catalog_chosen">'Deploy Fleet Management Day-N'!$D$103</definedName>
    <definedName name="flt_vidb_group_base_dn">'Value Reference Tables'!$C$170</definedName>
    <definedName name="flt_vidb_hostname">'Value Reference Tables'!$C$49</definedName>
    <definedName name="flt_vidb_identity_provider_chosen">'Deploy Fleet Management Day-N'!$D$100</definedName>
    <definedName name="flt_vidb_last_name">'Value Reference Tables'!$C$165</definedName>
    <definedName name="flt_vidb_mail">'Value Reference Tables'!$C$168</definedName>
    <definedName name="flt_vidb_node_prefix">'Value Reference Tables'!$C$217</definedName>
    <definedName name="flt_vidb_password">'Value Reference Tables'!$C$218</definedName>
    <definedName name="flt_vidb_password_alias">'Value Reference Tables'!$C$219</definedName>
    <definedName name="flt_vidb_password_description">'Value Reference Tables'!$C$220</definedName>
    <definedName name="flt_vidb_primary_domain_controller">'Value Reference Tables'!$C$155</definedName>
    <definedName name="flt_vidb_primary_domain_controller_port">'Value Reference Tables'!$C$156</definedName>
    <definedName name="flt_vidb_result">'Deploy Fleet Management Day-N'!$D$9</definedName>
    <definedName name="flt_vidb_root_username">'Value Reference Tables'!$C$221</definedName>
    <definedName name="flt_vidb_secondary_domain_controller">'Value Reference Tables'!$C$157</definedName>
    <definedName name="flt_vidb_secondary_domain_controller_port">'Value Reference Tables'!$C$158</definedName>
    <definedName name="flt_vidb_server_location_chosen">'Deploy Fleet Management Day-N'!$D$102</definedName>
    <definedName name="flt_vidb_system_user_alias">'Value Reference Tables'!$C$222</definedName>
    <definedName name="flt_vidb_system_user_description">'Value Reference Tables'!$C$224</definedName>
    <definedName name="flt_vidb_system_user_password">'Value Reference Tables'!$C$223</definedName>
    <definedName name="flt_vidb_user_base_dn">'Value Reference Tables'!$C$171</definedName>
    <definedName name="flt_vidb_user_name">'Value Reference Tables'!$C$163</definedName>
    <definedName name="flt_vidb_user_principal_name">'Value Reference Tables'!$C$169</definedName>
    <definedName name="flt_vidb_vip_fqdn">'Value Reference Tables'!$C$70</definedName>
    <definedName name="flt_vidb_vip_ip">'Value Reference Tables'!$C$29</definedName>
    <definedName name="group_gg_kub_admins">'Value Reference Tables'!$L$131</definedName>
    <definedName name="group_gg_kub_readonly">'Value Reference Tables'!$L$132</definedName>
    <definedName name="group_gg_nsx_auditors">'Value Reference Tables'!$L$160</definedName>
    <definedName name="group_gg_nsx_enterprise_admins">'Value Reference Tables'!$L$158</definedName>
    <definedName name="group_gg_nsx_network_admins">'Value Reference Tables'!$L$159</definedName>
    <definedName name="group_gg_sso_admins">'Value Reference Tables'!$L$157</definedName>
    <definedName name="group_gg_vc_admins">'Value Reference Tables'!$L$155</definedName>
    <definedName name="group_gg_vc_read_only">'Value Reference Tables'!$L$156</definedName>
    <definedName name="group_gg_vcf_admins">'Value Reference Tables'!$L$152</definedName>
    <definedName name="group_gg_vcf_operators">'Value Reference Tables'!$L$153</definedName>
    <definedName name="group_gg_vcf_viewers">'Value Reference Tables'!$L$154</definedName>
    <definedName name="group_gg_vra_cloud_assembly_admins">'Value Reference Tables'!$L$146</definedName>
    <definedName name="group_gg_vra_cloud_assembly_users">'Value Reference Tables'!$L$147</definedName>
    <definedName name="group_gg_vra_cloud_assembly_viewers">'Value Reference Tables'!$L$148</definedName>
    <definedName name="group_gg_vra_orchestrator_viewers">'Value Reference Tables'!$L$149</definedName>
    <definedName name="group_gg_vra_org_owners">'Value Reference Tables'!$L$145</definedName>
    <definedName name="group_gg_vra_project_admins_sample">'Value Reference Tables'!$L$150</definedName>
    <definedName name="group_gg_vra_project_users_sample">'Value Reference Tables'!$L$151</definedName>
    <definedName name="group_gg_vrli_admins">'Value Reference Tables'!$L$142</definedName>
    <definedName name="group_gg_vrli_users">'Value Reference Tables'!$L$143</definedName>
    <definedName name="group_gg_vrli_viewers">'Value Reference Tables'!$L$144</definedName>
    <definedName name="group_gg_vrops_admins">'Value Reference Tables'!$L$139</definedName>
    <definedName name="group_gg_vrops_content_admins">'Value Reference Tables'!$L$140</definedName>
    <definedName name="group_gg_vrops_read_only">'Value Reference Tables'!$L$141</definedName>
    <definedName name="group_gg_vrslcm_admins">'Value Reference Tables'!$L$136</definedName>
    <definedName name="group_gg_vrslcm_content_developers">'Value Reference Tables'!$L$138</definedName>
    <definedName name="group_gg_vrslcm_release_managers">'Value Reference Tables'!$L$137</definedName>
    <definedName name="group_parent_gg_wsa_admins">'Value Reference Tables'!$L$133</definedName>
    <definedName name="group_parent_gg_wsa_directory_admins">'Value Reference Tables'!$L$134</definedName>
    <definedName name="group_parent_gg_wsa_read_only">'Value Reference Tables'!$L$135</definedName>
    <definedName name="input_administrator_vsphere_local_password">'Deploy Management Domain'!$L$308</definedName>
    <definedName name="input_air_GPU_network_operator_namespace">'Private AI Ready Infrastructure'!$D$82</definedName>
    <definedName name="input_air_GPU_operator_namespace">'Private AI Ready Infrastructure'!$D$77</definedName>
    <definedName name="input_air_GPU_VM_class">'Private AI Ready Infrastructure'!$D$59</definedName>
    <definedName name="input_air_license">'Private AI Ready Infrastructure'!$D$9</definedName>
    <definedName name="input_avilb_root_password">'Configure Management Domain'!$D$283</definedName>
    <definedName name="input_ca_administrator_password">'Configure Management Domain'!$D$36</definedName>
    <definedName name="input_ca_administrator_username">'Configure Management Domain'!$D$35</definedName>
    <definedName name="input_ca_algorithm">'Configure Management Domain'!$D$59</definedName>
    <definedName name="input_ca_country">'Configure Management Domain'!$D$62</definedName>
    <definedName name="input_ca_email_address">'Configure Management Domain'!$D$65</definedName>
    <definedName name="input_ca_key_size">'Configure Management Domain'!$D$66</definedName>
    <definedName name="input_ca_locality">'Configure Management Domain'!$D$64</definedName>
    <definedName name="input_ca_organization">'Configure Management Domain'!$D$61</definedName>
    <definedName name="input_ca_organization_unit">'Configure Management Domain'!$D$60</definedName>
    <definedName name="input_ca_state">'Configure Management Domain'!$D$63</definedName>
    <definedName name="input_ca_template_name">'Configure Management Domain'!$D$46</definedName>
    <definedName name="input_cbr_aria_logs_key">'Cloud-Based Ransomware Recovery'!$D$39</definedName>
    <definedName name="input_cbr_aria_logs_url">'Cloud-Based Ransomware Recovery'!$D$38</definedName>
    <definedName name="input_cbr_firewall_group">'Cloud-Based Ransomware Recovery'!$D$26</definedName>
    <definedName name="input_cbr_firewall_ip_addresses">'Cloud-Based Ransomware Recovery'!$D$27</definedName>
    <definedName name="input_cbr_firewall_rule_vcenter">'Cloud-Based Ransomware Recovery'!$D$25</definedName>
    <definedName name="input_cbr_recovery_host_count">'Cloud-Based Ransomware Recovery'!$D$21</definedName>
    <definedName name="input_cbr_recovery_host_type">'Cloud-Based Ransomware Recovery'!$D$20</definedName>
    <definedName name="input_cbr_recovery_management_subnet">'Cloud-Based Ransomware Recovery'!$D$24</definedName>
    <definedName name="input_cbr_recovery_region">'Cloud-Based Ransomware Recovery'!$D$19</definedName>
    <definedName name="input_cbr_recovery_sddc_name">'Cloud-Based Ransomware Recovery'!$D$18</definedName>
    <definedName name="input_cbr_recovery_subnet">'Cloud-Based Ransomware Recovery'!$D$23</definedName>
    <definedName name="input_cbr_recovery_vpc">'Cloud-Based Ransomware Recovery'!$D$22</definedName>
    <definedName name="input_cbr_vcdr_anti_affinity">'Cloud-Based Ransomware Recovery'!$D$35</definedName>
    <definedName name="input_cbr_vcdr_cdp1_hostname">'Cloud-Based Ransomware Recovery'!$E$9</definedName>
    <definedName name="input_cbr_vcdr_cdp1_ip">'Cloud-Based Ransomware Recovery'!$G$9</definedName>
    <definedName name="input_cbr_vcdr_cdp2_hostname">'Cloud-Based Ransomware Recovery'!$E$10</definedName>
    <definedName name="input_cbr_vcdr_cdp2_ip">'Cloud-Based Ransomware Recovery'!$G$10</definedName>
    <definedName name="input_cbr_vcdr_cloud_file_system">'Cloud-Based Ransomware Recovery'!$D$28</definedName>
    <definedName name="input_cbr_vcdr_email_recipient">'Cloud-Based Ransomware Recovery'!$D$36</definedName>
    <definedName name="input_cbr_vcdr_email_sender">'Cloud-Based Ransomware Recovery'!$D$37</definedName>
    <definedName name="input_cbr_vcdr_label">'Cloud-Based Ransomware Recovery'!$D$34</definedName>
    <definedName name="input_cbr_vcdr_orchestrator_fqdn">'Cloud-Based Ransomware Recovery'!$D$32</definedName>
    <definedName name="input_cbr_vcdr_ova">'Cloud-Based Ransomware Recovery'!$D$31</definedName>
    <definedName name="input_cbr_vcdr_passcode">'Cloud-Based Ransomware Recovery'!$D$33</definedName>
    <definedName name="input_cbr_vcdr_site_name">'Cloud-Based Ransomware Recovery'!$D$29</definedName>
    <definedName name="input_cbr_vcdr_timezone">'Cloud-Based Ransomware Recovery'!$D$30</definedName>
    <definedName name="input_cbr_vcdr_vsphere_role">'Cloud-Based Ransomware Recovery'!$D$14</definedName>
    <definedName name="input_cbr_vm_folder">'Cloud-Based Ransomware Recovery'!$D$17</definedName>
    <definedName name="input_cbw_hcx_cdp_fqdn">'Cross Cloud Mobility'!$D$65</definedName>
    <definedName name="input_ccm_aws_admin_password">'Cross Cloud Mobility'!$D$37</definedName>
    <definedName name="input_ccm_aws_admin_ssouser">'Cross Cloud Mobility'!$D$36</definedName>
    <definedName name="input_ccm_aws_host_count">'Cross Cloud Mobility'!$D$23</definedName>
    <definedName name="input_ccm_aws_host_type">'Cross Cloud Mobility'!$D$22</definedName>
    <definedName name="input_ccm_aws_management_subnet">'Cross Cloud Mobility'!$D$26</definedName>
    <definedName name="input_ccm_aws_region">'Cross Cloud Mobility'!$D$21</definedName>
    <definedName name="input_ccm_aws_sddc_name">'Cross Cloud Mobility'!$D$20</definedName>
    <definedName name="input_ccm_aws_subnet">'Cross Cloud Mobility'!$D$25</definedName>
    <definedName name="input_ccm_aws_vpc">'Cross Cloud Mobility'!$D$24</definedName>
    <definedName name="input_ccm_firewall_group">'Cross Cloud Mobility'!$D$29</definedName>
    <definedName name="input_ccm_firewall_ip_addresses">'Cross Cloud Mobility'!$D$30</definedName>
    <definedName name="input_ccm_firewall_rule_hcx">'Cross Cloud Mobility'!$D$28</definedName>
    <definedName name="input_ccm_firewall_rule_vcenter">'Cross Cloud Mobility'!$D$27</definedName>
    <definedName name="input_ccm_hcx_admin_password">'Cross Cloud Mobility'!$D$33</definedName>
    <definedName name="input_ccm_hcx_cdp_hostname">'Cross Cloud Mobility'!$E$9</definedName>
    <definedName name="input_ccm_hcx_cdp_ip">'Cross Cloud Mobility'!$G$9</definedName>
    <definedName name="input_ccm_hcx_compute_profile">'Cross Cloud Mobility'!$D$38</definedName>
    <definedName name="input_ccm_hcx_dc_location">'Cross Cloud Mobility'!$D$32</definedName>
    <definedName name="input_ccm_hcx_license">'Cross Cloud Mobility'!$D$31</definedName>
    <definedName name="input_ccm_hcx_mgmt_network_ip_range">'Cross Cloud Mobility'!$F$11</definedName>
    <definedName name="input_ccm_hcx_remote_url">'Cross Cloud Mobility'!$D$35</definedName>
    <definedName name="input_ccm_hcx_resource_pool">'Cross Cloud Mobility'!$D$19</definedName>
    <definedName name="input_ccm_hcx_root_password">'Cross Cloud Mobility'!$D$34</definedName>
    <definedName name="input_ccm_hcx_service_mesh">'Cross Cloud Mobility'!$D$39</definedName>
    <definedName name="input_ccm_hcx_vm_folder">'Cross Cloud Mobility'!$D$18</definedName>
    <definedName name="input_ccm_hcx_vmotion_network_ip_range">'Cross Cloud Mobility'!$F$12</definedName>
    <definedName name="input_ccm_hcx_vsphere_role">'Cross Cloud Mobility'!$D$16</definedName>
    <definedName name="input_ccm_vm_folder">'Cross Cloud Mobility'!$D$17</definedName>
    <definedName name="input_certificate_authority_fqdn">'Configure Management Domain'!$D$34</definedName>
    <definedName name="input_certificate_authority_name">'Configure Management Domain'!$D$68</definedName>
    <definedName name="input_child_ad_groups_ou">'Active Directory Inputs'!$E$11</definedName>
    <definedName name="input_child_ad_users_ou">'Active Directory Inputs'!$G$11</definedName>
    <definedName name="input_child_dns_zone">Arkham!$C$11</definedName>
    <definedName name="input_child_svc_nsx_ad_password">'Active Directory Inputs'!$G$19</definedName>
    <definedName name="input_child_svc_nsx_ad_user">'Active Directory Inputs'!$E$19</definedName>
    <definedName name="input_child_svc_vsphere_ad_password">'Active Directory Inputs'!$G$18</definedName>
    <definedName name="input_child_svc_vsphere_ad_user">'Active Directory Inputs'!$E$18</definedName>
    <definedName name="input_cluster_az1_host_overlay_cidr">'Deploy Cluster'!$D$248</definedName>
    <definedName name="input_cluster_az1_host_overlay_gateway_ip">'Deploy Cluster'!$D$251</definedName>
    <definedName name="input_cluster_az1_host_overlay_network_pool_description">'Deploy Cluster'!$D$247</definedName>
    <definedName name="input_cluster_az1_host_overlay_network_pool_name">'Deploy Cluster'!$D$246</definedName>
    <definedName name="input_cluster_az1_host_overlay_network_profile_name">'Deploy Cluster'!$D$254</definedName>
    <definedName name="input_cluster_az1_host_overlay_pool_end_ip">'Deploy Cluster'!$D$250</definedName>
    <definedName name="input_cluster_az1_host_overlay_pool_start_ip">'Deploy Cluster'!$D$249</definedName>
    <definedName name="input_cluster_az1_host_overlay_uplink_profile_name">'Deploy Cluster'!$D$258</definedName>
    <definedName name="input_cluster_az1_host_overlay_vlan">'Deploy Cluster'!$D$243</definedName>
    <definedName name="input_cluster_az1_host1_fqdn">'Deploy Cluster'!$D$96</definedName>
    <definedName name="input_cluster_az1_host1_mgmt_ip">'Deploy Cluster'!$D$29</definedName>
    <definedName name="input_cluster_az1_host10_fqdn">'Deploy Cluster'!$D$105</definedName>
    <definedName name="input_cluster_az1_host10_mgmt_ip">'Deploy Cluster'!$D$38</definedName>
    <definedName name="input_cluster_az1_host11_fqdn">'Deploy Cluster'!$D$106</definedName>
    <definedName name="input_cluster_az1_host11_mgmt_ip">'Deploy Cluster'!$D$39</definedName>
    <definedName name="input_cluster_az1_host12_fqdn">'Deploy Cluster'!$D$107</definedName>
    <definedName name="input_cluster_az1_host12_mgmt_ip">'Deploy Cluster'!$D$40</definedName>
    <definedName name="input_cluster_az1_host13_fqdn">'Deploy Cluster'!$D$108</definedName>
    <definedName name="input_cluster_az1_host13_mgmt_ip">'Deploy Cluster'!$D$41</definedName>
    <definedName name="input_cluster_az1_host14_fqdn">'Deploy Cluster'!$D$109</definedName>
    <definedName name="input_cluster_az1_host14_mgmt_ip">'Deploy Cluster'!$D$42</definedName>
    <definedName name="input_cluster_az1_host15_fqdn">'Deploy Cluster'!$D$110</definedName>
    <definedName name="input_cluster_az1_host15_mgmt_ip">'Deploy Cluster'!$D$43</definedName>
    <definedName name="input_cluster_az1_host16_fqdn">'Deploy Cluster'!$D$111</definedName>
    <definedName name="input_cluster_az1_host16_mgmt_ip">'Deploy Cluster'!$D$44</definedName>
    <definedName name="input_cluster_az1_host2_fqdn">'Deploy Cluster'!$D$97</definedName>
    <definedName name="input_cluster_az1_host2_mgmt_ip">'Deploy Cluster'!$D$30</definedName>
    <definedName name="input_cluster_az1_host3_fqdn">'Deploy Cluster'!$D$98</definedName>
    <definedName name="input_cluster_az1_host3_mgmt_ip">'Deploy Cluster'!$D$31</definedName>
    <definedName name="input_cluster_az1_host4_fqdn">'Deploy Cluster'!$D$99</definedName>
    <definedName name="input_cluster_az1_host4_mgmt_ip">'Deploy Cluster'!$D$32</definedName>
    <definedName name="input_cluster_az1_host5_fqdn">'Deploy Cluster'!$D$100</definedName>
    <definedName name="input_cluster_az1_host5_mgmt_ip">'Deploy Cluster'!$D$33</definedName>
    <definedName name="input_cluster_az1_host6_fqdn">'Deploy Cluster'!$D$101</definedName>
    <definedName name="input_cluster_az1_host6_mgmt_ip">'Deploy Cluster'!$D$34</definedName>
    <definedName name="input_cluster_az1_host7_fqdn">'Deploy Cluster'!$D$102</definedName>
    <definedName name="input_cluster_az1_host7_mgmt_ip">'Deploy Cluster'!$D$35</definedName>
    <definedName name="input_cluster_az1_host8_fqdn">'Deploy Cluster'!$D$103</definedName>
    <definedName name="input_cluster_az1_host8_mgmt_ip">'Deploy Cluster'!$D$36</definedName>
    <definedName name="input_cluster_az1_host9_fqdn">'Deploy Cluster'!$D$104</definedName>
    <definedName name="input_cluster_az1_host9_mgmt_ip">'Deploy Cluster'!$D$37</definedName>
    <definedName name="input_cluster_az1_mgmt_cidr">'Deploy Cluster'!$D$26</definedName>
    <definedName name="input_cluster_az1_mgmt_gateway_ip">'Deploy Cluster'!$D$25</definedName>
    <definedName name="input_cluster_az1_mgmt_mtu">'Deploy Cluster'!$D$27</definedName>
    <definedName name="input_cluster_az1_mgmt_pg">'Deploy Cluster'!$D$212</definedName>
    <definedName name="input_cluster_az1_mgmt_vlan">'Deploy Cluster'!$D$24</definedName>
    <definedName name="input_cluster_az1_mgmt_vm_pg">'Deploy Cluster'!$D$217</definedName>
    <definedName name="input_cluster_az1_nsx_uplink_count">'Deploy Cluster'!$D$255</definedName>
    <definedName name="input_cluster_az1_nsx_uplink1">'Deploy Cluster'!$D$256</definedName>
    <definedName name="input_cluster_az1_nsx_uplink1_active">'Deploy Cluster'!$D$260</definedName>
    <definedName name="input_cluster_az1_nsx_uplink2">'Deploy Cluster'!$D$257</definedName>
    <definedName name="input_cluster_az1_nsx_uplink2_active">'Deploy Cluster'!$D$261</definedName>
    <definedName name="input_cluster_az1_pool_name">'Deploy Cluster'!$D$48</definedName>
    <definedName name="input_cluster_az1_principal_storage_gateway_cidr">'Deploy Cluster'!$D$65</definedName>
    <definedName name="input_cluster_az1_principal_storage_mtu">'Deploy Cluster'!$D$63</definedName>
    <definedName name="input_cluster_az1_principal_storage_pg">'Deploy Cluster'!$D$227</definedName>
    <definedName name="input_cluster_az1_principal_storage_pool_end_ip">'Deploy Cluster'!$D$68</definedName>
    <definedName name="input_cluster_az1_principal_storage_pool_start_ip">'Deploy Cluster'!$D$67</definedName>
    <definedName name="input_cluster_az1_principal_storage_vlan">'Deploy Cluster'!$D$62</definedName>
    <definedName name="input_cluster_az1_secondary_storage_gateway_cidr">'Deploy Cluster'!$D$76</definedName>
    <definedName name="input_cluster_az1_secondary_storage_mtu">'Deploy Cluster'!$D$74</definedName>
    <definedName name="input_cluster_az1_secondary_storage_pool_end_ip">'Deploy Cluster'!$D$79</definedName>
    <definedName name="input_cluster_az1_secondary_storage_pool_start_ip">'Deploy Cluster'!$D$78</definedName>
    <definedName name="input_cluster_az1_secondary_storage_vlan">'Deploy Cluster'!$D$73</definedName>
    <definedName name="input_cluster_az1_storage_cluster_gateway_cidr">'Deploy Cluster'!$D$87</definedName>
    <definedName name="input_cluster_az1_storage_cluster_mtu">'Deploy Cluster'!$D$85</definedName>
    <definedName name="input_cluster_az1_storage_cluster_pool_end_ip">'Deploy Cluster'!$D$90</definedName>
    <definedName name="input_cluster_az1_storage_cluster_pool_start_ip">'Deploy Cluster'!$D$89</definedName>
    <definedName name="input_cluster_az1_storage_cluster_vlan">'Deploy Cluster'!$D$84</definedName>
    <definedName name="input_cluster_az1_vmotion_gateway_cidr">'Deploy Cluster'!$D$54</definedName>
    <definedName name="input_cluster_az1_vmotion_mtu">'Deploy Cluster'!$D$52</definedName>
    <definedName name="input_cluster_az1_vmotion_pg">'Deploy Cluster'!$D$222</definedName>
    <definedName name="input_cluster_az1_vmotion_pool_end_ip">'Deploy Cluster'!$D$57</definedName>
    <definedName name="input_cluster_az1_vmotion_pool_start_ip">'Deploy Cluster'!$D$56</definedName>
    <definedName name="input_cluster_az1_vmotion_vlan">'Deploy Cluster'!$D$51</definedName>
    <definedName name="input_cluster_az1_vsan_storage_client_pg">'Deploy Cluster'!$D$232</definedName>
    <definedName name="input_cluster_az2_host_overlay_cidr">'Deploy Cluster'!$D$422</definedName>
    <definedName name="input_cluster_az2_host_overlay_gateway_ip">'Deploy Cluster'!$D$423</definedName>
    <definedName name="input_cluster_az2_host_overlay_gateway_mtu">'Deploy Cluster'!$D$424</definedName>
    <definedName name="input_cluster_az2_host_overlay_network_pool_name">'Deploy Cluster'!$D$419</definedName>
    <definedName name="input_cluster_az2_host_overlay_network_profile_name">'Deploy Cluster'!$D$417</definedName>
    <definedName name="input_cluster_az2_host_overlay_pool_end_ip">'Deploy Cluster'!$D$426</definedName>
    <definedName name="input_cluster_az2_host_overlay_pool_start_ip">'Deploy Cluster'!$D$425</definedName>
    <definedName name="input_cluster_az2_host_overlay_uplink_profile_name">'Deploy Cluster'!$D$420</definedName>
    <definedName name="input_cluster_az2_host_overlay_vlan">'Deploy Cluster'!$D$421</definedName>
    <definedName name="input_cluster_az2_host1_fqdn">'Deploy Cluster'!$D$329</definedName>
    <definedName name="input_cluster_az2_host1_mgmt_ip">'Deploy Cluster'!$D$273</definedName>
    <definedName name="input_cluster_az2_host10_fqdn">'Deploy Cluster'!$D$338</definedName>
    <definedName name="input_cluster_az2_host10_mgmt_ip">'Deploy Cluster'!$D$282</definedName>
    <definedName name="input_cluster_az2_host11_fqdn">'Deploy Cluster'!$D$339</definedName>
    <definedName name="input_cluster_az2_host11_mgmt_ip">'Deploy Cluster'!$D$283</definedName>
    <definedName name="input_cluster_az2_host12_fqdn">'Deploy Cluster'!$D$340</definedName>
    <definedName name="input_cluster_az2_host12_mgmt_ip">'Deploy Cluster'!$D$284</definedName>
    <definedName name="input_cluster_az2_host13_fqdn">'Deploy Cluster'!$D$341</definedName>
    <definedName name="input_cluster_az2_host13_mgmt_ip">'Deploy Cluster'!$D$285</definedName>
    <definedName name="input_cluster_az2_host14_fqdn">'Deploy Cluster'!$D$342</definedName>
    <definedName name="input_cluster_az2_host14_mgmt_ip">'Deploy Cluster'!$D$286</definedName>
    <definedName name="input_cluster_az2_host15_fqdn">'Deploy Cluster'!$D$343</definedName>
    <definedName name="input_cluster_az2_host15_mgmt_ip">'Deploy Cluster'!$D$287</definedName>
    <definedName name="input_cluster_az2_host16_fqdn">'Deploy Cluster'!$D$344</definedName>
    <definedName name="input_cluster_az2_host16_mgmt_ip">'Deploy Cluster'!$D$288</definedName>
    <definedName name="input_cluster_az2_host2_fqdn">'Deploy Cluster'!$D$330</definedName>
    <definedName name="input_cluster_az2_host2_mgmt_ip">'Deploy Cluster'!$D$274</definedName>
    <definedName name="input_cluster_az2_host3_fqdn">'Deploy Cluster'!$D$331</definedName>
    <definedName name="input_cluster_az2_host3_mgmt_ip">'Deploy Cluster'!$D$275</definedName>
    <definedName name="input_cluster_az2_host4_fqdn">'Deploy Cluster'!$D$332</definedName>
    <definedName name="input_cluster_az2_host4_mgmt_ip">'Deploy Cluster'!$D$276</definedName>
    <definedName name="input_cluster_az2_host5_fqdn">'Deploy Cluster'!$D$333</definedName>
    <definedName name="input_cluster_az2_host5_mgmt_ip">'Deploy Cluster'!$D$277</definedName>
    <definedName name="input_cluster_az2_host6_fqdn">'Deploy Cluster'!$D$334</definedName>
    <definedName name="input_cluster_az2_host6_mgmt_ip">'Deploy Cluster'!$D$278</definedName>
    <definedName name="input_cluster_az2_host7_fqdn">'Deploy Cluster'!$D$335</definedName>
    <definedName name="input_cluster_az2_host7_mgmt_ip">'Deploy Cluster'!$D$279</definedName>
    <definedName name="input_cluster_az2_host8_fqdn">'Deploy Cluster'!$D$336</definedName>
    <definedName name="input_cluster_az2_host8_mgmt_ip">'Deploy Cluster'!$D$280</definedName>
    <definedName name="input_cluster_az2_host9_fqdn">'Deploy Cluster'!$D$337</definedName>
    <definedName name="input_cluster_az2_host9_mgmt_ip">'Deploy Cluster'!$D$281</definedName>
    <definedName name="input_cluster_az2_mgmt_cidr">'Deploy Cluster'!$D$270</definedName>
    <definedName name="input_cluster_az2_mgmt_gateway_ip">'Deploy Cluster'!$D$269</definedName>
    <definedName name="input_cluster_az2_mgmt_mtu">'Deploy Cluster'!$D$271</definedName>
    <definedName name="input_cluster_az2_mgmt_vlan">'Deploy Cluster'!$D$268</definedName>
    <definedName name="input_cluster_az2_pool_name">'Deploy Cluster'!$D$293</definedName>
    <definedName name="input_cluster_az2_principal_storage_gateway_ip">'Deploy Cluster'!$D$307</definedName>
    <definedName name="input_cluster_az2_principal_storage_mask">'Deploy Cluster'!$D$306</definedName>
    <definedName name="input_cluster_az2_principal_storage_mtu">'Deploy Cluster'!$D$304</definedName>
    <definedName name="input_cluster_az2_principal_storage_network">'Deploy Cluster'!$D$305</definedName>
    <definedName name="input_cluster_az2_principal_storage_pool_end_ip">'Deploy Cluster'!$D$308</definedName>
    <definedName name="input_cluster_az2_principal_storage_pool_start_ip">'Deploy Cluster'!$D$309</definedName>
    <definedName name="input_cluster_az2_principal_storage_vlan">'Deploy Cluster'!$D$303</definedName>
    <definedName name="input_cluster_az2_secondary_storage_gateway_ip">'Deploy Cluster'!$D$315</definedName>
    <definedName name="input_cluster_az2_secondary_storage_mask">'Deploy Cluster'!$D$314</definedName>
    <definedName name="input_cluster_az2_secondary_storage_mtu">'Deploy Cluster'!$D$312</definedName>
    <definedName name="input_cluster_az2_secondary_storage_network">'Deploy Cluster'!$D$313</definedName>
    <definedName name="input_cluster_az2_secondary_storage_pool_end_ip">'Deploy Cluster'!$D$317</definedName>
    <definedName name="input_cluster_az2_secondary_storage_pool_start_ip">'Deploy Cluster'!$D$316</definedName>
    <definedName name="input_cluster_az2_secondary_storage_vlan">'Deploy Cluster'!$D$311</definedName>
    <definedName name="input_cluster_az2_storage_cluster_gateway_ip">'Deploy Cluster'!$D$323</definedName>
    <definedName name="input_cluster_az2_storage_cluster_mask">'Deploy Cluster'!$D$322</definedName>
    <definedName name="input_cluster_az2_storage_cluster_mtu">'Deploy Cluster'!$D$320</definedName>
    <definedName name="input_cluster_az2_storage_cluster_network">'Deploy Cluster'!$D$321</definedName>
    <definedName name="input_cluster_az2_storage_cluster_pool_end_ip">'Deploy Cluster'!$D$325</definedName>
    <definedName name="input_cluster_az2_storage_cluster_pool_start_ip">'Deploy Cluster'!$D$324</definedName>
    <definedName name="input_cluster_az2_storage_cluster_vlan">'Deploy Cluster'!$D$319</definedName>
    <definedName name="input_cluster_az2_tor1_peer_asn">'Deploy Cluster'!$D$444</definedName>
    <definedName name="input_cluster_az2_tor1_peer_ip">'Deploy Cluster'!$D$443</definedName>
    <definedName name="input_cluster_az2_tor2_peer_asn">'Deploy Cluster'!$D$451</definedName>
    <definedName name="input_cluster_az2_tor2_peer_ip">'Deploy Cluster'!$D$448</definedName>
    <definedName name="input_cluster_az2_vmotion_gateway_ip">'Deploy Cluster'!$D$299</definedName>
    <definedName name="input_cluster_az2_vmotion_mask">'Deploy Cluster'!$D$298</definedName>
    <definedName name="input_cluster_az2_vmotion_mtu">'Deploy Cluster'!$D$296</definedName>
    <definedName name="input_cluster_az2_vmotion_network">'Deploy Cluster'!$D$297</definedName>
    <definedName name="input_cluster_az2_vmotion_pool_end_ip">'Deploy Cluster'!$D$301</definedName>
    <definedName name="input_cluster_az2_vmotion_pool_start_ip">'Deploy Cluster'!$D$300</definedName>
    <definedName name="input_cluster_az2_vmotion_vlan">'Deploy Cluster'!$D$295</definedName>
    <definedName name="input_cluster_cluster_sddc_id">'Deploy Cluster'!$D$430</definedName>
    <definedName name="input_cluster_datacenter">'Deploy Cluster'!$D$382</definedName>
    <definedName name="input_cluster_domain_name">'Deploy Cluster'!$D$19</definedName>
    <definedName name="input_cluster_esx_root_password">'Deploy Cluster'!$D$117</definedName>
    <definedName name="input_cluster_esx_root_username">'Deploy Cluster'!$D$116</definedName>
    <definedName name="input_cluster_host_overlay_transportzone">'Deploy Cluster'!$D$242</definedName>
    <definedName name="input_cluster_image_name">'Deploy Cluster'!$D$134</definedName>
    <definedName name="input_cluster_name">'Deploy Cluster'!$D$129</definedName>
    <definedName name="input_cluster_nfs_datastore_name">'Deploy Cluster'!$D$146</definedName>
    <definedName name="input_cluster_nfs_server_address">'Deploy Cluster'!$D$148</definedName>
    <definedName name="input_cluster_nfs_share_path">'Deploy Cluster'!$D$147</definedName>
    <definedName name="input_cluster_nsx_vlan_transport_zone_name">'Deploy Cluster'!$D$252</definedName>
    <definedName name="input_cluster_nsxt_vip_fqdn">'Deploy Cluster'!$D$435</definedName>
    <definedName name="input_cluster_storage_cluster_name">'Deploy Cluster'!$D$140</definedName>
    <definedName name="input_cluster_vc_fqdn">'Deploy Cluster'!$D$381</definedName>
    <definedName name="input_cluster_vds01_lag_name">'Deploy Cluster'!$D$182</definedName>
    <definedName name="input_cluster_vds01_mtu">'Deploy Cluster'!$D$180</definedName>
    <definedName name="input_cluster_vds01_name">'Deploy Cluster'!$D$179</definedName>
    <definedName name="input_cluster_vds01_pnics">'Deploy Cluster'!$D$187</definedName>
    <definedName name="input_cluster_vds01_uplink_count">'Deploy Cluster'!$D$186</definedName>
    <definedName name="input_cluster_vds02_lag_name">'Deploy Cluster'!$D$193</definedName>
    <definedName name="input_cluster_vds02_mtu">'Deploy Cluster'!$D$191</definedName>
    <definedName name="input_cluster_vds02_name">'Deploy Cluster'!$D$190</definedName>
    <definedName name="input_cluster_vds02_pnics">'Deploy Cluster'!$D$198</definedName>
    <definedName name="input_cluster_vds02_uplink_count">'Deploy Cluster'!$D$197</definedName>
    <definedName name="input_cluster_vds03_lag_name">'Deploy Cluster'!$D$204</definedName>
    <definedName name="input_cluster_vds03_mtu">'Deploy Cluster'!$D$202</definedName>
    <definedName name="input_cluster_vds03_name">'Deploy Cluster'!$D$201</definedName>
    <definedName name="input_cluster_vds03_pnics">'Deploy Cluster'!$D$209</definedName>
    <definedName name="input_cluster_vds03_uplink_count">'Deploy Cluster'!$D$208</definedName>
    <definedName name="input_cluster_vmfs_datastore_name">'Deploy Cluster'!$D$145</definedName>
    <definedName name="input_cluster_vsan_datastore">'Deploy Cluster'!$D$141</definedName>
    <definedName name="input_cluster_vsan_type_non_vsan_storage">'Static Reference Tables'!$F$59:$F$61</definedName>
    <definedName name="input_cluster_vsan_type_with_client_network">'Static Reference Tables'!$E$61</definedName>
    <definedName name="input_cluster_vsan_type_without_client_network">'Static Reference Tables'!$E$59:$E$61</definedName>
    <definedName name="input_cluster_witness_cluster">'Deploy Cluster'!$D$364</definedName>
    <definedName name="input_cluster_witness_dns1_ip">'Deploy Cluster'!$D$375</definedName>
    <definedName name="input_cluster_witness_dns2_ip">'Deploy Cluster'!$D$376</definedName>
    <definedName name="input_cluster_witness_fqdn">'Deploy Cluster'!$D$383</definedName>
    <definedName name="input_cluster_witness_hostname">'Deploy Cluster'!$D$363</definedName>
    <definedName name="input_cluster_witness_ip">'Deploy Cluster'!$D$370</definedName>
    <definedName name="input_cluster_witness_mgmt_pg">'Deploy Cluster'!$D$367</definedName>
    <definedName name="input_cluster_witness_ntp1_server">'Deploy Cluster'!$D$377</definedName>
    <definedName name="input_cluster_witness_ntp2_server">'Deploy Cluster'!$D$378</definedName>
    <definedName name="input_cluster_witness_vm_folder">'Deploy Cluster'!$D$365</definedName>
    <definedName name="input_cluster_witness_vsan_datastore">'Deploy Cluster'!$D$366</definedName>
    <definedName name="input_cluster_witness_zone_vc_fqdn">'Deploy Cluster'!$D$362</definedName>
    <definedName name="input_cluster_witnessaz_mask">'Deploy Cluster'!$D$371</definedName>
    <definedName name="input_cluster_witnessaz_mgmt_cidr">'Deploy Cluster'!$D$356</definedName>
    <definedName name="input_cluster_witnessaz_mgmt_gateway_ip">'Deploy Cluster'!$D$355</definedName>
    <definedName name="input_cluster_witnessaz_mgmt_mtu">'Deploy Cluster'!$D$357</definedName>
    <definedName name="input_cluster_witnessaz_mgmt_vlan">'Deploy Cluster'!$D$354</definedName>
    <definedName name="input_cr_clean_room">'Cyber Recovery'!$D$126</definedName>
    <definedName name="input_cr_console_cloud">'Cyber Recovery'!$D$110</definedName>
    <definedName name="input_cr_mgmt_protect_vc_domain">'Cyber Recovery'!$D$34</definedName>
    <definedName name="input_cr_mgmt_protect_vc_fqdn">'Cyber Recovery'!$D$33</definedName>
    <definedName name="input_cr_wld_pnr_fqdn">'Cyber Recovery'!$D$17</definedName>
    <definedName name="input_cr_wld_pnr_ip">'Cyber Recovery'!$D$27</definedName>
    <definedName name="input_cr_wld_protect_vc_replication_user">'Cyber Recovery'!$D$43</definedName>
    <definedName name="input_cr_wld_vrms_pg">'Cyber Recovery'!$D$62</definedName>
    <definedName name="input_domain_controller_hostname">Arkham!$C$15</definedName>
    <definedName name="input_esxi_root_password">'Deploy Management Domain'!$L$81</definedName>
    <definedName name="input_flt_auto_node_pool_end_ip">'Deploy Management Domain'!$L$123</definedName>
    <definedName name="input_flt_auto_node_pool_start_ip">'Deploy Management Domain'!$L$122</definedName>
    <definedName name="input_flt_auto_sr_fqdn">'Deploy Management Domain'!$L$176</definedName>
    <definedName name="input_flt_def_administrator_vsphere_local_password">'Deploy Fleet Management Day-N'!$D$18</definedName>
    <definedName name="input_flt_def_administrator_vsphere_local_username">'Deploy Fleet Management Day-N'!$D$17</definedName>
    <definedName name="input_flt_def_auto_admin_password">'Deploy Fleet Management Day-N'!$D$67</definedName>
    <definedName name="input_flt_def_auto_cluster_cidr">'Deploy Fleet Management Day-N'!$D$66</definedName>
    <definedName name="input_flt_def_auto_node_pool_end_ip">'Deploy Fleet Management Day-N'!$D$28</definedName>
    <definedName name="input_flt_def_auto_node_pool_start_ip">'Deploy Fleet Management Day-N'!$D$27</definedName>
    <definedName name="input_flt_def_auto_node_prefix">'Deploy Fleet Management Day-N'!$D$65</definedName>
    <definedName name="input_flt_def_auto_sr_fqdn">'Deploy Fleet Management Day-N'!$D$41</definedName>
    <definedName name="input_flt_def_auto_sr_ip">'Deploy Fleet Management Day-N'!$D$50</definedName>
    <definedName name="input_flt_def_sddc_mgr_fqdn">'Deploy Fleet Management Day-N'!$D$16</definedName>
    <definedName name="input_flt_def_vcf_operations_admin_password">'Deploy Fleet Management Day-N'!$D$58</definedName>
    <definedName name="input_flt_def_vcf_operations_az1_vcf_mgmt_gateway_cidr">'Deploy Fleet Management Day-N'!$D$25</definedName>
    <definedName name="input_flt_def_vcf_operations_az1_vcf_mgmt_pg">'Deploy Fleet Management Day-N'!$D$24</definedName>
    <definedName name="input_flt_def_vcf_operations_lc_fqdn">'Deploy Fleet Management Day-N'!$D$38</definedName>
    <definedName name="input_flt_def_vcf_operations_lc_ip">'Deploy Fleet Management Day-N'!$D$48</definedName>
    <definedName name="input_flt_def_vcf_operations_nodea_fqdn">'Deploy Fleet Management Day-N'!$D$30</definedName>
    <definedName name="input_flt_def_vcf_operations_nodea_ip">'Deploy Fleet Management Day-N'!$D$43</definedName>
    <definedName name="input_flt_def_vcf_operations_nodeb_fqdn">'Deploy Fleet Management Day-N'!$D$31</definedName>
    <definedName name="input_flt_def_vcf_operations_nodeb_ip">'Deploy Fleet Management Day-N'!$D$44</definedName>
    <definedName name="input_flt_def_vcf_operations_nodec_fqdn">'Deploy Fleet Management Day-N'!$D$32</definedName>
    <definedName name="input_flt_def_vcf_operations_nodec_ip">'Deploy Fleet Management Day-N'!$D$45</definedName>
    <definedName name="input_flt_def_vcf_operations_proxy_az1_vcf_mgmt_gateway_cidr">'Deploy Fleet Management Day-N'!$D$63</definedName>
    <definedName name="input_flt_def_vcf_operations_proxy_az1_vcf_mgmt_pg">'Deploy Fleet Management Day-N'!$D$62</definedName>
    <definedName name="input_flt_def_vcf_operations_proxy_fqdn">'Deploy Fleet Management Day-N'!$D$36</definedName>
    <definedName name="input_flt_def_vcf_operations_proxy_ip">'Deploy Fleet Management Day-N'!$D$47</definedName>
    <definedName name="input_flt_def_vcf_operations_proxy_root_password">'Deploy Fleet Management Day-N'!$D$61</definedName>
    <definedName name="input_flt_def_vcf_operations_root_password">'Deploy Fleet Management Day-N'!$D$57</definedName>
    <definedName name="input_flt_def_vcf_operations_virtual_fqdn">'Deploy Fleet Management Day-N'!$D$34</definedName>
    <definedName name="input_flt_def_vcf_operations_virtual_ip">'Deploy Fleet Management Day-N'!$D$46</definedName>
    <definedName name="input_flt_def_vra_virtual_fqdn">'Deploy Fleet Management Day-N'!$D$40</definedName>
    <definedName name="input_flt_def_vra_virtual_ip">'Deploy Fleet Management Day-N'!$D$49</definedName>
    <definedName name="input_flt_fc_fqdn">'Deploy Management Domain'!$L$167</definedName>
    <definedName name="input_flt_fc_ip">'Deploy Management Domain'!$L$366</definedName>
    <definedName name="input_flt_ic_fqdn">'Deploy Management Domain'!$L$168</definedName>
    <definedName name="input_flt_ic_ip">'Deploy Management Domain'!$L$369</definedName>
    <definedName name="input_flt_lc_fqdn">'Deploy Management Domain'!$L$165</definedName>
    <definedName name="input_flt_lc_ip">'Deploy Management Domain'!$L$367</definedName>
    <definedName name="input_flt_logs_admin_password">'Deploy Fleet Management Day-N'!$D$137</definedName>
    <definedName name="input_flt_logs_admin_username">'Deploy Fleet Management Day-N'!$D$136</definedName>
    <definedName name="input_flt_logs_vip_fqdn">'Deploy Fleet Management Day-N'!$D$138</definedName>
    <definedName name="input_flt_logs_vip_ip">'Deploy Fleet Management Day-N'!$D$143</definedName>
    <definedName name="input_flt_net_admin_password">'Deploy Fleet Management Day-N'!$D$151</definedName>
    <definedName name="input_flt_net_nodea_fqdn">'Deploy Fleet Management Day-N'!$D$158</definedName>
    <definedName name="input_flt_net_nodea_ip">'Deploy Fleet Management Day-N'!$D$153</definedName>
    <definedName name="input_flt_net_prxy_fqdn">'Deploy Fleet Management Day-N'!$D$161</definedName>
    <definedName name="input_flt_net_prxy_ip">'Deploy Fleet Management Day-N'!$D$155</definedName>
    <definedName name="input_flt_sr_fqdn">'Deploy Management Domain'!$L$170</definedName>
    <definedName name="input_flt_vcfms_node_pool_end_ip">'Deploy Management Domain'!$L$118</definedName>
    <definedName name="input_flt_vcfms_node_pool_start_ip">'Deploy Management Domain'!$L$117</definedName>
    <definedName name="input_flt_vidb_base_dn">'Deploy Fleet Management Day-N'!$D$111</definedName>
    <definedName name="input_flt_vidb_bind_password">'Deploy Fleet Management Day-N'!$D$113</definedName>
    <definedName name="input_flt_vidb_bind_username">'Deploy Fleet Management Day-N'!$D$112</definedName>
    <definedName name="input_flt_vidb_directory_name">'Deploy Fleet Management Day-N'!$D$101</definedName>
    <definedName name="input_flt_vidb_distinguished_name">'Deploy Fleet Management Day-N'!$D$119</definedName>
    <definedName name="input_flt_vidb_employeeID">'Deploy Fleet Management Day-N'!$D$120</definedName>
    <definedName name="input_flt_vidb_encrypted_cert">'Deploy Fleet Management Day-N'!$D$105</definedName>
    <definedName name="input_flt_vidb_first_name">'Deploy Fleet Management Day-N'!$D$117</definedName>
    <definedName name="input_flt_vidb_group_base_dn">'Deploy Fleet Management Day-N'!$D$124</definedName>
    <definedName name="input_flt_vidb_last_name">'Deploy Fleet Management Day-N'!$D$118</definedName>
    <definedName name="input_flt_vidb_mail">'Deploy Fleet Management Day-N'!$D$121</definedName>
    <definedName name="input_flt_vidb_primary_domain_controller">'Deploy Fleet Management Day-N'!$D$106</definedName>
    <definedName name="input_flt_vidb_primary_domain_controller_port">'Deploy Fleet Management Day-N'!$D$107</definedName>
    <definedName name="input_flt_vidb_secondary_domain_controller">'Deploy Fleet Management Day-N'!$D$108</definedName>
    <definedName name="input_flt_vidb_secondary_domain_controller_port">'Deploy Fleet Management Day-N'!$D$109</definedName>
    <definedName name="input_flt_vidb_user_base_dn">'Deploy Fleet Management Day-N'!$D$126</definedName>
    <definedName name="input_flt_vidb_user_name">'Deploy Fleet Management Day-N'!$D$116</definedName>
    <definedName name="input_flt_vidb_user_principal_name">'Deploy Fleet Management Day-N'!$D$122</definedName>
    <definedName name="input_flt_vidb_vip_fqdn">'Deploy Management Domain'!$L$169</definedName>
    <definedName name="input_flt_vidb_vip_ip">'Deploy Management Domain'!$L$368</definedName>
    <definedName name="input_gg_kub_admins_group">'Active Directory Inputs'!$E$75</definedName>
    <definedName name="input_gg_kub_readonly_group">'Active Directory Inputs'!$E$76</definedName>
    <definedName name="input_gg_nsx_auditors_group">'Active Directory Inputs'!$E$72</definedName>
    <definedName name="input_gg_nsx_enterprise_admins_group">'Active Directory Inputs'!$E$70</definedName>
    <definedName name="input_gg_nsx_network_admins_group">'Active Directory Inputs'!$E$71</definedName>
    <definedName name="input_gg_sso_admins_group">'Active Directory Inputs'!$E$69</definedName>
    <definedName name="input_gg_vc_admins_group">'Active Directory Inputs'!$E$67</definedName>
    <definedName name="input_gg_vc_read_only_group">'Active Directory Inputs'!$E$68</definedName>
    <definedName name="input_gg_vcf_admins_group">'Active Directory Inputs'!$E$64</definedName>
    <definedName name="input_gg_vcf_operators_group">'Active Directory Inputs'!$E$65</definedName>
    <definedName name="input_gg_vcf_viewers_group">'Active Directory Inputs'!$E$66</definedName>
    <definedName name="input_gg_vra_cloud_assembly_admins_group">'Active Directory Inputs'!$E$95</definedName>
    <definedName name="input_gg_vra_cloud_assembly_users_group">'Active Directory Inputs'!$E$96</definedName>
    <definedName name="input_gg_vra_cloud_assembly_viewers_group">'Active Directory Inputs'!$E$97</definedName>
    <definedName name="input_gg_vra_orchestrator_admins_group">'Active Directory Inputs'!$E$101</definedName>
    <definedName name="input_gg_vra_orchestrator_designers_group">'Active Directory Inputs'!$E$102</definedName>
    <definedName name="input_gg_vra_orchestrator_viewers_group">'Active Directory Inputs'!$E$103</definedName>
    <definedName name="input_gg_vra_org_owners_group">'Active Directory Inputs'!$E$94</definedName>
    <definedName name="input_gg_vra_project_admins_sample_group">'Active Directory Inputs'!$E$104</definedName>
    <definedName name="input_gg_vra_project_users_sample_group">'Active Directory Inputs'!$E$105</definedName>
    <definedName name="input_gg_vra_service_broker_admins_group">'Active Directory Inputs'!$E$98</definedName>
    <definedName name="input_gg_vra_service_broker_users_group">'Active Directory Inputs'!$E$99</definedName>
    <definedName name="input_gg_vra_service_broker_viewers_group">'Active Directory Inputs'!$E$100</definedName>
    <definedName name="input_gg_vrli_admins_group">'Active Directory Inputs'!$E$79</definedName>
    <definedName name="input_gg_vrli_users_group">'Active Directory Inputs'!$E$80</definedName>
    <definedName name="input_gg_vrli_viewers_group">'Active Directory Inputs'!$E$81</definedName>
    <definedName name="input_gg_vrni_admin_group">'Active Directory Inputs'!$E$89</definedName>
    <definedName name="input_gg_vrni_auditor_group">'Active Directory Inputs'!$E$91</definedName>
    <definedName name="input_gg_vrni_member_group">'Active Directory Inputs'!$E$90</definedName>
    <definedName name="input_gg_vrops_admins_group">'Active Directory Inputs'!$E$84</definedName>
    <definedName name="input_gg_vrops_content_admins_group">'Active Directory Inputs'!$E$85</definedName>
    <definedName name="input_gg_vrops_read_only_group">'Active Directory Inputs'!$E$86</definedName>
    <definedName name="input_gg_vrslcm_admins_group">'Active Directory Inputs'!$E$54</definedName>
    <definedName name="input_gg_vrslcm_content_developers_group">'Active Directory Inputs'!$E$56</definedName>
    <definedName name="input_gg_vrslcm_release_managers_group">'Active Directory Inputs'!$E$55</definedName>
    <definedName name="input_k8s_cluster_name">'Private AI Ready Infrastructure'!$D$46</definedName>
    <definedName name="input_k8s_ip_prefixlist">'Private AI Ready Infrastructure'!$D$20</definedName>
    <definedName name="input_k8s_ip_routemap">'Private AI Ready Infrastructure'!$D$21</definedName>
    <definedName name="input_k8s_kubectl_path">'Private AI Ready Infrastructure'!$D$26</definedName>
    <definedName name="input_k8s_mgmt_seg">'Private AI Ready Infrastructure'!$D$19</definedName>
    <definedName name="input_k8s_namepsace">'Private AI Ready Infrastructure'!$D$15</definedName>
    <definedName name="input_k8s_tanzu_k8s_cluster_pod_pool_cidr">'Private AI Ready Infrastructure'!$D$72</definedName>
    <definedName name="input_k8s_tanzu_k8s_cluster_service_pool_cidr">'Private AI Ready Infrastructure'!$D$71</definedName>
    <definedName name="input_k8s_vcenter_category">'Private AI Ready Infrastructure'!$D$22</definedName>
    <definedName name="input_k8s_vcenter_content_library">'Private AI Ready Infrastructure'!$D$95</definedName>
    <definedName name="input_k8s_vcenter_storage_policy">'Private AI Ready Infrastructure'!$D$47</definedName>
    <definedName name="input_k8s_vcenter_tag">'Private AI Ready Infrastructure'!$D$23</definedName>
    <definedName name="input_k8s_vm_class">'Private AI Ready Infrastructure'!$D$27</definedName>
    <definedName name="input_mgmt_avilb_cluster_name">'Configure Management Domain'!$D$289</definedName>
    <definedName name="input_mgmt_avilb_cluster_version">'Configure Management Domain'!$D$279</definedName>
    <definedName name="input_mgmt_avilb_fqdn">'Configure Management Domain'!$D$288</definedName>
    <definedName name="input_mgmt_avilb_ip">'Configure Management Domain'!$D$287</definedName>
    <definedName name="input_mgmt_avilb_mgra_ip">'Configure Management Domain'!$D$284</definedName>
    <definedName name="input_mgmt_avilb_mgrb_ip">'Configure Management Domain'!$D$285</definedName>
    <definedName name="input_mgmt_avilb_mgrc_ip">'Configure Management Domain'!$D$286</definedName>
    <definedName name="input_mgmt_az1_dtgw_gateway_cidr">'Configure Management Domain'!$D$192</definedName>
    <definedName name="input_mgmt_az1_dtgw_vlan">'Configure Management Domain'!$D$191</definedName>
    <definedName name="input_mgmt_az1_edge_overlay_cidr">'Configure Management Domain'!$D$124</definedName>
    <definedName name="input_mgmt_az1_edge_overlay_gateway_ip">'Configure Management Domain'!$D$125</definedName>
    <definedName name="input_mgmt_az1_edge_overlay_mask">'Configure Management Domain'!$D$126</definedName>
    <definedName name="input_mgmt_az1_edge_overlay_mtu">'Configure Management Domain'!$D$238</definedName>
    <definedName name="input_mgmt_az1_edge_overlay_network_pool_name">'Configure Management Domain'!$D$119</definedName>
    <definedName name="input_mgmt_az1_edge_overlay_pool_end_ip">'Configure Management Domain'!$D$121</definedName>
    <definedName name="input_mgmt_az1_edge_overlay_pool_start_ip">'Configure Management Domain'!$D$120</definedName>
    <definedName name="input_mgmt_az1_edge_overlay_vlan">'Configure Management Domain'!$D$116</definedName>
    <definedName name="input_mgmt_az1_en1_edge_overlay_interface_ip_1_ip">'Configure Management Domain'!$D$122</definedName>
    <definedName name="input_mgmt_az1_en1_edge_overlay_interface_ip_2_ip">'Configure Management Domain'!$D$123</definedName>
    <definedName name="input_mgmt_az1_en1_eth0_uplink0">'Configure Management Domain'!$D$112</definedName>
    <definedName name="input_mgmt_az1_en1_eth0_uplink1">'Configure Management Domain'!$D$113</definedName>
    <definedName name="input_mgmt_az1_en1_eth1_uplink0">'Configure Management Domain'!$D$114</definedName>
    <definedName name="input_mgmt_az1_en1_eth1_uplink1">'Configure Management Domain'!$D$115</definedName>
    <definedName name="input_mgmt_az1_en1_fqdn">'Configure Management Domain'!$D$99</definedName>
    <definedName name="input_mgmt_az1_en1_mgmt_cidr">'Configure Management Domain'!$D$107</definedName>
    <definedName name="input_mgmt_az1_en1_uplink01_interface_cidr">'Configure Management Domain'!$D$162</definedName>
    <definedName name="input_mgmt_az1_en1_uplink02_interface_cidr">'Configure Management Domain'!$D$169</definedName>
    <definedName name="input_mgmt_az1_en2_edge_overlay_interface_ip_1_ip">'Configure Management Domain'!$D$147</definedName>
    <definedName name="input_mgmt_az1_en2_edge_overlay_interface_ip_2_ip">'Configure Management Domain'!$D$148</definedName>
    <definedName name="input_mgmt_az1_en2_eth0_uplink0">'Configure Management Domain'!$D$140</definedName>
    <definedName name="input_mgmt_az1_en2_eth0_uplink1">'Configure Management Domain'!$D$141</definedName>
    <definedName name="input_mgmt_az1_en2_eth1_uplink0">'Configure Management Domain'!$D$142</definedName>
    <definedName name="input_mgmt_az1_en2_eth1_uplink1">'Configure Management Domain'!$D$143</definedName>
    <definedName name="input_mgmt_az1_en2_fqdn">'Configure Management Domain'!$D$128</definedName>
    <definedName name="input_mgmt_az1_en2_mgmt_cidr">'Configure Management Domain'!$D$135</definedName>
    <definedName name="input_mgmt_az1_en2_uplink01_interface_cidr">'Configure Management Domain'!$D$177</definedName>
    <definedName name="input_mgmt_az1_en2_uplink02_interface_cidr">'Configure Management Domain'!$D$184</definedName>
    <definedName name="input_mgmt_az1_host_overlay_gateway_cidr">'Deploy Management Domain'!$L$148</definedName>
    <definedName name="input_mgmt_az1_host_overlay_mtu">'Deploy Management Domain'!$L$361</definedName>
    <definedName name="input_mgmt_az1_host_overlay_network_pool_description">Arkham!$Y$7</definedName>
    <definedName name="input_mgmt_az1_host_overlay_network_pool_name">Arkham!$Y$6</definedName>
    <definedName name="input_mgmt_az1_host_overlay_pool_end_ip">'Deploy Management Domain'!$L$151</definedName>
    <definedName name="input_mgmt_az1_host_overlay_pool_start_ip">'Deploy Management Domain'!$L$150</definedName>
    <definedName name="input_mgmt_az1_host_overlay_vlan">'Deploy Management Domain'!$L$147</definedName>
    <definedName name="input_mgmt_az1_host1_fqdn">'Deploy Management Domain'!$L$82</definedName>
    <definedName name="input_mgmt_az1_host1_mgmt_ip">'Deploy Management Domain'!$L$395</definedName>
    <definedName name="input_mgmt_az1_host1_vrms_ip">'Site Protection &amp; DR'!$D$176</definedName>
    <definedName name="input_mgmt_az1_host10_fqdn">'Deploy Management Domain'!$L$91</definedName>
    <definedName name="input_mgmt_az1_host10_mgmt_ip">'Deploy Management Domain'!$L$404</definedName>
    <definedName name="input_mgmt_az1_host10_vrms_ip">'Site Protection &amp; DR'!$D$185</definedName>
    <definedName name="input_mgmt_az1_host11_fqdn">'Deploy Management Domain'!$L$92</definedName>
    <definedName name="input_mgmt_az1_host11_mgmt_ip">'Deploy Management Domain'!$L$405</definedName>
    <definedName name="input_mgmt_az1_host11_vrms_ip">'Site Protection &amp; DR'!$D$186</definedName>
    <definedName name="input_mgmt_az1_host12_fqdn">'Deploy Management Domain'!$L$93</definedName>
    <definedName name="input_mgmt_az1_host12_mgmt_ip">'Deploy Management Domain'!$L$406</definedName>
    <definedName name="input_mgmt_az1_host12_vrms_ip">'Site Protection &amp; DR'!$D$187</definedName>
    <definedName name="input_mgmt_az1_host13_fqdn">'Deploy Management Domain'!$L$94</definedName>
    <definedName name="input_mgmt_az1_host13_mgmt_ip">'Deploy Management Domain'!$L$407</definedName>
    <definedName name="input_mgmt_az1_host13_vrms_ip">'Site Protection &amp; DR'!$D$188</definedName>
    <definedName name="input_mgmt_az1_host14_fqdn">'Deploy Management Domain'!$L$95</definedName>
    <definedName name="input_mgmt_az1_host14_mgmt_ip">'Deploy Management Domain'!$L$408</definedName>
    <definedName name="input_mgmt_az1_host14_vrms_ip">'Site Protection &amp; DR'!$D$189</definedName>
    <definedName name="input_mgmt_az1_host15_fqdn">'Deploy Management Domain'!$L$96</definedName>
    <definedName name="input_mgmt_az1_host15_mgmt_ip">'Deploy Management Domain'!$L$409</definedName>
    <definedName name="input_mgmt_az1_host15_vrms_ip">'Site Protection &amp; DR'!$D$190</definedName>
    <definedName name="input_mgmt_az1_host16_fqdn">'Deploy Management Domain'!$L$97</definedName>
    <definedName name="input_mgmt_az1_host16_mgmt_ip">'Deploy Management Domain'!$L$410</definedName>
    <definedName name="input_mgmt_az1_host16_vrms_ip">'Site Protection &amp; DR'!$D$191</definedName>
    <definedName name="input_mgmt_az1_host2_fqdn">'Deploy Management Domain'!$L$83</definedName>
    <definedName name="input_mgmt_az1_host2_mgmt_ip">'Deploy Management Domain'!$L$396</definedName>
    <definedName name="input_mgmt_az1_host2_vrms_ip">'Site Protection &amp; DR'!$D$177</definedName>
    <definedName name="input_mgmt_az1_host3_fqdn">'Deploy Management Domain'!$L$84</definedName>
    <definedName name="input_mgmt_az1_host3_mgmt_ip">'Deploy Management Domain'!$L$397</definedName>
    <definedName name="input_mgmt_az1_host3_vrms_ip">'Site Protection &amp; DR'!$D$178</definedName>
    <definedName name="input_mgmt_az1_host4_fqdn">'Deploy Management Domain'!$L$85</definedName>
    <definedName name="input_mgmt_az1_host4_mgmt_ip">'Deploy Management Domain'!$L$398</definedName>
    <definedName name="input_mgmt_az1_host4_vrms_ip">'Site Protection &amp; DR'!$D$179</definedName>
    <definedName name="input_mgmt_az1_host5_fqdn">'Deploy Management Domain'!$L$86</definedName>
    <definedName name="input_mgmt_az1_host5_mgmt_ip">'Deploy Management Domain'!$L$399</definedName>
    <definedName name="input_mgmt_az1_host5_vrms_ip">'Site Protection &amp; DR'!$D$180</definedName>
    <definedName name="input_mgmt_az1_host6_fqdn">'Deploy Management Domain'!$L$87</definedName>
    <definedName name="input_mgmt_az1_host6_mgmt_ip">'Deploy Management Domain'!$L$400</definedName>
    <definedName name="input_mgmt_az1_host6_vrms_ip">'Site Protection &amp; DR'!$D$181</definedName>
    <definedName name="input_mgmt_az1_host7_fqdn">'Deploy Management Domain'!$L$88</definedName>
    <definedName name="input_mgmt_az1_host7_mgmt_ip">'Deploy Management Domain'!$L$401</definedName>
    <definedName name="input_mgmt_az1_host7_vrms_ip">'Site Protection &amp; DR'!$D$182</definedName>
    <definedName name="input_mgmt_az1_host8_fqdn">'Deploy Management Domain'!$L$89</definedName>
    <definedName name="input_mgmt_az1_host8_mgmt_ip">'Deploy Management Domain'!$L$402</definedName>
    <definedName name="input_mgmt_az1_host8_vrms_ip">'Site Protection &amp; DR'!$D$183</definedName>
    <definedName name="input_mgmt_az1_host9_fqdn">'Deploy Management Domain'!$L$90</definedName>
    <definedName name="input_mgmt_az1_host9_mgmt_ip">'Deploy Management Domain'!$L$403</definedName>
    <definedName name="input_mgmt_az1_host9_vrms_ip">'Site Protection &amp; DR'!$D$184</definedName>
    <definedName name="input_mgmt_az1_mgmt_gateway_cidr">'Deploy Management Domain'!$L$104</definedName>
    <definedName name="input_mgmt_az1_mgmt_mtu">'Deploy Management Domain'!$L$103</definedName>
    <definedName name="input_mgmt_az1_mgmt_vlan">'Deploy Management Domain'!$L$102</definedName>
    <definedName name="input_mgmt_az1_mgmt_vm_gateway_cidr">'Deploy Management Domain'!$L$109</definedName>
    <definedName name="input_mgmt_az1_mgmt_vm_mtu">'Deploy Management Domain'!$L$108</definedName>
    <definedName name="input_mgmt_az1_mgmt_vm_vlan">'Deploy Management Domain'!$L$107</definedName>
    <definedName name="input_mgmt_az1_rtep_ip_pool_name">'Configure Management Domain'!$D$562</definedName>
    <definedName name="input_mgmt_az1_rtep_overlay_cidr">'Configure Management Domain'!$D$565</definedName>
    <definedName name="input_mgmt_az1_rtep_overlay_gateway_ip">'Configure Management Domain'!$D$566</definedName>
    <definedName name="input_mgmt_az1_rtep_overlay_vlan">'Configure Management Domain'!$D$589</definedName>
    <definedName name="input_mgmt_az1_secondary_storage_gateway_cidr">'Deploy Management Domain'!$L$143</definedName>
    <definedName name="input_mgmt_az1_secondary_storage_mtu">'Deploy Management Domain'!$L$142</definedName>
    <definedName name="input_mgmt_az1_secondary_storage_pool_end_ip">'Deploy Management Domain'!$L$145</definedName>
    <definedName name="input_mgmt_az1_secondary_storage_pool_start_ip">'Deploy Management Domain'!$L$144</definedName>
    <definedName name="input_mgmt_az1_secondary_storage_vlan">'Deploy Management Domain'!$L$141</definedName>
    <definedName name="input_mgmt_az1_tor1_peer_asn">'Configure Management Domain'!$D$166</definedName>
    <definedName name="input_mgmt_az1_tor1_peer_bgp_password">'Configure Management Domain'!$D$167</definedName>
    <definedName name="input_mgmt_az1_tor1_peer_ip">'Configure Management Domain'!$D$163</definedName>
    <definedName name="input_mgmt_az1_tor2_peer_asn">'Configure Management Domain'!$D$173</definedName>
    <definedName name="input_mgmt_az1_tor2_peer_bgp_password">'Configure Management Domain'!$D$174</definedName>
    <definedName name="input_mgmt_az1_tor2_peer_ip">'Configure Management Domain'!$D$170</definedName>
    <definedName name="input_mgmt_az1_uplink01_cidr">'Configure Management Domain'!$D$232</definedName>
    <definedName name="input_mgmt_az1_uplink01_gateway_ip">'Configure Management Domain'!$D$231</definedName>
    <definedName name="input_mgmt_az1_uplink01_mtu">'Configure Management Domain'!$D$164</definedName>
    <definedName name="input_mgmt_az1_uplink01_vlan">'Configure Management Domain'!$D$161</definedName>
    <definedName name="input_mgmt_az1_uplink02_cidr">'Configure Management Domain'!$D$236</definedName>
    <definedName name="input_mgmt_az1_uplink02_gateway_ip">'Configure Management Domain'!$D$235</definedName>
    <definedName name="input_mgmt_az1_uplink02_mtu">'Configure Management Domain'!$D$171</definedName>
    <definedName name="input_mgmt_az1_uplink02_vlan">'Configure Management Domain'!$D$168</definedName>
    <definedName name="input_mgmt_az1_vcf_mgmt_gateway_cidr">'Deploy Management Domain'!$L$114</definedName>
    <definedName name="input_mgmt_az1_vcf_mgmt_gateway_ipv6_cidr">'Deploy Management Domain'!$L$115</definedName>
    <definedName name="input_mgmt_az1_vcf_mgmt_mtu">'Deploy Management Domain'!$L$113</definedName>
    <definedName name="input_mgmt_az1_vcf_mgmt_vlan">'Deploy Management Domain'!$L$112</definedName>
    <definedName name="input_mgmt_az1_vmotion_gateway_cidr">'Deploy Management Domain'!$L$127</definedName>
    <definedName name="input_mgmt_az1_vmotion_mtu">'Deploy Management Domain'!$L$126</definedName>
    <definedName name="input_mgmt_az1_vmotion_pool_end_ip">'Deploy Management Domain'!$L$129</definedName>
    <definedName name="input_mgmt_az1_vmotion_pool_start_ip">'Deploy Management Domain'!$L$128</definedName>
    <definedName name="input_mgmt_az1_vmotion_vlan">'Deploy Management Domain'!$L$125</definedName>
    <definedName name="input_mgmt_az1_vrms_mask">'Site Protection &amp; DR'!$D$172</definedName>
    <definedName name="input_mgmt_az1_vrms_mtu">'Site Protection &amp; DR'!$D$174</definedName>
    <definedName name="input_mgmt_az1_vrms_vlan">'Site Protection &amp; DR'!$D$163</definedName>
    <definedName name="input_mgmt_az1_vsan_gateway_cidr">'Deploy Management Domain'!$L$135</definedName>
    <definedName name="input_mgmt_az1_vsan_mtu">'Deploy Management Domain'!$L$134</definedName>
    <definedName name="input_mgmt_az1_vsan_pool_end_ip">'Deploy Management Domain'!$L$137</definedName>
    <definedName name="input_mgmt_az1_vsan_pool_start_ip">'Deploy Management Domain'!$L$136</definedName>
    <definedName name="input_mgmt_az1_vsan_vlan">'Deploy Management Domain'!$L$133</definedName>
    <definedName name="input_mgmt_az2_host_overlay_cidr">'Configure Management Domain'!$D$438</definedName>
    <definedName name="input_mgmt_az2_host_overlay_gateway_ip">'Configure Management Domain'!$D$437</definedName>
    <definedName name="input_mgmt_az2_host_overlay_mtu">'Configure Management Domain'!$D$439</definedName>
    <definedName name="input_mgmt_az2_host_overlay_network_pool_name">'Configure Management Domain'!$D$434</definedName>
    <definedName name="input_mgmt_az2_host_overlay_network_profile_name">'Configure Management Domain'!$D$432</definedName>
    <definedName name="input_mgmt_az2_host_overlay_pool_end_ip">'Configure Management Domain'!$D$441</definedName>
    <definedName name="input_mgmt_az2_host_overlay_pool_start_ip">'Configure Management Domain'!$D$440</definedName>
    <definedName name="input_mgmt_az2_host_overlay_uplink_profile_name">'Configure Management Domain'!$D$435</definedName>
    <definedName name="input_mgmt_az2_host_overlay_vlan">'Configure Management Domain'!$D$436</definedName>
    <definedName name="input_mgmt_az2_host1_fqdn">'Configure Management Domain'!$D$350</definedName>
    <definedName name="input_mgmt_az2_host1_mgmt_ip">'Configure Management Domain'!$D$301</definedName>
    <definedName name="input_mgmt_az2_host1_sddc_id">'Configure Management Domain'!$D$416</definedName>
    <definedName name="input_mgmt_az2_host1_vrms_ip">'Site Protection &amp; DR'!$D$193</definedName>
    <definedName name="input_mgmt_az2_host10_fqdn">'Configure Management Domain'!$D$359</definedName>
    <definedName name="input_mgmt_az2_host10_mgmt_ip">'Configure Management Domain'!$D$310</definedName>
    <definedName name="input_mgmt_az2_host10_vrms_ip">'Site Protection &amp; DR'!$D$202</definedName>
    <definedName name="input_mgmt_az2_host11_fqdn">'Configure Management Domain'!$D$360</definedName>
    <definedName name="input_mgmt_az2_host11_mgmt_ip">'Configure Management Domain'!$D$311</definedName>
    <definedName name="input_mgmt_az2_host11_vrms_ip">'Site Protection &amp; DR'!$D$203</definedName>
    <definedName name="input_mgmt_az2_host12_fqdn">'Configure Management Domain'!$D$361</definedName>
    <definedName name="input_mgmt_az2_host12_mgmt_ip">'Configure Management Domain'!$D$312</definedName>
    <definedName name="input_mgmt_az2_host12_vrms_ip">'Site Protection &amp; DR'!$D$204</definedName>
    <definedName name="input_mgmt_az2_host13_fqdn">'Configure Management Domain'!$D$362</definedName>
    <definedName name="input_mgmt_az2_host13_mgmt_ip">'Configure Management Domain'!$D$313</definedName>
    <definedName name="input_mgmt_az2_host13_vrms_ip">'Site Protection &amp; DR'!$D$205</definedName>
    <definedName name="input_mgmt_az2_host14_fqdn">'Configure Management Domain'!$D$363</definedName>
    <definedName name="input_mgmt_az2_host14_mgmt_ip">'Configure Management Domain'!$D$314</definedName>
    <definedName name="input_mgmt_az2_host14_vrms_ip">'Site Protection &amp; DR'!$D$206</definedName>
    <definedName name="input_mgmt_az2_host15_fqdn">'Configure Management Domain'!$D$364</definedName>
    <definedName name="input_mgmt_az2_host15_mgmt_ip">'Configure Management Domain'!$D$315</definedName>
    <definedName name="input_mgmt_az2_host15_vrms_ip">'Site Protection &amp; DR'!$D$207</definedName>
    <definedName name="input_mgmt_az2_host16_fqdn">'Configure Management Domain'!$D$365</definedName>
    <definedName name="input_mgmt_az2_host16_mgmt_ip">'Configure Management Domain'!$D$316</definedName>
    <definedName name="input_mgmt_az2_host16_vrms_ip">'Site Protection &amp; DR'!$D$208</definedName>
    <definedName name="input_mgmt_az2_host2_fqdn">'Configure Management Domain'!$D$351</definedName>
    <definedName name="input_mgmt_az2_host2_mgmt_ip">'Configure Management Domain'!$D$302</definedName>
    <definedName name="input_mgmt_az2_host2_sddc_id">'Configure Management Domain'!$D$417</definedName>
    <definedName name="input_mgmt_az2_host2_vrms_ip">'Site Protection &amp; DR'!$D$194</definedName>
    <definedName name="input_mgmt_az2_host3_fqdn">'Configure Management Domain'!$D$352</definedName>
    <definedName name="input_mgmt_az2_host3_mgmt_ip">'Configure Management Domain'!$D$303</definedName>
    <definedName name="input_mgmt_az2_host3_sddc_id">'Configure Management Domain'!$D$418</definedName>
    <definedName name="input_mgmt_az2_host3_vrms_ip">'Site Protection &amp; DR'!$D$195</definedName>
    <definedName name="input_mgmt_az2_host4_fqdn">'Configure Management Domain'!$D$353</definedName>
    <definedName name="input_mgmt_az2_host4_mgmt_ip">'Configure Management Domain'!$D$304</definedName>
    <definedName name="input_mgmt_az2_host4_sddc_id">'Configure Management Domain'!$D$419</definedName>
    <definedName name="input_mgmt_az2_host4_vrms_ip">'Site Protection &amp; DR'!$D$196</definedName>
    <definedName name="input_mgmt_az2_host5_fqdn">'Configure Management Domain'!$D$354</definedName>
    <definedName name="input_mgmt_az2_host5_mgmt_ip">'Configure Management Domain'!$D$305</definedName>
    <definedName name="input_mgmt_az2_host5_vrms_ip">'Site Protection &amp; DR'!$D$197</definedName>
    <definedName name="input_mgmt_az2_host6_fqdn">'Configure Management Domain'!$D$355</definedName>
    <definedName name="input_mgmt_az2_host6_mgmt_ip">'Configure Management Domain'!$D$306</definedName>
    <definedName name="input_mgmt_az2_host6_vrms_ip">'Site Protection &amp; DR'!$D$198</definedName>
    <definedName name="input_mgmt_az2_host7_fqdn">'Configure Management Domain'!$D$356</definedName>
    <definedName name="input_mgmt_az2_host7_mgmt_ip">'Configure Management Domain'!$D$307</definedName>
    <definedName name="input_mgmt_az2_host7_vrms_ip">'Site Protection &amp; DR'!$D$199</definedName>
    <definedName name="input_mgmt_az2_host8_fqdn">'Configure Management Domain'!$D$357</definedName>
    <definedName name="input_mgmt_az2_host8_mgmt_ip">'Configure Management Domain'!$D$308</definedName>
    <definedName name="input_mgmt_az2_host8_vrms_ip">'Site Protection &amp; DR'!$D$200</definedName>
    <definedName name="input_mgmt_az2_host9_fqdn">'Configure Management Domain'!$D$358</definedName>
    <definedName name="input_mgmt_az2_host9_mgmt_ip">'Configure Management Domain'!$D$309</definedName>
    <definedName name="input_mgmt_az2_host9_vrms_ip">'Site Protection &amp; DR'!$D$201</definedName>
    <definedName name="input_mgmt_az2_mgmt_cidr">'Configure Management Domain'!$D$298</definedName>
    <definedName name="input_mgmt_az2_mgmt_gateway_ip">'Configure Management Domain'!$D$297</definedName>
    <definedName name="input_mgmt_az2_mgmt_mtu">'Configure Management Domain'!$D$299</definedName>
    <definedName name="input_mgmt_az2_mgmt_vlan">'Configure Management Domain'!$D$296</definedName>
    <definedName name="input_mgmt_az2_pool_name">'Configure Management Domain'!$D$321</definedName>
    <definedName name="input_mgmt_az2_secondary_storage_gateway_ip">'Configure Management Domain'!$D$343</definedName>
    <definedName name="input_mgmt_az2_secondary_storage_mask">'Configure Management Domain'!$D$342</definedName>
    <definedName name="input_mgmt_az2_secondary_storage_mtu">'Configure Management Domain'!$D$340</definedName>
    <definedName name="input_mgmt_az2_secondary_storage_network">'Configure Management Domain'!$D$341</definedName>
    <definedName name="input_mgmt_az2_secondary_storage_pool_end_ip">'Configure Management Domain'!$D$345</definedName>
    <definedName name="input_mgmt_az2_secondary_storage_pool_start_ip">'Configure Management Domain'!$D$344</definedName>
    <definedName name="input_mgmt_az2_secondary_storage_vlan">'Configure Management Domain'!$D$339</definedName>
    <definedName name="input_mgmt_az2_tor1_peer_asn">'Configure Management Domain'!$D$456</definedName>
    <definedName name="input_mgmt_az2_tor1_peer_bgp_password">'Configure Management Domain'!$D$459</definedName>
    <definedName name="input_mgmt_az2_tor1_peer_ip">'Configure Management Domain'!$D$455</definedName>
    <definedName name="input_mgmt_az2_tor2_peer_asn">'Configure Management Domain'!$D$463</definedName>
    <definedName name="input_mgmt_az2_tor2_peer_bgp_password">'Configure Management Domain'!$D$464</definedName>
    <definedName name="input_mgmt_az2_tor2_peer_ip">'Configure Management Domain'!$D$460</definedName>
    <definedName name="input_mgmt_az2_vmotion_gateway_ip">'Configure Management Domain'!$D$327</definedName>
    <definedName name="input_mgmt_az2_vmotion_mask">'Configure Management Domain'!$D$326</definedName>
    <definedName name="input_mgmt_az2_vmotion_mtu">'Configure Management Domain'!$D$324</definedName>
    <definedName name="input_mgmt_az2_vmotion_network">'Configure Management Domain'!$D$325</definedName>
    <definedName name="input_mgmt_az2_vmotion_pool_end_ip">'Configure Management Domain'!$D$329</definedName>
    <definedName name="input_mgmt_az2_vmotion_pool_start_ip">'Configure Management Domain'!$D$328</definedName>
    <definedName name="input_mgmt_az2_vmotion_vlan">'Configure Management Domain'!$D$323</definedName>
    <definedName name="input_mgmt_az2_vsan_gateway_ip">'Configure Management Domain'!$D$335</definedName>
    <definedName name="input_mgmt_az2_vsan_mask">'Configure Management Domain'!$D$334</definedName>
    <definedName name="input_mgmt_az2_vsan_mtu">'Configure Management Domain'!$D$332</definedName>
    <definedName name="input_mgmt_az2_vsan_network">'Configure Management Domain'!$D$333</definedName>
    <definedName name="input_mgmt_az2_vsan_pool_end_ip">'Configure Management Domain'!$D$337</definedName>
    <definedName name="input_mgmt_az2_vsan_pool_start_ip">'Configure Management Domain'!$D$336</definedName>
    <definedName name="input_mgmt_az2_vsan_vlan">'Configure Management Domain'!$D$331</definedName>
    <definedName name="input_mgmt_cl01_az1_mgmt_pg">'Deploy Management Domain'!$L$239</definedName>
    <definedName name="input_mgmt_cl01_az1_mgmt_vm_pg">'Deploy Management Domain'!$L$244</definedName>
    <definedName name="input_mgmt_cl01_az1_nfs_pg">'Deploy Management Domain'!$L$264</definedName>
    <definedName name="input_mgmt_cl01_az1_uplink01_pg">'Configure Management Domain'!$D$230</definedName>
    <definedName name="input_mgmt_cl01_az1_uplink02_pg">'Configure Management Domain'!$D$234</definedName>
    <definedName name="input_mgmt_cl01_az1_vcf_mgmt_pg">'Deploy Management Domain'!$L$249</definedName>
    <definedName name="input_mgmt_cl01_az1_vmotion_pg">'Deploy Management Domain'!$L$254</definedName>
    <definedName name="input_mgmt_cl01_az1_vsan_pg">'Deploy Management Domain'!$L$259</definedName>
    <definedName name="input_mgmt_cl01_cluster">'Deploy Management Domain'!$L$183</definedName>
    <definedName name="input_mgmt_cl01_cluster_sddc_id">'Configure Management Domain'!$D$445</definedName>
    <definedName name="input_mgmt_cl01_nfs_server_ip">'Deploy Management Domain'!$L$195</definedName>
    <definedName name="input_mgmt_cl01_nfs_share">'Deploy Management Domain'!$L$194</definedName>
    <definedName name="input_mgmt_cl01_vds01_lag_name">'Deploy Management Domain'!$L$209</definedName>
    <definedName name="input_mgmt_cl01_vds01_mtu">'Deploy Management Domain'!$L$207</definedName>
    <definedName name="input_mgmt_cl01_vds01_name">'Deploy Management Domain'!$L$206</definedName>
    <definedName name="input_mgmt_cl01_vds01_uplink_count">'Deploy Management Domain'!$L$213</definedName>
    <definedName name="input_mgmt_cl01_vds01_uplink1">'Deploy Management Domain'!$L$214</definedName>
    <definedName name="input_mgmt_cl01_vds01_uplink2">'Deploy Management Domain'!$L$215</definedName>
    <definedName name="input_mgmt_cl01_vds02_lag_name">'Deploy Management Domain'!$L$220</definedName>
    <definedName name="input_mgmt_cl01_vds02_mtu">'Deploy Management Domain'!$L$218</definedName>
    <definedName name="input_mgmt_cl01_vds02_name">'Deploy Management Domain'!$L$217</definedName>
    <definedName name="input_mgmt_cl01_vds02_uplink_count">'Deploy Management Domain'!$L$224</definedName>
    <definedName name="input_mgmt_cl01_vds02_uplink1">'Deploy Management Domain'!$L$225</definedName>
    <definedName name="input_mgmt_cl01_vds02_uplink2">'Deploy Management Domain'!$L$226</definedName>
    <definedName name="input_mgmt_cl01_vds03_lag_name">'Deploy Management Domain'!$L$231</definedName>
    <definedName name="input_mgmt_cl01_vds03_mtu">'Deploy Management Domain'!$L$229</definedName>
    <definedName name="input_mgmt_cl01_vds03_name">'Deploy Management Domain'!$L$228</definedName>
    <definedName name="input_mgmt_cl01_vds03_uplink_count">'Deploy Management Domain'!$L$235</definedName>
    <definedName name="input_mgmt_cl01_vds03_uplink1">'Deploy Management Domain'!$L$236</definedName>
    <definedName name="input_mgmt_cl01_vds03_uplink2">'Deploy Management Domain'!$L$237</definedName>
    <definedName name="input_mgmt_cl01_vsan_datastore">'Deploy Management Domain'!$L$190</definedName>
    <definedName name="input_mgmt_cross_instance_linked_t0_name">'Configure Management Domain'!$D$594</definedName>
    <definedName name="input_mgmt_datacenter">'Deploy Management Domain'!$L$182</definedName>
    <definedName name="input_mgmt_depot_activation_code">'Deploy Management Domain'!$L$13</definedName>
    <definedName name="input_mgmt_ec_mtu">'Configure Management Domain'!$D$96</definedName>
    <definedName name="input_mgmt_ec_name">'Configure Management Domain'!$D$95</definedName>
    <definedName name="input_mgmt_ec_rp_name">'Configure Management Domain'!$D$101</definedName>
    <definedName name="input_mgmt_ec01_en01_host_group_affinity_rule_name">'Configure Management Domain'!$D$103</definedName>
    <definedName name="input_mgmt_ec01_en02_host_group_affinity_rule_name">'Configure Management Domain'!$D$132</definedName>
    <definedName name="input_mgmt_en_asn">'Configure Management Domain'!$D$159</definedName>
    <definedName name="input_mgmt_existing_active_nsx_gm">'Configure Management Domain'!$D$602</definedName>
    <definedName name="input_mgmt_existing_cross_instance_t0_name">'Configure Management Domain'!$D$603</definedName>
    <definedName name="input_mgmt_host_overlay_transportzone">Arkham!$Y$5</definedName>
    <definedName name="input_mgmt_internet_proxy_address">'Deploy Management Domain'!$L$16</definedName>
    <definedName name="input_mgmt_internet_proxy_email">'Deploy Management Domain'!$L$19</definedName>
    <definedName name="input_mgmt_internet_proxy_password">'Deploy Management Domain'!$L$20</definedName>
    <definedName name="input_mgmt_internet_proxy_port">'Deploy Management Domain'!$L$17</definedName>
    <definedName name="input_mgmt_nsxt_en_admin_password">'Configure Management Domain'!$D$154</definedName>
    <definedName name="input_mgmt_nsxt_en_root_password">'Configure Management Domain'!$D$153</definedName>
    <definedName name="input_mgmt_nsxt_federation_global_manager_name">'Configure Management Domain'!$D$569</definedName>
    <definedName name="input_mgmt_nsxt_federation_location_name">'Configure Management Domain'!$D$583</definedName>
    <definedName name="input_mgmt_nsxt_global_mgr_anti_affinity_rule_name">'Configure Management Domain'!$D$540</definedName>
    <definedName name="input_mgmt_nsxt_global_mgr_certificate_id">'Configure Management Domain'!$D$552</definedName>
    <definedName name="input_mgmt_nsxt_global_mgr_cluster_id">'Configure Management Domain'!$D$524</definedName>
    <definedName name="input_mgmt_nsxt_global_mgr_vmca_signed_thumbprint">'Configure Management Domain'!$D$525</definedName>
    <definedName name="input_mgmt_nsxt_global_mgra_fqdn">'Configure Management Domain'!$D$480</definedName>
    <definedName name="input_mgmt_nsxt_global_mgra_hostname">'Configure Management Domain'!$D$471</definedName>
    <definedName name="input_mgmt_nsxt_global_mgra_ip">'Configure Management Domain'!$D$481</definedName>
    <definedName name="input_mgmt_nsxt_global_mgrb_fqdn">'Configure Management Domain'!$D$497</definedName>
    <definedName name="input_mgmt_nsxt_global_mgrb_hostname">'Configure Management Domain'!$D$488</definedName>
    <definedName name="input_mgmt_nsxt_global_mgrb_ip">'Configure Management Domain'!$D$498</definedName>
    <definedName name="input_mgmt_nsxt_global_mgrc_fqdn">'Configure Management Domain'!$D$514</definedName>
    <definedName name="input_mgmt_nsxt_global_mgrc_hostname">'Configure Management Domain'!$D$505</definedName>
    <definedName name="input_mgmt_nsxt_global_mgrc_ip">'Configure Management Domain'!$D$515</definedName>
    <definedName name="input_mgmt_nsxt_gm_fingerprint">'Configure Management Domain'!$D$572</definedName>
    <definedName name="input_mgmt_nsxt_gm_vip_fqdn">'Configure Management Domain'!$D$521</definedName>
    <definedName name="input_mgmt_nsxt_gm_vip_ip">'Configure Management Domain'!$D$546</definedName>
    <definedName name="input_mgmt_nsxt_lm_fingerprint">'Configure Management Domain'!$D$581</definedName>
    <definedName name="input_mgmt_nsxt_mgra_fqdn">'Deploy Management Domain'!$L$279</definedName>
    <definedName name="input_mgmt_nsxt_mgra_ip">'Deploy Management Domain'!$L$391</definedName>
    <definedName name="input_mgmt_nsxt_mgrb_fqdn">'Deploy Management Domain'!$L$280</definedName>
    <definedName name="input_mgmt_nsxt_mgrb_ip">'Deploy Management Domain'!$L$392</definedName>
    <definedName name="input_mgmt_nsxt_mgrc_fqdn">'Deploy Management Domain'!$L$281</definedName>
    <definedName name="input_mgmt_nsxt_mgrc_ip">'Deploy Management Domain'!$L$393</definedName>
    <definedName name="input_mgmt_nsxt_vip_fqdn">'Deploy Management Domain'!$L$278</definedName>
    <definedName name="input_mgmt_nsxt_vip_ip">'Deploy Management Domain'!$L$390</definedName>
    <definedName name="input_mgmt_nsxt_xreg_t1_name">'Configure Management Domain'!$D$593</definedName>
    <definedName name="input_mgmt_offline_depot_fqdn">'Deploy Management Domain'!$L$10</definedName>
    <definedName name="input_mgmt_offline_depot_port">'Deploy Management Domain'!$L$11</definedName>
    <definedName name="input_mgmt_recovery_lb_creation_method">'Dumping Ground'!$D$53</definedName>
    <definedName name="input_mgmt_rtep_overlay_pool_end_ip">'Configure Management Domain'!$D$564</definedName>
    <definedName name="input_mgmt_rtep_overlay_pool_start_ip">'Configure Management Domain'!$D$563</definedName>
    <definedName name="input_mgmt_rwr_recovery_site_az1_mgmt_cidr">'On-Premises Ransomware Recovery'!$D$101</definedName>
    <definedName name="input_mgmt_rwr_vc_fqdn">'On-Premises Ransomware Recovery'!$D$9</definedName>
    <definedName name="input_mgmt_sddc_domain">'Deploy Management Domain'!$L$68</definedName>
    <definedName name="input_mgmt_srm_admin_email">'Dumping Ground'!$D$41</definedName>
    <definedName name="input_mgmt_srm_admin_password">'Dumping Ground'!$D$38</definedName>
    <definedName name="input_mgmt_srm_database_password">'Dumping Ground'!$D$39</definedName>
    <definedName name="input_mgmt_srm_days">'Site Protection &amp; DR'!$D$255</definedName>
    <definedName name="input_mgmt_srm_instances_per_day">'Site Protection &amp; DR'!$D$254</definedName>
    <definedName name="input_mgmt_srm_ip">'Dumping Ground'!$G$6</definedName>
    <definedName name="input_mgmt_srm_logs_pg">'Site Protection &amp; DR'!$D$282</definedName>
    <definedName name="input_mgmt_srm_logs_rp">'Site Protection &amp; DR'!$D$283</definedName>
    <definedName name="input_mgmt_srm_net_pg">'Site Protection &amp; DR'!$D$307</definedName>
    <definedName name="input_mgmt_srm_net_rp">'Site Protection &amp; DR'!$D$308</definedName>
    <definedName name="input_mgmt_srm_p12_password">'Dumping Ground'!$D$42</definedName>
    <definedName name="input_mgmt_srm_recovery_cluster">'Site Protection &amp; DR'!$D$324</definedName>
    <definedName name="input_mgmt_srm_recovery_datastore">'Site Protection &amp; DR'!$D$252</definedName>
    <definedName name="input_mgmt_srm_recovery_gateway">'Site Protection &amp; DR'!$D$382</definedName>
    <definedName name="input_mgmt_srm_recovery_mask">'Site Protection &amp; DR'!$D$383</definedName>
    <definedName name="input_mgmt_srm_recovery_nsx_ec_name">'Dumping Ground'!$D$60</definedName>
    <definedName name="input_mgmt_srm_recovery_nsx_location">'Dumping Ground'!$D$59</definedName>
    <definedName name="input_mgmt_srm_recovery_pg">'Site Protection &amp; DR'!$D$376</definedName>
    <definedName name="input_mgmt_srm_recovery_sddc_manager_domain">'Dumping Ground'!$D$58</definedName>
    <definedName name="input_mgmt_srm_recovery_sddc_manager_fqdn">'Dumping Ground'!$D$17</definedName>
    <definedName name="input_mgmt_srm_recovery_sddc_manager_password">'Dumping Ground'!$D$19</definedName>
    <definedName name="input_mgmt_srm_recovery_sddc_manager_username">'Dumping Ground'!$D$18</definedName>
    <definedName name="input_mgmt_srm_recovery_t1_si_ip">'Dumping Ground'!$G$7</definedName>
    <definedName name="input_mgmt_srm_recovery_vcenter_fqdn">'Site Protection &amp; DR'!$D$217</definedName>
    <definedName name="input_mgmt_srm_recovery_vcenter_password">'Site Protection &amp; DR'!$D$219</definedName>
    <definedName name="input_mgmt_srm_recovery_vcenter_username">'Site Protection &amp; DR'!$D$218</definedName>
    <definedName name="input_mgmt_srm_root_password">'Dumping Ground'!$D$37</definedName>
    <definedName name="input_mgmt_srm_rpo">'Site Protection &amp; DR'!$D$253</definedName>
    <definedName name="input_mgmt_srm_site_name">'Dumping Ground'!$D$40</definedName>
    <definedName name="input_mgmt_srm_sso_domain_membership">'Dumping Ground'!$D$64</definedName>
    <definedName name="input_mgmt_srm_vm_folder">'Dumping Ground'!$D$36</definedName>
    <definedName name="input_mgmt_srm_vm_size">'Management Domain Sizing'!$F$88</definedName>
    <definedName name="input_mgmt_srm_vra_pg">'Dumping Ground'!$D$50</definedName>
    <definedName name="input_mgmt_srm_vra_rp">'Dumping Ground'!$D$51</definedName>
    <definedName name="input_mgmt_srm_vrops_pg">'Site Protection &amp; DR'!$D$256</definedName>
    <definedName name="input_mgmt_srm_vrops_rp">'Site Protection &amp; DR'!$D$257</definedName>
    <definedName name="input_mgmt_srm_vrslcm_wsa_pg">'Dumping Ground'!$D$46</definedName>
    <definedName name="input_mgmt_srm_vrslcm_wsa_rp">'Dumping Ground'!$D$47</definedName>
    <definedName name="input_mgmt_sso_domain">'Deploy Management Domain'!$L$184</definedName>
    <definedName name="input_mgmt_sso_domain_username">'Deploy Management Domain'!$L$185</definedName>
    <definedName name="input_mgmt_supvr_api_server_fqdn">'Configure Management Domain'!$D$273</definedName>
    <definedName name="input_mgmt_supvr_cp_storage_policy">'Configure Management Domain'!$D$250</definedName>
    <definedName name="input_mgmt_supvr_ed_storage_policy">'Configure Management Domain'!$D$251</definedName>
    <definedName name="input_mgmt_supvr_ic_storage_policy">'Configure Management Domain'!$D$252</definedName>
    <definedName name="input_mgmt_supvr_ip_address_range">'Configure Management Domain'!$D$256</definedName>
    <definedName name="input_mgmt_supvr_mgmt_dns_server">'Configure Management Domain'!$D$259</definedName>
    <definedName name="input_mgmt_supvr_mgmt_dns_zones">'Configure Management Domain'!$D$260</definedName>
    <definedName name="input_mgmt_supvr_mgmt_ntp_server">'Configure Management Domain'!$D$261</definedName>
    <definedName name="input_mgmt_supvr_name">'Configure Management Domain'!$D$245</definedName>
    <definedName name="input_mgmt_supvr_nsx_project">'Configure Management Domain'!$D$263</definedName>
    <definedName name="input_mgmt_supvr_vpc_connectivity_profile">'Configure Management Domain'!$D$264</definedName>
    <definedName name="input_mgmt_supvr_vpc_ext_ip_blocks_name">'Configure Management Domain'!$D$265</definedName>
    <definedName name="input_mgmt_supvr_vpc_priv_cidr">'Configure Management Domain'!$D$267</definedName>
    <definedName name="input_mgmt_supvr_vpc_priv_ip_blocks_name">'Configure Management Domain'!$D$266</definedName>
    <definedName name="input_mgmt_supvr_vpc_service_cidr">'Configure Management Domain'!$D$268</definedName>
    <definedName name="input_mgmt_supvr_wld_dns_server">'Configure Management Domain'!$D$269</definedName>
    <definedName name="input_mgmt_supvr_wld_ntp_server">'Configure Management Domain'!$D$270</definedName>
    <definedName name="input_mgmt_supvr_zone_name">'Configure Management Domain'!$D$248</definedName>
    <definedName name="input_mgmt_tier0_name">'Configure Management Domain'!$D$156</definedName>
    <definedName name="input_mgmt_tier1_name">'Value Reference Tables'!$U$208</definedName>
    <definedName name="input_mgmt_vc_fqdn">'Deploy Management Domain'!$L$181</definedName>
    <definedName name="input_mgmt_vc_ip">'Deploy Management Domain'!$L$388</definedName>
    <definedName name="input_mgmt_vna_rp_name">'Configure Management Domain'!$D$210</definedName>
    <definedName name="input_mgmt_vnaa_cidr">'Configure Management Domain'!$D$214</definedName>
    <definedName name="input_mgmt_vnaa_fqdn">'Configure Management Domain'!$D$208</definedName>
    <definedName name="input_mgmt_vnab_cidr">'Configure Management Domain'!$D$224</definedName>
    <definedName name="input_mgmt_vnab_fqdn">'Configure Management Domain'!$D$218</definedName>
    <definedName name="input_mgmt_vpc_ext_ip_blocks_cidr">'Configure Management Domain'!$D$196</definedName>
    <definedName name="input_mgmt_vpc_ext_ip_blocks_excluded_ips">'Configure Management Domain'!$D$197</definedName>
    <definedName name="input_mgmt_vpc_ext_ip_blocks_name">'Configure Management Domain'!$D$194</definedName>
    <definedName name="input_mgmt_vpc_ext_ip_blocks_reserved">'Configure Management Domain'!$D$198</definedName>
    <definedName name="input_mgmt_vpc_ext_ip_blocks_visability">'Configure Management Domain'!$D$195</definedName>
    <definedName name="input_mgmt_vpc_priv_ip_blocks_excluded_ips">'Configure Management Domain'!$D$202</definedName>
    <definedName name="input_mgmt_vpc_priv_ip_blocks_name">'Configure Management Domain'!$D$199</definedName>
    <definedName name="input_mgmt_vpc_priv_ip_blocks_reserved">'Configure Management Domain'!$D$203</definedName>
    <definedName name="input_mgmt_vpc_priv_ip_blocks_visability">'Configure Management Domain'!$D$200</definedName>
    <definedName name="input_mgmt_vpc_transit_gateway_ip_blocks_cidr">'Configure Management Domain'!$D$201</definedName>
    <definedName name="input_mgmt_vpc_vna_cluster_name">'Configure Management Domain'!$D$205</definedName>
    <definedName name="input_mgmt_vrms_admin_email">'Site Protection &amp; DR'!$D$153</definedName>
    <definedName name="input_mgmt_vrms_admin_password">'Dumping Ground'!$D$30</definedName>
    <definedName name="input_mgmt_vrms_hostname">'Dumping Ground'!$E$4</definedName>
    <definedName name="input_mgmt_vrms_mgmt_ip">'Site Protection &amp; DR'!$D$113</definedName>
    <definedName name="input_mgmt_vrms_p12_password">'Dumping Ground'!$D$34</definedName>
    <definedName name="input_mgmt_vrms_pg">'Site Protection &amp; DR'!$D$162</definedName>
    <definedName name="input_mgmt_vrms_recovery_replication_cidr">'Dumping Ground'!$D$63</definedName>
    <definedName name="input_mgmt_vrms_root_password">'Dumping Ground'!$D$29</definedName>
    <definedName name="input_mgmt_vrms_site_name">'Site Protection &amp; DR'!$D$152</definedName>
    <definedName name="input_mgmt_vrms_vm_folder">'Dumping Ground'!$D$28</definedName>
    <definedName name="input_mgmt_vrms_vrms_ip">'Dumping Ground'!$G$5</definedName>
    <definedName name="input_mgmt_vsan_dit_rekey_custom_interval">'Deploy Management Domain'!$L$193</definedName>
    <definedName name="input_mgmt_vsan_dit_rekey_default_interval">'Deploy Management Domain'!$L$192</definedName>
    <definedName name="input_mgmt_witness_cluster">'Configure Management Domain'!$D$384</definedName>
    <definedName name="input_mgmt_witness_dns1_ip">'Configure Management Domain'!$D$395</definedName>
    <definedName name="input_mgmt_witness_dns2_ip">'Configure Management Domain'!$D$396</definedName>
    <definedName name="input_mgmt_witness_fqdn">'Configure Management Domain'!$D$442</definedName>
    <definedName name="input_mgmt_witness_hostname">'Configure Management Domain'!$D$383</definedName>
    <definedName name="input_mgmt_witness_ip">'Configure Management Domain'!$D$390</definedName>
    <definedName name="input_mgmt_witness_mgmt_pg">'Configure Management Domain'!$D$387</definedName>
    <definedName name="input_mgmt_witness_ntp1_server">'Configure Management Domain'!$D$397</definedName>
    <definedName name="input_mgmt_witness_ntp2_server">'Configure Management Domain'!$D$398</definedName>
    <definedName name="input_mgmt_witness_root_password">'Configure Management Domain'!$D$389</definedName>
    <definedName name="input_mgmt_witness_vm_folder">'Configure Management Domain'!$D$385</definedName>
    <definedName name="input_mgmt_witness_vsan_datastore">'Configure Management Domain'!$D$386</definedName>
    <definedName name="input_mgmt_witness_zone_vc_fqdn">'Configure Management Domain'!$D$381</definedName>
    <definedName name="input_mgmt_witness_zone_vc_ip">'Configure Management Domain'!$D$382</definedName>
    <definedName name="input_mgmt_witnessaz_mgmt_cidr">'Configure Management Domain'!$D$378</definedName>
    <definedName name="input_mgmt_witnessaz_mgmt_gateway_ip">'Configure Management Domain'!$D$377</definedName>
    <definedName name="input_mgmt_witnessaz_mgmt_mtu">'Configure Management Domain'!$D$379</definedName>
    <definedName name="input_mgmt_witnessaz_mgmt_vlan">'Configure Management Domain'!$D$376</definedName>
    <definedName name="input_nsxt_gm_admin_password">'Configure Management Domain'!$D$478</definedName>
    <definedName name="input_nsxt_gm_audit_password">'Configure Management Domain'!$D$479</definedName>
    <definedName name="input_nsxt_gm_root_password">'Configure Management Domain'!$D$477</definedName>
    <definedName name="input_nsxt_lm_admin_password">'Deploy Management Domain'!$L$311</definedName>
    <definedName name="input_nsxt_lm_audit_password">'Deploy Management Domain'!$L$313</definedName>
    <definedName name="input_nsxt_lm_root_password">'Deploy Management Domain'!$L$312</definedName>
    <definedName name="input_parent_ad_groups_ou">'Active Directory Inputs'!$E$10</definedName>
    <definedName name="input_parent_ad_users_ou">'Active Directory Inputs'!$G$10</definedName>
    <definedName name="input_parent_dns_zone">'Deploy Management Domain'!$L$71</definedName>
    <definedName name="input_parent_gg_wsa_admins_group">'Active Directory Inputs'!$E$59</definedName>
    <definedName name="input_parent_gg_wsa_directory_admins_group">'Active Directory Inputs'!$E$60</definedName>
    <definedName name="input_parent_gg_wsa_read_only_group">'Active Directory Inputs'!$E$61</definedName>
    <definedName name="input_region_ad_child_fqdn">'Active Directory Inputs'!$E$9</definedName>
    <definedName name="input_region_ad_child_netbios">'Active Directory Inputs'!$G$9</definedName>
    <definedName name="input_region_ad_parent_fqdn">'Active Directory Inputs'!$E$8</definedName>
    <definedName name="input_region_ad_parent_netbios">'Active Directory Inputs'!$G$8</definedName>
    <definedName name="input_region_dns1_ip">'Deploy Management Domain'!$L$72</definedName>
    <definedName name="input_region_dns2_ip">'Deploy Management Domain'!$L$73</definedName>
    <definedName name="input_region_ntp1_server">'Deploy Management Domain'!$L$75</definedName>
    <definedName name="input_region_ntp2_server">'Deploy Management Domain'!$L$76</definedName>
    <definedName name="input_rwr_child_dns_zone">'On-Premises Ransomware Recovery'!$D$20</definedName>
    <definedName name="input_rwr_datacenter">'On-Premises Ransomware Recovery'!$D$143</definedName>
    <definedName name="input_rwr_sso_domain_name">'On-Premises Ransomware Recovery'!$D$43</definedName>
    <definedName name="input_rwr_vlr_replication_password">'On-Premises Ransomware Recovery'!$D$45</definedName>
    <definedName name="input_rwr_vrms_pg">'On-Premises Ransomware Recovery'!$D$71</definedName>
    <definedName name="input_sddc_mgr_admin_local_password">'Deploy Management Domain'!$L$317</definedName>
    <definedName name="input_sddc_mgr_fqdn">'Deploy Management Domain'!$L$292</definedName>
    <definedName name="input_sddc_mgr_ip">'Deploy Management Domain'!$L$387</definedName>
    <definedName name="input_sddc_mgr_root_password">'Deploy Management Domain'!$L$315</definedName>
    <definedName name="input_sddc_mgr_vcf_password">'Deploy Management Domain'!$L$316</definedName>
    <definedName name="input_sftp_server">'Configure Management Domain'!$D$22</definedName>
    <definedName name="input_sftp_server_backup_dir">'Configure Management Domain'!$D$27</definedName>
    <definedName name="input_sftp_server_passphrase">'Configure Management Domain'!$D$29</definedName>
    <definedName name="input_sftp_server_port">'Configure Management Domain'!$D$23</definedName>
    <definedName name="input_sftp_server_protocol">'Configure Management Domain'!$D$24</definedName>
    <definedName name="input_sftp_server_sshfingerprint">'Configure Management Domain'!$D$28</definedName>
    <definedName name="input_smtp_server">Arkham!$C$16</definedName>
    <definedName name="input_smtp_server_port">Arkham!$C$17</definedName>
    <definedName name="input_svc_cbr_vcdr_vsphere_password">'Cloud-Based Ransomware Recovery'!$D$16</definedName>
    <definedName name="input_svc_cbr_vcdr_vsphere_user">'Cloud-Based Ransomware Recovery'!$D$15</definedName>
    <definedName name="input_svc_ccm_hcx_nsx_password">'Active Directory Inputs'!$G$49</definedName>
    <definedName name="input_svc_ccm_hcx_nsx_user">'Active Directory Inputs'!$E$49</definedName>
    <definedName name="input_svc_ccm_hcx_vsphere_password">'Active Directory Inputs'!$G$48</definedName>
    <definedName name="input_svc_ccm_hcx_vsphere_user">'Active Directory Inputs'!$E$48</definedName>
    <definedName name="input_svc_hrm_vrops_user">'Active Directory Inputs'!$E$45</definedName>
    <definedName name="input_svc_ila_ad_password">'Active Directory Inputs'!$G$24</definedName>
    <definedName name="input_svc_ila_ad_user">'Active Directory Inputs'!$E$24</definedName>
    <definedName name="input_svc_inv_ad_password">'Active Directory Inputs'!$G$32</definedName>
    <definedName name="input_svc_inv_ad_user">'Active Directory Inputs'!$E$32</definedName>
    <definedName name="input_svc_inv_vrops_password">'Active Directory Inputs'!$G$34</definedName>
    <definedName name="input_svc_inv_vrops_user">'Active Directory Inputs'!$E$34</definedName>
    <definedName name="input_svc_inv_vsphere_password">'Active Directory Inputs'!$G$33</definedName>
    <definedName name="input_svc_inv_vsphere_user">'Active Directory Inputs'!$E$33</definedName>
    <definedName name="input_svc_iom_vcf_password">'Active Directory Inputs'!$G$27</definedName>
    <definedName name="input_svc_iom_vcf_user">'Active Directory Inputs'!$E$27</definedName>
    <definedName name="input_svc_iom_vsphere_password">'Active Directory Inputs'!$G$28</definedName>
    <definedName name="input_svc_iom_vsphere_user">'Active Directory Inputs'!$E$28</definedName>
    <definedName name="input_svc_my_vmware_password">'Deploy Management Domain'!$L$12</definedName>
    <definedName name="input_svc_vcf_bck_password">'Configure Management Domain'!$D$26</definedName>
    <definedName name="input_svc_vcf_bck_user">'Configure Management Domain'!$D$25</definedName>
    <definedName name="input_svc_vcf_ca_vcf_password">'Configure Management Domain'!$D$56</definedName>
    <definedName name="input_svc_vcf_ca_vcf_user">'Configure Management Domain'!$D$51</definedName>
    <definedName name="input_svc_vra_nsx_password">'Active Directory Inputs'!$G$38</definedName>
    <definedName name="input_svc_vra_nsx_user">'Active Directory Inputs'!$E$38</definedName>
    <definedName name="input_svc_vra_vcf_password">'Active Directory Inputs'!$G$39</definedName>
    <definedName name="input_svc_vra_vcf_user">'Active Directory Inputs'!$E$39</definedName>
    <definedName name="input_svc_vra_vrops_password">'Active Directory Inputs'!$G$41</definedName>
    <definedName name="input_svc_vra_vrops_user">'Active Directory Inputs'!$E$41</definedName>
    <definedName name="input_svc_vra_vsphere_password">'Active Directory Inputs'!$G$37</definedName>
    <definedName name="input_svc_vra_vsphere_user">'Active Directory Inputs'!$E$37</definedName>
    <definedName name="input_svc_vro_vsphere_password">'Active Directory Inputs'!$G$40</definedName>
    <definedName name="input_svc_vro_vsphere_user">'Active Directory Inputs'!$E$40</definedName>
    <definedName name="input_svc_vrops_vra_password">'Active Directory Inputs'!$G$29</definedName>
    <definedName name="input_svc_vrops_vra_user">'Active Directory Inputs'!$E$29</definedName>
    <definedName name="input_vcenter_root_password">'Deploy Management Domain'!$L$309</definedName>
    <definedName name="input_vcf_automation_additional_vips">Arkham!$Y$56</definedName>
    <definedName name="input_vcf_automation_admin_password">'Deploy Fleet Management Day-N'!$D$80</definedName>
    <definedName name="input_vcf_automation_admin_password_alias">Arkham!$Y$41</definedName>
    <definedName name="input_vcf_automation_admin_password_description">Arkham!$Y$42</definedName>
    <definedName name="input_vcf_automation_admin_username">Arkham!$Y$43</definedName>
    <definedName name="input_vcf_automation_cert_alias">Arkham!$Y$15</definedName>
    <definedName name="input_vcf_automation_cert_common_name">Arkham!$Y$17</definedName>
    <definedName name="input_vcf_automation_cert_country_code">Arkham!$Y$20</definedName>
    <definedName name="input_vcf_automation_cert_file">Arkham!$Y$16</definedName>
    <definedName name="input_vcf_automation_cert_locality">Arkham!$Y$21</definedName>
    <definedName name="input_vcf_automation_cert_organisation">Arkham!$Y$18</definedName>
    <definedName name="input_vcf_automation_cert_state">Arkham!$Y$22</definedName>
    <definedName name="input_vcf_automation_folder">Arkham!$Y$28</definedName>
    <definedName name="input_vcf_automation_gateway_ip">Arkham!$Y$38</definedName>
    <definedName name="input_vcf_automation_mask">Arkham!$Y$39</definedName>
    <definedName name="input_vcf_automation_node_pool_end_ip">'Deploy Fleet Management Day-N'!$D$87</definedName>
    <definedName name="input_vcf_automation_node_pool_start_ip">'Deploy Fleet Management Day-N'!$D$86</definedName>
    <definedName name="input_vcf_automation_nodea_ip">Arkham!$Y$57</definedName>
    <definedName name="input_vcf_automation_nodeb_ip">Arkham!$Y$58</definedName>
    <definedName name="input_vcf_automation_nodec_ip">Arkham!$Y$59</definedName>
    <definedName name="input_vcf_automation_noded_ip">Arkham!$Y$60</definedName>
    <definedName name="input_vcf_automation_nodee_ip">Arkham!$Y$61</definedName>
    <definedName name="input_vcf_automation_nodeef_ip">Arkham!$Y$62</definedName>
    <definedName name="input_vcf_automation_ou_cert">Arkham!$Y$19</definedName>
    <definedName name="input_vcf_automation_portgroup">Arkham!$Y$30</definedName>
    <definedName name="input_vcf_automation_resource_pool">Arkham!$Y$29</definedName>
    <definedName name="input_vcf_automation_root_password">Arkham!$Y$45</definedName>
    <definedName name="input_vcf_automation_root_password_alias">Arkham!$Y$44</definedName>
    <definedName name="input_vcf_automation_root_password_description">Arkham!$Y$46</definedName>
    <definedName name="input_vcf_automation_root_username">Arkham!$Y$47</definedName>
    <definedName name="input_vcf_automation_runtime_cidr">'Deploy Fleet Management Day-N'!$D$77</definedName>
    <definedName name="input_vcf_automation_sr_fqdn">'Deploy Fleet Management Day-N'!$D$79</definedName>
    <definedName name="input_vcf_automation_sr_ip">'Deploy Fleet Management Day-N'!$D$83</definedName>
    <definedName name="input_vcf_automation_version">'Deploy Fleet Management Day-N'!$D$75</definedName>
    <definedName name="input_vcf_automation_vip_fqdn">'Deploy Fleet Management Day-N'!$D$78</definedName>
    <definedName name="input_vcf_automation_vip_ip">'Deploy Fleet Management Day-N'!$D$82</definedName>
    <definedName name="input_vcf_installer_fqdn">'Deploy Management Domain'!$J$386</definedName>
    <definedName name="input_vcf_installer_ip">'Deploy Management Domain'!$L$386</definedName>
    <definedName name="input_vcf_instance_name">'Deploy Management Domain'!$L$67</definedName>
    <definedName name="input_vcfms_system_password">'Deploy Management Domain'!$L$303</definedName>
    <definedName name="input_vvs_dr_dns1_ip">'Site Protection &amp; DR'!$D$69</definedName>
    <definedName name="input_vvs_dr_dns2_ip">'Site Protection &amp; DR'!$D$70</definedName>
    <definedName name="input_vvs_dr_flt_auto_fqdn">'Site Protection &amp; DR'!$D$67</definedName>
    <definedName name="input_vvs_dr_flt_fleet_manager_fqdn">'Site Protection &amp; DR'!$D$13</definedName>
    <definedName name="input_vvs_dr_flt_logs_nodea_fqdn">'Site Protection &amp; DR'!$D$35</definedName>
    <definedName name="input_vvs_dr_flt_logs_nodeb_fqdn">'Site Protection &amp; DR'!$D$36</definedName>
    <definedName name="input_vvs_dr_flt_logs_nodec_fqdn">'Site Protection &amp; DR'!$D$37</definedName>
    <definedName name="input_vvs_dr_flt_net_nodea_fqdn">'Site Protection &amp; DR'!$D$38</definedName>
    <definedName name="input_vvs_dr_flt_net_nodeb_fqdn">'Site Protection &amp; DR'!$D$39</definedName>
    <definedName name="input_vvs_dr_flt_net_nodec_fqdn">'Site Protection &amp; DR'!$D$40</definedName>
    <definedName name="input_vvs_dr_flt_ops_nodea_fqdn">'Site Protection &amp; DR'!$D$21</definedName>
    <definedName name="input_vvs_dr_flt_ops_nodeb_fqdn">'Site Protection &amp; DR'!$D$33</definedName>
    <definedName name="input_vvs_dr_flt_ops_nodec_fqdn">'Site Protection &amp; DR'!$D$34</definedName>
    <definedName name="input_vvs_dr_mgmt_az1_mgmt_vm_pg">'Site Protection &amp; DR'!$D$104</definedName>
    <definedName name="input_vvs_dr_mgmt_cl01_cluster">'Site Protection &amp; DR'!$D$100</definedName>
    <definedName name="input_vvs_dr_mgmt_cl01_datastore">'Site Protection &amp; DR'!$D$103</definedName>
    <definedName name="input_vvs_dr_mgmt_vc_fqdn">'Site Protection &amp; DR'!$D$99</definedName>
    <definedName name="input_vvs_dr_ntp1_server">'Site Protection &amp; DR'!$D$23</definedName>
    <definedName name="input_vvs_dr_parent_dns_zone">'Site Protection &amp; DR'!$D$17</definedName>
    <definedName name="input_vvs_dr_sso_domain">'Site Protection &amp; DR'!$D$133</definedName>
    <definedName name="input_vvs_dr_vr_password">'Site Protection &amp; DR'!$D$135</definedName>
    <definedName name="input_vvs_dr_vr_username">'Site Protection &amp; DR'!$D$134</definedName>
    <definedName name="input_vvs_mgmt_dr_vlr_fqdn">'Site Protection &amp; DR'!$D$105</definedName>
    <definedName name="input_vvs_mgmt_dr_vlr_hostname">'Site Protection &amp; DR'!$D$101</definedName>
    <definedName name="input_witness_dns_zone">Arkham!$C$12</definedName>
    <definedName name="input_wld_administrator_vsphere_local_password">'Deploy Workload Domain'!$D$359</definedName>
    <definedName name="input_wld_avilb_cluster_name">'Configure Workload Domain'!$D$232</definedName>
    <definedName name="input_wld_avilb_cluster_version">'Configure Workload Domain'!$D$222</definedName>
    <definedName name="input_wld_avilb_fqdn">'Configure Workload Domain'!$D$231</definedName>
    <definedName name="input_wld_avilb_ip">'Configure Workload Domain'!$D$230</definedName>
    <definedName name="input_wld_avilb_mgra_ip">'Configure Workload Domain'!$D$227</definedName>
    <definedName name="input_wld_avilb_mgrb_ip">'Configure Workload Domain'!$D$228</definedName>
    <definedName name="input_wld_avilb_mgrc_ip">'Configure Workload Domain'!$D$229</definedName>
    <definedName name="input_wld_az1_dtgw_gateway_cidr">'Configure Workload Domain'!$D$135</definedName>
    <definedName name="input_wld_az1_dtgw_vlan">'Configure Workload Domain'!$D$134</definedName>
    <definedName name="input_wld_az1_edge_overlay_cidr">'Configure Workload Domain'!$D$67</definedName>
    <definedName name="input_wld_az1_edge_overlay_gateway_ip">'Configure Workload Domain'!$D$68</definedName>
    <definedName name="input_wld_az1_edge_overlay_mask">'Configure Workload Domain'!$D$69</definedName>
    <definedName name="input_wld_az1_edge_overlay_network_pool_name">'Configure Workload Domain'!$D$62</definedName>
    <definedName name="input_wld_az1_edge_overlay_pool_end_ip">'Configure Workload Domain'!$D$64</definedName>
    <definedName name="input_wld_az1_edge_overlay_pool_start_ip">'Configure Workload Domain'!$D$63</definedName>
    <definedName name="input_wld_az1_edge_overlay_vlan">'Configure Workload Domain'!$D$59</definedName>
    <definedName name="input_wld_az1_en1_edge_overlay_interface_ip_1_ip">'Configure Workload Domain'!$D$65</definedName>
    <definedName name="input_wld_az1_en1_edge_overlay_interface_ip_2_ip">'Configure Workload Domain'!$D$66</definedName>
    <definedName name="input_wld_az1_en1_eth0_uplink0">'Configure Workload Domain'!$D$55</definedName>
    <definedName name="input_wld_az1_en1_eth0_uplink1">'Configure Workload Domain'!$D$56</definedName>
    <definedName name="input_wld_az1_en1_eth1_uplink0">'Configure Workload Domain'!$D$57</definedName>
    <definedName name="input_wld_az1_en1_eth1_uplink1">'Configure Workload Domain'!$D$58</definedName>
    <definedName name="input_wld_az1_en1_fqdn">'Configure Workload Domain'!$D$42</definedName>
    <definedName name="input_wld_az1_en1_mgmt_cidr">'Configure Workload Domain'!$D$50</definedName>
    <definedName name="input_wld_az1_en1_uplink01_interface_cidr">'Configure Workload Domain'!$D$105</definedName>
    <definedName name="input_wld_az1_en1_uplink02_interface_cidr">'Configure Workload Domain'!$D$112</definedName>
    <definedName name="input_wld_az1_en2_edge_overlay_interface_ip_1_ip">'Configure Workload Domain'!$D$90</definedName>
    <definedName name="input_wld_az1_en2_edge_overlay_interface_ip_2_ip">'Configure Workload Domain'!$D$91</definedName>
    <definedName name="input_wld_az1_en2_eth0_uplink0">'Configure Workload Domain'!$D$83</definedName>
    <definedName name="input_wld_az1_en2_eth0_uplink1">'Configure Workload Domain'!$D$84</definedName>
    <definedName name="input_wld_az1_en2_eth1_uplink0">'Configure Workload Domain'!$D$85</definedName>
    <definedName name="input_wld_az1_en2_eth1_uplink1">'Configure Workload Domain'!$D$86</definedName>
    <definedName name="input_wld_az1_en2_fqdn">'Configure Workload Domain'!$D$71</definedName>
    <definedName name="input_wld_az1_en2_mgmt_cidr">'Configure Workload Domain'!$D$79</definedName>
    <definedName name="input_wld_az1_en2_uplink01_interface_cidr">'Configure Workload Domain'!$D$120</definedName>
    <definedName name="input_wld_az1_en2_uplink02_interface_cidr">'Configure Workload Domain'!$D$127</definedName>
    <definedName name="input_wld_az1_host_overlay_cidr">'Deploy Workload Domain'!$D$323</definedName>
    <definedName name="input_wld_az1_host_overlay_gateway_ip">'Deploy Workload Domain'!$D$326</definedName>
    <definedName name="input_wld_az1_host_overlay_mtu">'Deploy Workload Domain'!$D$391</definedName>
    <definedName name="input_wld_az1_host_overlay_network_pool_description">'Deploy Workload Domain'!$D$322</definedName>
    <definedName name="input_wld_az1_host_overlay_network_pool_name">'Deploy Workload Domain'!$D$321</definedName>
    <definedName name="input_wld_az1_host_overlay_pool_end_ip">'Deploy Workload Domain'!$D$325</definedName>
    <definedName name="input_wld_az1_host_overlay_pool_start_ip">'Deploy Workload Domain'!$D$324</definedName>
    <definedName name="input_wld_az1_host_overlay_uplink_profile_name">'Deploy Workload Domain'!$D$329</definedName>
    <definedName name="input_wld_az1_host_overlay_vlan">'Deploy Workload Domain'!$D$318</definedName>
    <definedName name="input_wld_az1_host1_fqdn">'Deploy Workload Domain'!$D$131</definedName>
    <definedName name="input_wld_az1_host1_mgmt_ip">'Deploy Workload Domain'!$D$62</definedName>
    <definedName name="input_wld_az1_host1_vrms_ip">'Dumping Ground'!$D$293</definedName>
    <definedName name="input_wld_az1_host10_fqdn">'Deploy Workload Domain'!$D$140</definedName>
    <definedName name="input_wld_az1_host10_mgmt_ip">'Deploy Workload Domain'!$D$71</definedName>
    <definedName name="input_wld_az1_host10_vrms_ip">'Dumping Ground'!$D$302</definedName>
    <definedName name="input_wld_az1_host11_fqdn">'Deploy Workload Domain'!$D$141</definedName>
    <definedName name="input_wld_az1_host11_mgmt_ip">'Deploy Workload Domain'!$D$72</definedName>
    <definedName name="input_wld_az1_host11_vrms_ip">'Dumping Ground'!$D$303</definedName>
    <definedName name="input_wld_az1_host12_fqdn">'Deploy Workload Domain'!$D$142</definedName>
    <definedName name="input_wld_az1_host12_mgmt_ip">'Deploy Workload Domain'!$D$73</definedName>
    <definedName name="input_wld_az1_host12_vrms_ip">'Dumping Ground'!$D$304</definedName>
    <definedName name="input_wld_az1_host13_fqdn">'Deploy Workload Domain'!$D$143</definedName>
    <definedName name="input_wld_az1_host13_mgmt_ip">'Deploy Workload Domain'!$D$74</definedName>
    <definedName name="input_wld_az1_host13_vrms_ip">'Dumping Ground'!$D$305</definedName>
    <definedName name="input_wld_az1_host14_fqdn">'Deploy Workload Domain'!$D$144</definedName>
    <definedName name="input_wld_az1_host14_mgmt_ip">'Deploy Workload Domain'!$D$75</definedName>
    <definedName name="input_wld_az1_host14_vrms_ip">'Dumping Ground'!$D$306</definedName>
    <definedName name="input_wld_az1_host15_fqdn">'Deploy Workload Domain'!$D$145</definedName>
    <definedName name="input_wld_az1_host15_mgmt_ip">'Deploy Workload Domain'!$D$76</definedName>
    <definedName name="input_wld_az1_host15_vrms_ip">'Dumping Ground'!$D$307</definedName>
    <definedName name="input_wld_az1_host16_fqdn">'Deploy Workload Domain'!$D$146</definedName>
    <definedName name="input_wld_az1_host16_mgmt_ip">'Deploy Workload Domain'!$D$77</definedName>
    <definedName name="input_wld_az1_host16_vrms_ip">'Dumping Ground'!$D$308</definedName>
    <definedName name="input_wld_az1_host2_fqdn">'Deploy Workload Domain'!$D$132</definedName>
    <definedName name="input_wld_az1_host2_mgmt_ip">'Deploy Workload Domain'!$D$63</definedName>
    <definedName name="input_wld_az1_host2_vrms_ip">'Dumping Ground'!$D$294</definedName>
    <definedName name="input_wld_az1_host3_fqdn">'Deploy Workload Domain'!$D$133</definedName>
    <definedName name="input_wld_az1_host3_mgmt_ip">'Deploy Workload Domain'!$D$64</definedName>
    <definedName name="input_wld_az1_host3_vrms_ip">'Dumping Ground'!$D$295</definedName>
    <definedName name="input_wld_az1_host4_fqdn">'Deploy Workload Domain'!$D$134</definedName>
    <definedName name="input_wld_az1_host4_mgmt_ip">'Deploy Workload Domain'!$D$65</definedName>
    <definedName name="input_wld_az1_host4_vrms_ip">'Dumping Ground'!$D$296</definedName>
    <definedName name="input_wld_az1_host5_fqdn">'Deploy Workload Domain'!$D$135</definedName>
    <definedName name="input_wld_az1_host5_mgmt_ip">'Deploy Workload Domain'!$D$66</definedName>
    <definedName name="input_wld_az1_host5_vrms_ip">'Dumping Ground'!$D$297</definedName>
    <definedName name="input_wld_az1_host6_fqdn">'Deploy Workload Domain'!$D$136</definedName>
    <definedName name="input_wld_az1_host6_mgmt_ip">'Deploy Workload Domain'!$D$67</definedName>
    <definedName name="input_wld_az1_host6_vrms_ip">'Dumping Ground'!$D$298</definedName>
    <definedName name="input_wld_az1_host7_fqdn">'Deploy Workload Domain'!$D$137</definedName>
    <definedName name="input_wld_az1_host7_mgmt_ip">'Deploy Workload Domain'!$D$68</definedName>
    <definedName name="input_wld_az1_host7_vrms_ip">'Dumping Ground'!$D$299</definedName>
    <definedName name="input_wld_az1_host8_fqdn">'Deploy Workload Domain'!$D$138</definedName>
    <definedName name="input_wld_az1_host8_mgmt_ip">'Deploy Workload Domain'!$D$69</definedName>
    <definedName name="input_wld_az1_host8_vrms_ip">'Dumping Ground'!$D$300</definedName>
    <definedName name="input_wld_az1_host9_fqdn">'Deploy Workload Domain'!$D$139</definedName>
    <definedName name="input_wld_az1_host9_mgmt_ip">'Deploy Workload Domain'!$D$70</definedName>
    <definedName name="input_wld_az1_host9_vrms_ip">'Dumping Ground'!$D$301</definedName>
    <definedName name="input_wld_az1_mgmt_gateway_cidr">'Deploy Workload Domain'!$D$60</definedName>
    <definedName name="input_wld_az1_mgmt_mtu">'Deploy Workload Domain'!$D$59</definedName>
    <definedName name="input_wld_az1_mgmt_vlan">'Deploy Workload Domain'!$D$58</definedName>
    <definedName name="input_wld_az1_mgmt_vm_gateway_cidr">'Deploy Workload Domain'!$D$373</definedName>
    <definedName name="input_wld_az1_mgmt_vm_mtu">'Deploy Workload Domain'!$D$374</definedName>
    <definedName name="input_wld_az1_mgmt_vm_vlan">'Deploy Workload Domain'!$D$372</definedName>
    <definedName name="input_wld_az1_pool_name">'Deploy Workload Domain'!$D$82</definedName>
    <definedName name="input_wld_az1_principal_storage_gateway_cidr">'Deploy Workload Domain'!$D$99</definedName>
    <definedName name="input_wld_az1_principal_storage_mtu">'Deploy Workload Domain'!$D$97</definedName>
    <definedName name="input_wld_az1_principal_storage_pool_end_ip">'Deploy Workload Domain'!$D$102</definedName>
    <definedName name="input_wld_az1_principal_storage_pool_start_ip">'Deploy Workload Domain'!$D$101</definedName>
    <definedName name="input_wld_az1_principal_storage_vlan">'Deploy Workload Domain'!$D$96</definedName>
    <definedName name="input_wld_az1_rack1_host_overlay_network_profile_name">'Deploy Workload Domain'!$D$333</definedName>
    <definedName name="input_wld_az1_rack2_edge_overlay_gateway_ip">Arkham!$C$64</definedName>
    <definedName name="input_wld_az1_rack2_edge_overlay_mask">Arkham!$C$67</definedName>
    <definedName name="input_wld_az1_rack2_edge_overlay_mtu">Arkham!$C$70</definedName>
    <definedName name="input_wld_az1_rack2_edge_overlay_network">Arkham!$C$61</definedName>
    <definedName name="input_wld_az1_rack2_edge_overlay_network_pool_name">'Additional Racks'!$D$82</definedName>
    <definedName name="input_wld_az1_rack2_edge_overlay_pool_end_ip">Arkham!$C$72</definedName>
    <definedName name="input_wld_az1_rack2_edge_overlay_pool_start_ip">Arkham!$C$71</definedName>
    <definedName name="input_wld_az1_rack2_edge_overlay_vlan">Arkham!$C$58</definedName>
    <definedName name="input_wld_az1_rack2_host_overlay_cidr">Arkham!$C$23</definedName>
    <definedName name="input_wld_az1_rack2_host_overlay_gateway_ip">'Additional Racks'!$D$95</definedName>
    <definedName name="input_wld_az1_rack2_host_overlay_mask">'Additional Racks'!$D$94</definedName>
    <definedName name="input_wld_az1_rack2_host_overlay_mtu">'Additional Racks'!$D$92</definedName>
    <definedName name="input_wld_az1_rack2_host_overlay_network">'Additional Racks'!$D$93</definedName>
    <definedName name="input_wld_az1_rack2_host_overlay_network_pool_name">'Additional Racks'!$D$80</definedName>
    <definedName name="input_wld_az1_rack2_host_overlay_network_profile_name">'Additional Racks'!$D$78</definedName>
    <definedName name="input_wld_az1_rack2_host_overlay_pool_end_ip">'Additional Racks'!$D$97</definedName>
    <definedName name="input_wld_az1_rack2_host_overlay_pool_start_ip">'Additional Racks'!$D$96</definedName>
    <definedName name="input_wld_az1_rack2_host_overlay_uplink_profile_name">'Additional Racks'!$D$81</definedName>
    <definedName name="input_wld_az1_rack2_host_overlay_vlan">'Additional Racks'!$D$91</definedName>
    <definedName name="input_wld_az1_rack2_host1_fqdn">'Additional Racks'!$D$54</definedName>
    <definedName name="input_wld_az1_rack2_host1_mgmt_ip">'Additional Racks'!$D$14</definedName>
    <definedName name="input_wld_az1_rack2_host10_fqdn">'Additional Racks'!$D$63</definedName>
    <definedName name="input_wld_az1_rack2_host10_mgmt_ip">'Additional Racks'!$D$23</definedName>
    <definedName name="input_wld_az1_rack2_host11_fqdn">'Additional Racks'!$D$64</definedName>
    <definedName name="input_wld_az1_rack2_host11_mgmt_ip">'Additional Racks'!$D$24</definedName>
    <definedName name="input_wld_az1_rack2_host12_fqdn">'Additional Racks'!$D$65</definedName>
    <definedName name="input_wld_az1_rack2_host12_mgmt_ip">'Additional Racks'!$D$25</definedName>
    <definedName name="input_wld_az1_rack2_host13_fqdn">'Additional Racks'!$D$66</definedName>
    <definedName name="input_wld_az1_rack2_host13_mgmt_ip">'Additional Racks'!$D$26</definedName>
    <definedName name="input_wld_az1_rack2_host14_fqdn">'Additional Racks'!$D$67</definedName>
    <definedName name="input_wld_az1_rack2_host14_mgmt_ip">'Additional Racks'!$D$27</definedName>
    <definedName name="input_wld_az1_rack2_host15_fqdn">'Additional Racks'!$D$68</definedName>
    <definedName name="input_wld_az1_rack2_host15_mgmt_ip">'Additional Racks'!$D$28</definedName>
    <definedName name="input_wld_az1_rack2_host16_fqdn">'Additional Racks'!$D$69</definedName>
    <definedName name="input_wld_az1_rack2_host16_mgmt_ip">'Additional Racks'!$D$29</definedName>
    <definedName name="input_wld_az1_rack2_host2_fqdn">'Additional Racks'!$D$55</definedName>
    <definedName name="input_wld_az1_rack2_host2_mgmt_ip">'Additional Racks'!$D$15</definedName>
    <definedName name="input_wld_az1_rack2_host3_fqdn">'Additional Racks'!$D$56</definedName>
    <definedName name="input_wld_az1_rack2_host3_mgmt_ip">'Additional Racks'!$D$16</definedName>
    <definedName name="input_wld_az1_rack2_host4_fqdn">'Additional Racks'!$D$57</definedName>
    <definedName name="input_wld_az1_rack2_host4_mgmt_ip">'Additional Racks'!$D$17</definedName>
    <definedName name="input_wld_az1_rack2_host5_fqdn">'Additional Racks'!$D$58</definedName>
    <definedName name="input_wld_az1_rack2_host5_mgmt_ip">'Additional Racks'!$D$18</definedName>
    <definedName name="input_wld_az1_rack2_host6_fqdn">'Additional Racks'!$D$59</definedName>
    <definedName name="input_wld_az1_rack2_host6_mgmt_ip">'Additional Racks'!$D$19</definedName>
    <definedName name="input_wld_az1_rack2_host7_fqdn">'Additional Racks'!$D$60</definedName>
    <definedName name="input_wld_az1_rack2_host7_mgmt_ip">'Additional Racks'!$D$20</definedName>
    <definedName name="input_wld_az1_rack2_host8_fqdn">'Additional Racks'!$D$61</definedName>
    <definedName name="input_wld_az1_rack2_host8_mgmt_ip">'Additional Racks'!$D$21</definedName>
    <definedName name="input_wld_az1_rack2_host9_fqdn">'Additional Racks'!$D$62</definedName>
    <definedName name="input_wld_az1_rack2_host9_mgmt_ip">'Additional Racks'!$D$22</definedName>
    <definedName name="input_wld_az1_rack2_mgmt_cidr">'Additional Racks'!$D$11</definedName>
    <definedName name="input_wld_az1_rack2_mgmt_gateway_ip">'Additional Racks'!$D$10</definedName>
    <definedName name="input_wld_az1_rack2_mgmt_mtu">'Additional Racks'!$D$12</definedName>
    <definedName name="input_wld_az1_rack2_mgmt_vlan">'Additional Racks'!$D$9</definedName>
    <definedName name="input_wld_az1_rack2_mgmt_vm_cidr">'Value Reference Tables - MR'!$N$275</definedName>
    <definedName name="input_wld_az1_rack2_mgmt_vm_gateway_ip">'Value Reference Tables - MR'!$P$275</definedName>
    <definedName name="input_wld_az1_rack2_mgmt_vm_mtu">'Value Reference Tables - MR'!$R$275</definedName>
    <definedName name="input_wld_az1_rack2_mgmt_vm_vlan">'Value Reference Tables - MR'!$L$275</definedName>
    <definedName name="input_wld_az1_rack2_pool_name">'Additional Racks'!$D$34</definedName>
    <definedName name="input_wld_az1_rack2_principal_storage_cidr">Arkham!$C$21</definedName>
    <definedName name="input_wld_az1_rack2_principal_storage_gateway_ip">'Additional Racks'!$D$48</definedName>
    <definedName name="input_wld_az1_rack2_principal_storage_mask">'Additional Racks'!$D$47</definedName>
    <definedName name="input_wld_az1_rack2_principal_storage_mtu">'Additional Racks'!$D$45</definedName>
    <definedName name="input_wld_az1_rack2_principal_storage_network">'Additional Racks'!$D$46</definedName>
    <definedName name="input_wld_az1_rack2_principal_storage_pool_end_ip">'Additional Racks'!$D$50</definedName>
    <definedName name="input_wld_az1_rack2_principal_storage_pool_start_ip">'Additional Racks'!$D$49</definedName>
    <definedName name="input_wld_az1_rack2_principal_storage_vlan">'Additional Racks'!$D$44</definedName>
    <definedName name="input_wld_az1_rack2_rtep_ip_pool_name">'Additional Racks'!$D$83</definedName>
    <definedName name="input_wld_az1_rack2_secondary_storage_cidr">Arkham!$C$22</definedName>
    <definedName name="input_wld_az1_rack2_secondary_storage_gateway_ip">'Dumping Ground'!$D$512</definedName>
    <definedName name="input_wld_az1_rack2_secondary_storage_mask">'Dumping Ground'!$D$511</definedName>
    <definedName name="input_wld_az1_rack2_secondary_storage_mtu">'Dumping Ground'!$D$509</definedName>
    <definedName name="input_wld_az1_rack2_secondary_storage_network">'Dumping Ground'!$D$510</definedName>
    <definedName name="input_wld_az1_rack2_secondary_storage_pool_end_ip">'Dumping Ground'!$D$514</definedName>
    <definedName name="input_wld_az1_rack2_secondary_storage_pool_start_ip">'Dumping Ground'!$D$513</definedName>
    <definedName name="input_wld_az1_rack2_secondary_storage_vlan">'Dumping Ground'!$D$508</definedName>
    <definedName name="input_wld_az1_rack2_tor1_peer_asn">Arkham!$C$75</definedName>
    <definedName name="input_wld_az1_rack2_tor1_peer_bgp_password">Arkham!$C$76</definedName>
    <definedName name="input_wld_az1_rack2_tor1_peer_ip">Arkham!$C$74</definedName>
    <definedName name="input_wld_az1_rack2_tor2_peer_asn">Arkham!$C$78</definedName>
    <definedName name="input_wld_az1_rack2_tor2_peer_bgp_password">Arkham!$C$79</definedName>
    <definedName name="input_wld_az1_rack2_tor2_peer_ip">Arkham!$C$77</definedName>
    <definedName name="input_wld_az1_rack2_uplink01_gateway_ip">Arkham!$C$62</definedName>
    <definedName name="input_wld_az1_rack2_uplink01_mask">Arkham!$C$65</definedName>
    <definedName name="input_wld_az1_rack2_uplink01_mtu">Arkham!$C$68</definedName>
    <definedName name="input_wld_az1_rack2_uplink01_network">Arkham!$C$59</definedName>
    <definedName name="input_wld_az1_rack2_uplink01_vlan">Arkham!$C$56</definedName>
    <definedName name="input_wld_az1_rack2_uplink02_gateway_ip">Arkham!$C$63</definedName>
    <definedName name="input_wld_az1_rack2_uplink02_mask">Arkham!$C$66</definedName>
    <definedName name="input_wld_az1_rack2_uplink02_mtu">Arkham!$C$69</definedName>
    <definedName name="input_wld_az1_rack2_uplink02_network">Arkham!$C$60</definedName>
    <definedName name="input_wld_az1_rack2_uplink02_vlan">Arkham!$C$57</definedName>
    <definedName name="input_wld_az1_rack2_vmotion_cidr">Arkham!$C$20</definedName>
    <definedName name="input_wld_az1_rack2_vmotion_gateway_ip">'Additional Racks'!$D$40</definedName>
    <definedName name="input_wld_az1_rack2_vmotion_mask">'Additional Racks'!$D$39</definedName>
    <definedName name="input_wld_az1_rack2_vmotion_mtu">'Additional Racks'!$D$37</definedName>
    <definedName name="input_wld_az1_rack2_vmotion_network">'Additional Racks'!$D$38</definedName>
    <definedName name="input_wld_az1_rack2_vmotion_pool_end_ip">'Additional Racks'!$D$42</definedName>
    <definedName name="input_wld_az1_rack2_vmotion_pool_start_ip">'Additional Racks'!$D$41</definedName>
    <definedName name="input_wld_az1_rack2_vmotion_vlan">'Additional Racks'!$D$36</definedName>
    <definedName name="input_wld_az1_rack2_vsan_fault_domain">'Additional Racks'!$D$86</definedName>
    <definedName name="input_wld_az1_rack3_edge_overlay_gateway_ip">Arkham!$F$64</definedName>
    <definedName name="input_wld_az1_rack3_edge_overlay_mask">Arkham!$F$67</definedName>
    <definedName name="input_wld_az1_rack3_edge_overlay_mtu">Arkham!$F$70</definedName>
    <definedName name="input_wld_az1_rack3_edge_overlay_network">Arkham!$F$61</definedName>
    <definedName name="input_wld_az1_rack3_edge_overlay_network_pool_name">'Additional Racks'!$D$175</definedName>
    <definedName name="input_wld_az1_rack3_edge_overlay_pool_end_ip">Arkham!$F$72</definedName>
    <definedName name="input_wld_az1_rack3_edge_overlay_pool_start_ip">Arkham!$F$71</definedName>
    <definedName name="input_wld_az1_rack3_edge_overlay_vlan">Arkham!$F$58</definedName>
    <definedName name="input_wld_az1_rack3_host_overlay_cidr">Arkham!$C$27</definedName>
    <definedName name="input_wld_az1_rack3_host_overlay_gateway_ip">'Additional Racks'!$D$188</definedName>
    <definedName name="input_wld_az1_rack3_host_overlay_mask">'Additional Racks'!$D$187</definedName>
    <definedName name="input_wld_az1_rack3_host_overlay_mtu">'Additional Racks'!$D$185</definedName>
    <definedName name="input_wld_az1_rack3_host_overlay_network">'Additional Racks'!$D$186</definedName>
    <definedName name="input_wld_az1_rack3_host_overlay_network_pool_name">'Additional Racks'!$D$173</definedName>
    <definedName name="input_wld_az1_rack3_host_overlay_network_profile_name">'Additional Racks'!$D$171</definedName>
    <definedName name="input_wld_az1_rack3_host_overlay_pool_end_ip">'Additional Racks'!$D$190</definedName>
    <definedName name="input_wld_az1_rack3_host_overlay_pool_start_ip">'Additional Racks'!$D$189</definedName>
    <definedName name="input_wld_az1_rack3_host_overlay_uplink_profile_name">'Additional Racks'!$D$174</definedName>
    <definedName name="input_wld_az1_rack3_host_overlay_vlan">'Additional Racks'!$D$184</definedName>
    <definedName name="input_wld_az1_rack3_host1_fqdn">'Additional Racks'!$D$147</definedName>
    <definedName name="input_wld_az1_rack3_host1_mgmt_ip">'Additional Racks'!$D$107</definedName>
    <definedName name="input_wld_az1_rack3_host10_fqdn">'Additional Racks'!$D$156</definedName>
    <definedName name="input_wld_az1_rack3_host10_mgmt_ip">'Additional Racks'!$D$116</definedName>
    <definedName name="input_wld_az1_rack3_host11_fqdn">'Additional Racks'!$D$157</definedName>
    <definedName name="input_wld_az1_rack3_host11_mgmt_ip">'Additional Racks'!$D$117</definedName>
    <definedName name="input_wld_az1_rack3_host12_fqdn">'Additional Racks'!$D$158</definedName>
    <definedName name="input_wld_az1_rack3_host12_mgmt_ip">'Additional Racks'!$D$118</definedName>
    <definedName name="input_wld_az1_rack3_host13_fqdn">'Additional Racks'!$D$159</definedName>
    <definedName name="input_wld_az1_rack3_host13_mgmt_ip">'Additional Racks'!$D$119</definedName>
    <definedName name="input_wld_az1_rack3_host14_fqdn">'Additional Racks'!$D$160</definedName>
    <definedName name="input_wld_az1_rack3_host14_mgmt_ip">'Additional Racks'!$D$120</definedName>
    <definedName name="input_wld_az1_rack3_host15_fqdn">'Additional Racks'!$D$161</definedName>
    <definedName name="input_wld_az1_rack3_host15_mgmt_ip">'Additional Racks'!$D$121</definedName>
    <definedName name="input_wld_az1_rack3_host16_fqdn">'Additional Racks'!$D$162</definedName>
    <definedName name="input_wld_az1_rack3_host16_mgmt_ip">'Additional Racks'!$D$122</definedName>
    <definedName name="input_wld_az1_rack3_host2_fqdn">'Additional Racks'!$D$148</definedName>
    <definedName name="input_wld_az1_rack3_host2_mgmt_ip">'Additional Racks'!$D$108</definedName>
    <definedName name="input_wld_az1_rack3_host3_fqdn">'Additional Racks'!$D$149</definedName>
    <definedName name="input_wld_az1_rack3_host3_mgmt_ip">'Additional Racks'!$D$109</definedName>
    <definedName name="input_wld_az1_rack3_host4_fqdn">'Additional Racks'!$D$150</definedName>
    <definedName name="input_wld_az1_rack3_host4_mgmt_ip">'Additional Racks'!$D$110</definedName>
    <definedName name="input_wld_az1_rack3_host5_fqdn">'Additional Racks'!$D$151</definedName>
    <definedName name="input_wld_az1_rack3_host5_mgmt_ip">'Additional Racks'!$D$111</definedName>
    <definedName name="input_wld_az1_rack3_host6_fqdn">'Additional Racks'!$D$152</definedName>
    <definedName name="input_wld_az1_rack3_host6_mgmt_ip">'Additional Racks'!$D$112</definedName>
    <definedName name="input_wld_az1_rack3_host7_fqdn">'Additional Racks'!$D$153</definedName>
    <definedName name="input_wld_az1_rack3_host7_mgmt_ip">'Additional Racks'!$D$113</definedName>
    <definedName name="input_wld_az1_rack3_host8_fqdn">'Additional Racks'!$D$154</definedName>
    <definedName name="input_wld_az1_rack3_host8_mgmt_ip">'Additional Racks'!$D$114</definedName>
    <definedName name="input_wld_az1_rack3_host9_fqdn">'Additional Racks'!$D$155</definedName>
    <definedName name="input_wld_az1_rack3_host9_mgmt_ip">'Additional Racks'!$D$115</definedName>
    <definedName name="input_wld_az1_rack3_mgmt_cidr">'Additional Racks'!$D$104</definedName>
    <definedName name="input_wld_az1_rack3_mgmt_gateway_ip">'Additional Racks'!$D$103</definedName>
    <definedName name="input_wld_az1_rack3_mgmt_mtu">'Additional Racks'!$D$105</definedName>
    <definedName name="input_wld_az1_rack3_mgmt_vlan">'Additional Racks'!$D$102</definedName>
    <definedName name="input_wld_az1_rack3_mgmt_vm_cidr">'Value Reference Tables - MR'!$N$276</definedName>
    <definedName name="input_wld_az1_rack3_mgmt_vm_gateway_ip">'Value Reference Tables - MR'!$P$276</definedName>
    <definedName name="input_wld_az1_rack3_mgmt_vm_mtu">'Value Reference Tables - MR'!$R$276</definedName>
    <definedName name="input_wld_az1_rack3_mgmt_vm_vlan">'Value Reference Tables - MR'!$L$276</definedName>
    <definedName name="input_wld_az1_rack3_pool_name">'Additional Racks'!$D$127</definedName>
    <definedName name="input_wld_az1_rack3_principal_storage_cidr">Arkham!$C$25</definedName>
    <definedName name="input_wld_az1_rack3_principal_storage_gateway_ip">'Additional Racks'!$D$141</definedName>
    <definedName name="input_wld_az1_rack3_principal_storage_mask">'Additional Racks'!$D$140</definedName>
    <definedName name="input_wld_az1_rack3_principal_storage_mtu">'Additional Racks'!$D$138</definedName>
    <definedName name="input_wld_az1_rack3_principal_storage_network">'Additional Racks'!$D$139</definedName>
    <definedName name="input_wld_az1_rack3_principal_storage_pool_end_ip">'Additional Racks'!$D$143</definedName>
    <definedName name="input_wld_az1_rack3_principal_storage_pool_start_ip">'Additional Racks'!$D$142</definedName>
    <definedName name="input_wld_az1_rack3_principal_storage_vlan">'Additional Racks'!$D$137</definedName>
    <definedName name="input_wld_az1_rack3_rtep_ip_pool_name">'Additional Racks'!$D$176</definedName>
    <definedName name="input_wld_az1_rack3_secondary_storage_cidr">Arkham!$C$26</definedName>
    <definedName name="input_wld_az1_rack3_secondary_storage_gateway_ip">'Dumping Ground'!$D$520</definedName>
    <definedName name="input_wld_az1_rack3_secondary_storage_mask">'Dumping Ground'!$D$519</definedName>
    <definedName name="input_wld_az1_rack3_secondary_storage_mtu">'Dumping Ground'!$D$517</definedName>
    <definedName name="input_wld_az1_rack3_secondary_storage_network">'Dumping Ground'!$D$518</definedName>
    <definedName name="input_wld_az1_rack3_secondary_storage_pool_end_ip">'Dumping Ground'!$D$522</definedName>
    <definedName name="input_wld_az1_rack3_secondary_storage_pool_start_ip">'Dumping Ground'!$D$521</definedName>
    <definedName name="input_wld_az1_rack3_secondary_storage_vlan">'Dumping Ground'!$D$516</definedName>
    <definedName name="input_wld_az1_rack3_tor1_peer_asn">Arkham!$F$75</definedName>
    <definedName name="input_wld_az1_rack3_tor1_peer_bgp_password">Arkham!$F$76</definedName>
    <definedName name="input_wld_az1_rack3_tor1_peer_ip">Arkham!$F$74</definedName>
    <definedName name="input_wld_az1_rack3_tor2_peer_asn">Arkham!$F$78</definedName>
    <definedName name="input_wld_az1_rack3_tor2_peer_bgp_password">Arkham!$F$79</definedName>
    <definedName name="input_wld_az1_rack3_tor2_peer_ip">Arkham!$F$77</definedName>
    <definedName name="input_wld_az1_rack3_uplink01_gateway_ip">Arkham!$F$62</definedName>
    <definedName name="input_wld_az1_rack3_uplink01_mask">Arkham!$F$65</definedName>
    <definedName name="input_wld_az1_rack3_uplink01_mtu">Arkham!$F$68</definedName>
    <definedName name="input_wld_az1_rack3_uplink01_network">Arkham!$F$59</definedName>
    <definedName name="input_wld_az1_rack3_uplink01_vlan">Arkham!$F$56</definedName>
    <definedName name="input_wld_az1_rack3_uplink02_gateway_ip">Arkham!$F$63</definedName>
    <definedName name="input_wld_az1_rack3_uplink02_mask">Arkham!$F$66</definedName>
    <definedName name="input_wld_az1_rack3_uplink02_mtu">Arkham!$F$69</definedName>
    <definedName name="input_wld_az1_rack3_uplink02_network">Arkham!$F$60</definedName>
    <definedName name="input_wld_az1_rack3_uplink02_vlan">Arkham!$F$57</definedName>
    <definedName name="input_wld_az1_rack3_vmotion_cidr">Arkham!$C$24</definedName>
    <definedName name="input_wld_az1_rack3_vmotion_gateway_ip">'Additional Racks'!$D$133</definedName>
    <definedName name="input_wld_az1_rack3_vmotion_mask">'Additional Racks'!$D$132</definedName>
    <definedName name="input_wld_az1_rack3_vmotion_mtu">'Additional Racks'!$D$130</definedName>
    <definedName name="input_wld_az1_rack3_vmotion_network">'Additional Racks'!$D$131</definedName>
    <definedName name="input_wld_az1_rack3_vmotion_pool_end_ip">'Additional Racks'!$D$135</definedName>
    <definedName name="input_wld_az1_rack3_vmotion_pool_start_ip">'Additional Racks'!$D$134</definedName>
    <definedName name="input_wld_az1_rack3_vmotion_vlan">'Additional Racks'!$D$129</definedName>
    <definedName name="input_wld_az1_rack3_vsan_fault_domain">'Additional Racks'!$D$179</definedName>
    <definedName name="input_wld_az1_rack4_edge_overlay_gateway_ip">Arkham!$I$64</definedName>
    <definedName name="input_wld_az1_rack4_edge_overlay_mask">Arkham!$I$67</definedName>
    <definedName name="input_wld_az1_rack4_edge_overlay_mtu">Arkham!$I$70</definedName>
    <definedName name="input_wld_az1_rack4_edge_overlay_network">Arkham!$I$61</definedName>
    <definedName name="input_wld_az1_rack4_edge_overlay_network_pool_name">'Additional Racks'!$D$268</definedName>
    <definedName name="input_wld_az1_rack4_edge_overlay_pool_end_ip">Arkham!$I$72</definedName>
    <definedName name="input_wld_az1_rack4_edge_overlay_pool_start_ip">Arkham!$I$71</definedName>
    <definedName name="input_wld_az1_rack4_edge_overlay_vlan">Arkham!$I$58</definedName>
    <definedName name="input_wld_az1_rack4_host_overlay_cidr">Arkham!$C$31</definedName>
    <definedName name="input_wld_az1_rack4_host_overlay_gateway_ip">'Additional Racks'!$D$281</definedName>
    <definedName name="input_wld_az1_rack4_host_overlay_mask">'Additional Racks'!$D$280</definedName>
    <definedName name="input_wld_az1_rack4_host_overlay_mtu">'Additional Racks'!$D$278</definedName>
    <definedName name="input_wld_az1_rack4_host_overlay_network">'Additional Racks'!$D$279</definedName>
    <definedName name="input_wld_az1_rack4_host_overlay_network_pool_name">'Additional Racks'!$D$266</definedName>
    <definedName name="input_wld_az1_rack4_host_overlay_network_profile_name">'Additional Racks'!$D$264</definedName>
    <definedName name="input_wld_az1_rack4_host_overlay_pool_end_ip">'Additional Racks'!$D$283</definedName>
    <definedName name="input_wld_az1_rack4_host_overlay_pool_start_ip">'Additional Racks'!$D$282</definedName>
    <definedName name="input_wld_az1_rack4_host_overlay_uplink_profile_name">'Additional Racks'!$D$267</definedName>
    <definedName name="input_wld_az1_rack4_host_overlay_vlan">'Additional Racks'!$D$277</definedName>
    <definedName name="input_wld_az1_rack4_host1_fqdn">'Additional Racks'!$D$240</definedName>
    <definedName name="input_wld_az1_rack4_host1_mgmt_ip">'Additional Racks'!$D$200</definedName>
    <definedName name="input_wld_az1_rack4_host10_fqdn">'Additional Racks'!$D$249</definedName>
    <definedName name="input_wld_az1_rack4_host10_mgmt_ip">'Additional Racks'!$D$209</definedName>
    <definedName name="input_wld_az1_rack4_host11_fqdn">'Additional Racks'!$D$250</definedName>
    <definedName name="input_wld_az1_rack4_host11_mgmt_ip">'Additional Racks'!$D$210</definedName>
    <definedName name="input_wld_az1_rack4_host12_fqdn">'Additional Racks'!$D$251</definedName>
    <definedName name="input_wld_az1_rack4_host12_mgmt_ip">'Additional Racks'!$D$211</definedName>
    <definedName name="input_wld_az1_rack4_host13_fqdn">'Additional Racks'!$D$252</definedName>
    <definedName name="input_wld_az1_rack4_host13_mgmt_ip">'Additional Racks'!$D$212</definedName>
    <definedName name="input_wld_az1_rack4_host14_fqdn">'Additional Racks'!$D$253</definedName>
    <definedName name="input_wld_az1_rack4_host14_mgmt_ip">'Additional Racks'!$D$213</definedName>
    <definedName name="input_wld_az1_rack4_host15_fqdn">'Additional Racks'!$D$254</definedName>
    <definedName name="input_wld_az1_rack4_host15_mgmt_ip">'Additional Racks'!$D$214</definedName>
    <definedName name="input_wld_az1_rack4_host16_fqdn">'Additional Racks'!$D$255</definedName>
    <definedName name="input_wld_az1_rack4_host16_mgmt_ip">'Additional Racks'!$D$215</definedName>
    <definedName name="input_wld_az1_rack4_host2_fqdn">'Additional Racks'!$D$241</definedName>
    <definedName name="input_wld_az1_rack4_host2_mgmt_ip">'Additional Racks'!$D$201</definedName>
    <definedName name="input_wld_az1_rack4_host3_fqdn">'Additional Racks'!$D$242</definedName>
    <definedName name="input_wld_az1_rack4_host3_mgmt_ip">'Additional Racks'!$D$202</definedName>
    <definedName name="input_wld_az1_rack4_host4_fqdn">'Additional Racks'!$D$243</definedName>
    <definedName name="input_wld_az1_rack4_host4_mgmt_ip">'Additional Racks'!$D$203</definedName>
    <definedName name="input_wld_az1_rack4_host5_fqdn">'Additional Racks'!$D$244</definedName>
    <definedName name="input_wld_az1_rack4_host5_mgmt_ip">'Additional Racks'!$D$204</definedName>
    <definedName name="input_wld_az1_rack4_host6_fqdn">'Additional Racks'!$D$245</definedName>
    <definedName name="input_wld_az1_rack4_host6_mgmt_ip">'Additional Racks'!$D$205</definedName>
    <definedName name="input_wld_az1_rack4_host7_fqdn">'Additional Racks'!$D$246</definedName>
    <definedName name="input_wld_az1_rack4_host7_mgmt_ip">'Additional Racks'!$D$206</definedName>
    <definedName name="input_wld_az1_rack4_host8_fqdn">'Additional Racks'!$D$247</definedName>
    <definedName name="input_wld_az1_rack4_host8_mgmt_ip">'Additional Racks'!$D$207</definedName>
    <definedName name="input_wld_az1_rack4_host9_fqdn">'Additional Racks'!$D$248</definedName>
    <definedName name="input_wld_az1_rack4_host9_mgmt_ip">'Additional Racks'!$D$208</definedName>
    <definedName name="input_wld_az1_rack4_mgmt_cidr">'Additional Racks'!$D$197</definedName>
    <definedName name="input_wld_az1_rack4_mgmt_gateway_ip">'Additional Racks'!$D$196</definedName>
    <definedName name="input_wld_az1_rack4_mgmt_mtu">'Additional Racks'!$D$198</definedName>
    <definedName name="input_wld_az1_rack4_mgmt_vlan">'Additional Racks'!$D$195</definedName>
    <definedName name="input_wld_az1_rack4_mgmt_vm_cidr">'Value Reference Tables - MR'!$N$277</definedName>
    <definedName name="input_wld_az1_rack4_mgmt_vm_gateway_ip">'Value Reference Tables - MR'!$P$277</definedName>
    <definedName name="input_wld_az1_rack4_mgmt_vm_mtu">'Value Reference Tables - MR'!$R$277</definedName>
    <definedName name="input_wld_az1_rack4_mgmt_vm_vlan">'Value Reference Tables - MR'!$L$277</definedName>
    <definedName name="input_wld_az1_rack4_pool_name">'Additional Racks'!$D$220</definedName>
    <definedName name="input_wld_az1_rack4_principal_storage_cidr">Arkham!$C$29</definedName>
    <definedName name="input_wld_az1_rack4_principal_storage_gateway_ip">'Additional Racks'!$D$234</definedName>
    <definedName name="input_wld_az1_rack4_principal_storage_mask">'Additional Racks'!$D$233</definedName>
    <definedName name="input_wld_az1_rack4_principal_storage_mtu">'Additional Racks'!$D$231</definedName>
    <definedName name="input_wld_az1_rack4_principal_storage_network">'Additional Racks'!$D$232</definedName>
    <definedName name="input_wld_az1_rack4_principal_storage_pool_end_ip">'Additional Racks'!$D$236</definedName>
    <definedName name="input_wld_az1_rack4_principal_storage_pool_start_ip">'Additional Racks'!$D$235</definedName>
    <definedName name="input_wld_az1_rack4_principal_storage_vlan">'Additional Racks'!$D$230</definedName>
    <definedName name="input_wld_az1_rack4_rtep_ip_pool_name">'Additional Racks'!$D$269</definedName>
    <definedName name="input_wld_az1_rack4_secondary_storage_cidr">Arkham!$C$30</definedName>
    <definedName name="input_wld_az1_rack4_secondary_storage_gateway_ip">'Dumping Ground'!$D$528</definedName>
    <definedName name="input_wld_az1_rack4_secondary_storage_mask">'Dumping Ground'!$D$527</definedName>
    <definedName name="input_wld_az1_rack4_secondary_storage_mtu">'Dumping Ground'!$D$525</definedName>
    <definedName name="input_wld_az1_rack4_secondary_storage_network">'Dumping Ground'!$D$526</definedName>
    <definedName name="input_wld_az1_rack4_secondary_storage_pool_end_ip">'Dumping Ground'!$D$530</definedName>
    <definedName name="input_wld_az1_rack4_secondary_storage_pool_start_ip">'Dumping Ground'!$D$529</definedName>
    <definedName name="input_wld_az1_rack4_secondary_storage_vlan">'Dumping Ground'!$D$524</definedName>
    <definedName name="input_wld_az1_rack4_tor1_peer_asn">Arkham!$I$75</definedName>
    <definedName name="input_wld_az1_rack4_tor1_peer_bgp_password">Arkham!$I$76</definedName>
    <definedName name="input_wld_az1_rack4_tor1_peer_ip">Arkham!$I$74</definedName>
    <definedName name="input_wld_az1_rack4_tor2_peer_asn">Arkham!$I$78</definedName>
    <definedName name="input_wld_az1_rack4_tor2_peer_bgp_password">Arkham!$I$79</definedName>
    <definedName name="input_wld_az1_rack4_tor2_peer_ip">Arkham!$I$77</definedName>
    <definedName name="input_wld_az1_rack4_uplink01_gateway_ip">Arkham!$I$62</definedName>
    <definedName name="input_wld_az1_rack4_uplink01_mask">Arkham!$I$65</definedName>
    <definedName name="input_wld_az1_rack4_uplink01_mtu">Arkham!$I$68</definedName>
    <definedName name="input_wld_az1_rack4_uplink01_network">Arkham!$I$59</definedName>
    <definedName name="input_wld_az1_rack4_uplink01_vlan">Arkham!$I$56</definedName>
    <definedName name="input_wld_az1_rack4_uplink02_gateway_ip">Arkham!$I$63</definedName>
    <definedName name="input_wld_az1_rack4_uplink02_mask">Arkham!$I$66</definedName>
    <definedName name="input_wld_az1_rack4_uplink02_mtu">Arkham!$I$69</definedName>
    <definedName name="input_wld_az1_rack4_uplink02_network">Arkham!$I$60</definedName>
    <definedName name="input_wld_az1_rack4_uplink02_vlan">Arkham!$I$57</definedName>
    <definedName name="input_wld_az1_rack4_vmotion_cidr">Arkham!$C$28</definedName>
    <definedName name="input_wld_az1_rack4_vmotion_gateway_ip">'Additional Racks'!$D$226</definedName>
    <definedName name="input_wld_az1_rack4_vmotion_mask">'Additional Racks'!$D$225</definedName>
    <definedName name="input_wld_az1_rack4_vmotion_mtu">'Additional Racks'!$D$223</definedName>
    <definedName name="input_wld_az1_rack4_vmotion_network">'Additional Racks'!$D$224</definedName>
    <definedName name="input_wld_az1_rack4_vmotion_pool_end_ip">'Additional Racks'!$D$228</definedName>
    <definedName name="input_wld_az1_rack4_vmotion_pool_start_ip">'Additional Racks'!$D$227</definedName>
    <definedName name="input_wld_az1_rack4_vmotion_vlan">'Additional Racks'!$D$222</definedName>
    <definedName name="input_wld_az1_rack4_vsan_fault_domain">'Additional Racks'!$D$272</definedName>
    <definedName name="input_wld_az1_rack5_edge_overlay_gateway_ip">Arkham!$L$64</definedName>
    <definedName name="input_wld_az1_rack5_edge_overlay_mask">Arkham!$L$67</definedName>
    <definedName name="input_wld_az1_rack5_edge_overlay_mtu">Arkham!$L$70</definedName>
    <definedName name="input_wld_az1_rack5_edge_overlay_network">Arkham!$L$61</definedName>
    <definedName name="input_wld_az1_rack5_edge_overlay_network_pool_name">'Additional Racks'!$D$361</definedName>
    <definedName name="input_wld_az1_rack5_edge_overlay_pool_end_ip">Arkham!$L$72</definedName>
    <definedName name="input_wld_az1_rack5_edge_overlay_pool_start_ip">Arkham!$L$71</definedName>
    <definedName name="input_wld_az1_rack5_edge_overlay_vlan">Arkham!$L$58</definedName>
    <definedName name="input_wld_az1_rack5_host_overlay_cidr">Arkham!$C$35</definedName>
    <definedName name="input_wld_az1_rack5_host_overlay_gateway_ip">'Additional Racks'!$D$374</definedName>
    <definedName name="input_wld_az1_rack5_host_overlay_mask">'Additional Racks'!$D$373</definedName>
    <definedName name="input_wld_az1_rack5_host_overlay_mtu">'Additional Racks'!$D$371</definedName>
    <definedName name="input_wld_az1_rack5_host_overlay_network">'Additional Racks'!$D$372</definedName>
    <definedName name="input_wld_az1_rack5_host_overlay_network_pool_name">'Additional Racks'!$D$359</definedName>
    <definedName name="input_wld_az1_rack5_host_overlay_network_profile_name">'Additional Racks'!$D$357</definedName>
    <definedName name="input_wld_az1_rack5_host_overlay_pool_end_ip">'Additional Racks'!$D$376</definedName>
    <definedName name="input_wld_az1_rack5_host_overlay_pool_start_ip">'Additional Racks'!$D$375</definedName>
    <definedName name="input_wld_az1_rack5_host_overlay_uplink_profile_name">'Additional Racks'!$D$360</definedName>
    <definedName name="input_wld_az1_rack5_host_overlay_vlan">'Additional Racks'!$D$370</definedName>
    <definedName name="input_wld_az1_rack5_host1_fqdn">'Additional Racks'!$D$333</definedName>
    <definedName name="input_wld_az1_rack5_host1_mgmt_ip">'Additional Racks'!$D$293</definedName>
    <definedName name="input_wld_az1_rack5_host10_fqdn">'Additional Racks'!$D$342</definedName>
    <definedName name="input_wld_az1_rack5_host10_mgmt_ip">'Additional Racks'!$D$302</definedName>
    <definedName name="input_wld_az1_rack5_host11_fqdn">'Additional Racks'!$D$343</definedName>
    <definedName name="input_wld_az1_rack5_host11_mgmt_ip">'Additional Racks'!$D$303</definedName>
    <definedName name="input_wld_az1_rack5_host12_fqdn">'Additional Racks'!$D$344</definedName>
    <definedName name="input_wld_az1_rack5_host12_mgmt_ip">'Additional Racks'!$D$304</definedName>
    <definedName name="input_wld_az1_rack5_host13_fqdn">'Additional Racks'!$D$345</definedName>
    <definedName name="input_wld_az1_rack5_host13_mgmt_ip">'Additional Racks'!$D$305</definedName>
    <definedName name="input_wld_az1_rack5_host14_fqdn">'Additional Racks'!$D$346</definedName>
    <definedName name="input_wld_az1_rack5_host14_mgmt_ip">'Additional Racks'!$D$306</definedName>
    <definedName name="input_wld_az1_rack5_host15_fqdn">'Additional Racks'!$D$347</definedName>
    <definedName name="input_wld_az1_rack5_host15_mgmt_ip">'Additional Racks'!$D$307</definedName>
    <definedName name="input_wld_az1_rack5_host16_fqdn">'Additional Racks'!$D$348</definedName>
    <definedName name="input_wld_az1_rack5_host16_mgmt_ip">'Additional Racks'!$D$308</definedName>
    <definedName name="input_wld_az1_rack5_host2_fqdn">'Additional Racks'!$D$334</definedName>
    <definedName name="input_wld_az1_rack5_host2_mgmt_ip">'Additional Racks'!$D$294</definedName>
    <definedName name="input_wld_az1_rack5_host3_fqdn">'Additional Racks'!$D$335</definedName>
    <definedName name="input_wld_az1_rack5_host3_mgmt_ip">'Additional Racks'!$D$295</definedName>
    <definedName name="input_wld_az1_rack5_host4_fqdn">'Additional Racks'!$D$336</definedName>
    <definedName name="input_wld_az1_rack5_host4_mgmt_ip">'Additional Racks'!$D$296</definedName>
    <definedName name="input_wld_az1_rack5_host5_fqdn">'Additional Racks'!$D$337</definedName>
    <definedName name="input_wld_az1_rack5_host5_mgmt_ip">'Additional Racks'!$D$297</definedName>
    <definedName name="input_wld_az1_rack5_host6_fqdn">'Additional Racks'!$D$338</definedName>
    <definedName name="input_wld_az1_rack5_host6_mgmt_ip">'Additional Racks'!$D$298</definedName>
    <definedName name="input_wld_az1_rack5_host7_fqdn">'Additional Racks'!$D$339</definedName>
    <definedName name="input_wld_az1_rack5_host7_mgmt_ip">'Additional Racks'!$D$299</definedName>
    <definedName name="input_wld_az1_rack5_host8_fqdn">'Additional Racks'!$D$340</definedName>
    <definedName name="input_wld_az1_rack5_host8_mgmt_ip">'Additional Racks'!$D$300</definedName>
    <definedName name="input_wld_az1_rack5_host9_fqdn">'Additional Racks'!$D$341</definedName>
    <definedName name="input_wld_az1_rack5_host9_mgmt_ip">'Additional Racks'!$D$301</definedName>
    <definedName name="input_wld_az1_rack5_mgmt_cidr">'Additional Racks'!$D$290</definedName>
    <definedName name="input_wld_az1_rack5_mgmt_gateway_ip">'Additional Racks'!$D$289</definedName>
    <definedName name="input_wld_az1_rack5_mgmt_mtu">'Additional Racks'!$D$291</definedName>
    <definedName name="input_wld_az1_rack5_mgmt_vlan">'Additional Racks'!$D$288</definedName>
    <definedName name="input_wld_az1_rack5_mgmt_vm_cidr">'Value Reference Tables - MR'!$N$278</definedName>
    <definedName name="input_wld_az1_rack5_mgmt_vm_gateway_ip">'Value Reference Tables - MR'!$P$278</definedName>
    <definedName name="input_wld_az1_rack5_mgmt_vm_mtu">'Value Reference Tables - MR'!$R$278</definedName>
    <definedName name="input_wld_az1_rack5_mgmt_vm_vlan">'Value Reference Tables - MR'!$L$278</definedName>
    <definedName name="input_wld_az1_rack5_pool_name">'Additional Racks'!$D$313</definedName>
    <definedName name="input_wld_az1_rack5_principal_storage_cidr">Arkham!$C$33</definedName>
    <definedName name="input_wld_az1_rack5_principal_storage_gateway_ip">'Additional Racks'!$D$327</definedName>
    <definedName name="input_wld_az1_rack5_principal_storage_mask">'Additional Racks'!$D$326</definedName>
    <definedName name="input_wld_az1_rack5_principal_storage_mtu">'Additional Racks'!$D$324</definedName>
    <definedName name="input_wld_az1_rack5_principal_storage_network">'Additional Racks'!$D$325</definedName>
    <definedName name="input_wld_az1_rack5_principal_storage_pool_end_ip">'Additional Racks'!$D$329</definedName>
    <definedName name="input_wld_az1_rack5_principal_storage_pool_start_ip">'Additional Racks'!$D$328</definedName>
    <definedName name="input_wld_az1_rack5_principal_storage_vlan">'Additional Racks'!$D$323</definedName>
    <definedName name="input_wld_az1_rack5_rtep_ip_pool_name">'Additional Racks'!$D$362</definedName>
    <definedName name="input_wld_az1_rack5_secondary_storage_cidr">Arkham!$C$34</definedName>
    <definedName name="input_wld_az1_rack5_secondary_storage_gateway_ip">'Dumping Ground'!$D$536</definedName>
    <definedName name="input_wld_az1_rack5_secondary_storage_mask">'Dumping Ground'!$D$535</definedName>
    <definedName name="input_wld_az1_rack5_secondary_storage_mtu">'Dumping Ground'!$D$533</definedName>
    <definedName name="input_wld_az1_rack5_secondary_storage_network">'Dumping Ground'!$D$534</definedName>
    <definedName name="input_wld_az1_rack5_secondary_storage_pool_end_ip">'Dumping Ground'!$D$538</definedName>
    <definedName name="input_wld_az1_rack5_secondary_storage_pool_start_ip">'Dumping Ground'!$D$537</definedName>
    <definedName name="input_wld_az1_rack5_secondary_storage_vlan">'Dumping Ground'!$D$532</definedName>
    <definedName name="input_wld_az1_rack5_tor1_peer_asn">Arkham!$L$75</definedName>
    <definedName name="input_wld_az1_rack5_tor1_peer_bgp_password">Arkham!$L$76</definedName>
    <definedName name="input_wld_az1_rack5_tor1_peer_ip">Arkham!$L$74</definedName>
    <definedName name="input_wld_az1_rack5_tor2_peer_asn">Arkham!$L$78</definedName>
    <definedName name="input_wld_az1_rack5_tor2_peer_bgp_password">Arkham!$L$79</definedName>
    <definedName name="input_wld_az1_rack5_tor2_peer_ip">Arkham!$L$77</definedName>
    <definedName name="input_wld_az1_rack5_uplink01_gateway_ip">Arkham!$L$62</definedName>
    <definedName name="input_wld_az1_rack5_uplink01_mask">Arkham!$L$65</definedName>
    <definedName name="input_wld_az1_rack5_uplink01_mtu">Arkham!$L$68</definedName>
    <definedName name="input_wld_az1_rack5_uplink01_network">Arkham!$L$59</definedName>
    <definedName name="input_wld_az1_rack5_uplink01_vlan">Arkham!$L$56</definedName>
    <definedName name="input_wld_az1_rack5_uplink02_gateway_ip">Arkham!$L$63</definedName>
    <definedName name="input_wld_az1_rack5_uplink02_mask">Arkham!$L$66</definedName>
    <definedName name="input_wld_az1_rack5_uplink02_mtu">Arkham!$L$69</definedName>
    <definedName name="input_wld_az1_rack5_uplink02_network">Arkham!$L$60</definedName>
    <definedName name="input_wld_az1_rack5_uplink02_vlan">Arkham!$L$57</definedName>
    <definedName name="input_wld_az1_rack5_vmotion_cidr">Arkham!$C$32</definedName>
    <definedName name="input_wld_az1_rack5_vmotion_gateway_ip">'Additional Racks'!$D$319</definedName>
    <definedName name="input_wld_az1_rack5_vmotion_mask">'Additional Racks'!$D$318</definedName>
    <definedName name="input_wld_az1_rack5_vmotion_mtu">'Additional Racks'!$D$316</definedName>
    <definedName name="input_wld_az1_rack5_vmotion_network">'Additional Racks'!$D$317</definedName>
    <definedName name="input_wld_az1_rack5_vmotion_pool_end_ip">'Additional Racks'!$D$321</definedName>
    <definedName name="input_wld_az1_rack5_vmotion_pool_start_ip">'Additional Racks'!$D$320</definedName>
    <definedName name="input_wld_az1_rack5_vmotion_vlan">'Additional Racks'!$D$315</definedName>
    <definedName name="input_wld_az1_rack5_vsan_fault_domain">'Additional Racks'!$D$365</definedName>
    <definedName name="input_wld_az1_rack6_edge_overlay_gateway_ip">Arkham!$O$64</definedName>
    <definedName name="input_wld_az1_rack6_edge_overlay_mask">Arkham!$O$67</definedName>
    <definedName name="input_wld_az1_rack6_edge_overlay_mtu">Arkham!$O$70</definedName>
    <definedName name="input_wld_az1_rack6_edge_overlay_network">Arkham!$O$61</definedName>
    <definedName name="input_wld_az1_rack6_edge_overlay_network_pool_name">'Additional Racks'!$D$454</definedName>
    <definedName name="input_wld_az1_rack6_edge_overlay_pool_end_ip">Arkham!$O$72</definedName>
    <definedName name="input_wld_az1_rack6_edge_overlay_pool_start_ip">Arkham!$O$71</definedName>
    <definedName name="input_wld_az1_rack6_edge_overlay_vlan">Arkham!$O$58</definedName>
    <definedName name="input_wld_az1_rack6_host_overlay_cidr">Arkham!$C$39</definedName>
    <definedName name="input_wld_az1_rack6_host_overlay_gateway_ip">'Additional Racks'!$D$467</definedName>
    <definedName name="input_wld_az1_rack6_host_overlay_mask">'Additional Racks'!$D$466</definedName>
    <definedName name="input_wld_az1_rack6_host_overlay_mtu">'Additional Racks'!$D$464</definedName>
    <definedName name="input_wld_az1_rack6_host_overlay_network">'Additional Racks'!$D$465</definedName>
    <definedName name="input_wld_az1_rack6_host_overlay_network_pool_name">'Additional Racks'!$D$452</definedName>
    <definedName name="input_wld_az1_rack6_host_overlay_network_profile_name">'Additional Racks'!$D$450</definedName>
    <definedName name="input_wld_az1_rack6_host_overlay_pool_end_ip">'Additional Racks'!$D$469</definedName>
    <definedName name="input_wld_az1_rack6_host_overlay_pool_start_ip">'Additional Racks'!$D$468</definedName>
    <definedName name="input_wld_az1_rack6_host_overlay_uplink_profile_name">'Additional Racks'!$D$453</definedName>
    <definedName name="input_wld_az1_rack6_host_overlay_vlan">'Additional Racks'!$D$463</definedName>
    <definedName name="input_wld_az1_rack6_host1_fqdn">'Additional Racks'!$D$426</definedName>
    <definedName name="input_wld_az1_rack6_host1_mgmt_ip">'Additional Racks'!$D$386</definedName>
    <definedName name="input_wld_az1_rack6_host10_fqdn">'Additional Racks'!$D$435</definedName>
    <definedName name="input_wld_az1_rack6_host10_mgmt_ip">'Additional Racks'!$D$395</definedName>
    <definedName name="input_wld_az1_rack6_host11_fqdn">'Additional Racks'!$D$436</definedName>
    <definedName name="input_wld_az1_rack6_host11_mgmt_ip">'Additional Racks'!$D$396</definedName>
    <definedName name="input_wld_az1_rack6_host12_fqdn">'Additional Racks'!$D$437</definedName>
    <definedName name="input_wld_az1_rack6_host12_mgmt_ip">'Additional Racks'!$D$397</definedName>
    <definedName name="input_wld_az1_rack6_host13_fqdn">'Additional Racks'!$D$438</definedName>
    <definedName name="input_wld_az1_rack6_host13_mgmt_ip">'Additional Racks'!$D$398</definedName>
    <definedName name="input_wld_az1_rack6_host14_fqdn">'Additional Racks'!$D$439</definedName>
    <definedName name="input_wld_az1_rack6_host14_mgmt_ip">'Additional Racks'!$D$399</definedName>
    <definedName name="input_wld_az1_rack6_host15_fqdn">'Additional Racks'!$D$440</definedName>
    <definedName name="input_wld_az1_rack6_host15_mgmt_ip">'Additional Racks'!$D$400</definedName>
    <definedName name="input_wld_az1_rack6_host16_fqdn">'Additional Racks'!$D$441</definedName>
    <definedName name="input_wld_az1_rack6_host16_mgmt_ip">'Additional Racks'!$D$401</definedName>
    <definedName name="input_wld_az1_rack6_host2_fqdn">'Additional Racks'!$D$427</definedName>
    <definedName name="input_wld_az1_rack6_host2_mgmt_ip">'Additional Racks'!$D$387</definedName>
    <definedName name="input_wld_az1_rack6_host3_fqdn">'Additional Racks'!$D$428</definedName>
    <definedName name="input_wld_az1_rack6_host3_mgmt_ip">'Additional Racks'!$D$388</definedName>
    <definedName name="input_wld_az1_rack6_host4_fqdn">'Additional Racks'!$D$429</definedName>
    <definedName name="input_wld_az1_rack6_host4_mgmt_ip">'Additional Racks'!$D$389</definedName>
    <definedName name="input_wld_az1_rack6_host5_fqdn">'Additional Racks'!$D$430</definedName>
    <definedName name="input_wld_az1_rack6_host5_mgmt_ip">'Additional Racks'!$D$390</definedName>
    <definedName name="input_wld_az1_rack6_host6_fqdn">'Additional Racks'!$D$431</definedName>
    <definedName name="input_wld_az1_rack6_host6_mgmt_ip">'Additional Racks'!$D$391</definedName>
    <definedName name="input_wld_az1_rack6_host7_fqdn">'Additional Racks'!$D$432</definedName>
    <definedName name="input_wld_az1_rack6_host7_mgmt_ip">'Additional Racks'!$D$392</definedName>
    <definedName name="input_wld_az1_rack6_host8_fqdn">'Additional Racks'!$D$433</definedName>
    <definedName name="input_wld_az1_rack6_host8_mgmt_ip">'Additional Racks'!$D$393</definedName>
    <definedName name="input_wld_az1_rack6_host9_fqdn">'Additional Racks'!$D$434</definedName>
    <definedName name="input_wld_az1_rack6_host9_mgmt_ip">'Additional Racks'!$D$394</definedName>
    <definedName name="input_wld_az1_rack6_mgmt_cidr">'Additional Racks'!$D$383</definedName>
    <definedName name="input_wld_az1_rack6_mgmt_gateway_ip">'Additional Racks'!$D$382</definedName>
    <definedName name="input_wld_az1_rack6_mgmt_mtu">'Additional Racks'!$D$384</definedName>
    <definedName name="input_wld_az1_rack6_mgmt_vlan">'Additional Racks'!$D$381</definedName>
    <definedName name="input_wld_az1_rack6_mgmt_vm_cidr">'Value Reference Tables - MR'!$N$279</definedName>
    <definedName name="input_wld_az1_rack6_mgmt_vm_gateway_ip">'Value Reference Tables - MR'!$P$279</definedName>
    <definedName name="input_wld_az1_rack6_mgmt_vm_mtu">'Value Reference Tables - MR'!$R$279</definedName>
    <definedName name="input_wld_az1_rack6_mgmt_vm_vlan">'Value Reference Tables - MR'!$L$279</definedName>
    <definedName name="input_wld_az1_rack6_pool_name">'Additional Racks'!$D$406</definedName>
    <definedName name="input_wld_az1_rack6_principal_storage_cidr">Arkham!$C$37</definedName>
    <definedName name="input_wld_az1_rack6_principal_storage_gateway_ip">'Additional Racks'!$D$420</definedName>
    <definedName name="input_wld_az1_rack6_principal_storage_mask">'Additional Racks'!$D$419</definedName>
    <definedName name="input_wld_az1_rack6_principal_storage_mtu">'Additional Racks'!$D$417</definedName>
    <definedName name="input_wld_az1_rack6_principal_storage_network">'Additional Racks'!$D$418</definedName>
    <definedName name="input_wld_az1_rack6_principal_storage_pool_end_ip">'Additional Racks'!$D$422</definedName>
    <definedName name="input_wld_az1_rack6_principal_storage_pool_start_ip">'Additional Racks'!$D$421</definedName>
    <definedName name="input_wld_az1_rack6_principal_storage_vlan">'Additional Racks'!$D$416</definedName>
    <definedName name="input_wld_az1_rack6_rtep_ip_pool_name">'Additional Racks'!$D$455</definedName>
    <definedName name="input_wld_az1_rack6_secondary_storage_cidr">Arkham!$C$38</definedName>
    <definedName name="input_wld_az1_rack6_secondary_storage_gateway_ip">'Dumping Ground'!$D$544</definedName>
    <definedName name="input_wld_az1_rack6_secondary_storage_mask">'Dumping Ground'!$D$543</definedName>
    <definedName name="input_wld_az1_rack6_secondary_storage_mtu">'Dumping Ground'!$D$541</definedName>
    <definedName name="input_wld_az1_rack6_secondary_storage_network">'Dumping Ground'!$D$542</definedName>
    <definedName name="input_wld_az1_rack6_secondary_storage_pool_end_ip">'Dumping Ground'!$D$546</definedName>
    <definedName name="input_wld_az1_rack6_secondary_storage_pool_start_ip">'Dumping Ground'!$D$545</definedName>
    <definedName name="input_wld_az1_rack6_secondary_storage_vlan">'Dumping Ground'!$D$540</definedName>
    <definedName name="input_wld_az1_rack6_tor1_peer_asn">Arkham!$O$75</definedName>
    <definedName name="input_wld_az1_rack6_tor1_peer_bgp_password">Arkham!$O$76</definedName>
    <definedName name="input_wld_az1_rack6_tor1_peer_ip">Arkham!$O$74</definedName>
    <definedName name="input_wld_az1_rack6_tor2_peer_asn">Arkham!$O$78</definedName>
    <definedName name="input_wld_az1_rack6_tor2_peer_bgp_password">Arkham!$O$79</definedName>
    <definedName name="input_wld_az1_rack6_tor2_peer_ip">Arkham!$O$77</definedName>
    <definedName name="input_wld_az1_rack6_uplink01_gateway_ip">Arkham!$O$62</definedName>
    <definedName name="input_wld_az1_rack6_uplink01_mask">Arkham!$O$65</definedName>
    <definedName name="input_wld_az1_rack6_uplink01_mtu">Arkham!$O$68</definedName>
    <definedName name="input_wld_az1_rack6_uplink01_network">Arkham!$O$59</definedName>
    <definedName name="input_wld_az1_rack6_uplink01_vlan">Arkham!$O$56</definedName>
    <definedName name="input_wld_az1_rack6_uplink02_gateway_ip">Arkham!$O$63</definedName>
    <definedName name="input_wld_az1_rack6_uplink02_mask">Arkham!$O$66</definedName>
    <definedName name="input_wld_az1_rack6_uplink02_mtu">Arkham!$O$69</definedName>
    <definedName name="input_wld_az1_rack6_uplink02_network">Arkham!$O$60</definedName>
    <definedName name="input_wld_az1_rack6_uplink02_vlan">Arkham!$O$57</definedName>
    <definedName name="input_wld_az1_rack6_vmotion_cidr">Arkham!$C$36</definedName>
    <definedName name="input_wld_az1_rack6_vmotion_gateway_ip">'Additional Racks'!$D$412</definedName>
    <definedName name="input_wld_az1_rack6_vmotion_mask">'Additional Racks'!$D$411</definedName>
    <definedName name="input_wld_az1_rack6_vmotion_mtu">'Additional Racks'!$D$409</definedName>
    <definedName name="input_wld_az1_rack6_vmotion_network">'Additional Racks'!$D$410</definedName>
    <definedName name="input_wld_az1_rack6_vmotion_pool_end_ip">'Additional Racks'!$D$414</definedName>
    <definedName name="input_wld_az1_rack6_vmotion_pool_start_ip">'Additional Racks'!$D$413</definedName>
    <definedName name="input_wld_az1_rack6_vmotion_vlan">'Additional Racks'!$D$408</definedName>
    <definedName name="input_wld_az1_rack6_vsan_fault_domain">'Additional Racks'!$D$458</definedName>
    <definedName name="input_wld_az1_rack7_edge_overlay_gateway_ip">Arkham!$R$64</definedName>
    <definedName name="input_wld_az1_rack7_edge_overlay_mask">Arkham!$R$67</definedName>
    <definedName name="input_wld_az1_rack7_edge_overlay_mtu">Arkham!$R$70</definedName>
    <definedName name="input_wld_az1_rack7_edge_overlay_network">Arkham!$R$61</definedName>
    <definedName name="input_wld_az1_rack7_edge_overlay_network_pool_name">'Additional Racks'!$D$547</definedName>
    <definedName name="input_wld_az1_rack7_edge_overlay_pool_end_ip">Arkham!$R$72</definedName>
    <definedName name="input_wld_az1_rack7_edge_overlay_pool_start_ip">Arkham!$R$71</definedName>
    <definedName name="input_wld_az1_rack7_edge_overlay_vlan">Arkham!$R$58</definedName>
    <definedName name="input_wld_az1_rack7_host_overlay_cidr">Arkham!$C$43</definedName>
    <definedName name="input_wld_az1_rack7_host_overlay_gateway_ip">'Additional Racks'!$D$560</definedName>
    <definedName name="input_wld_az1_rack7_host_overlay_mask">'Additional Racks'!$D$559</definedName>
    <definedName name="input_wld_az1_rack7_host_overlay_mtu">'Additional Racks'!$D$557</definedName>
    <definedName name="input_wld_az1_rack7_host_overlay_network">'Additional Racks'!$D$558</definedName>
    <definedName name="input_wld_az1_rack7_host_overlay_network_pool_name">'Additional Racks'!$D$545</definedName>
    <definedName name="input_wld_az1_rack7_host_overlay_network_profile_name">'Additional Racks'!$D$543</definedName>
    <definedName name="input_wld_az1_rack7_host_overlay_pool_end_ip">'Additional Racks'!$D$562</definedName>
    <definedName name="input_wld_az1_rack7_host_overlay_pool_start_ip">'Additional Racks'!$D$561</definedName>
    <definedName name="input_wld_az1_rack7_host_overlay_uplink_profile_name">'Additional Racks'!$D$546</definedName>
    <definedName name="input_wld_az1_rack7_host_overlay_vlan">'Additional Racks'!$D$556</definedName>
    <definedName name="input_wld_az1_rack7_host1_fqdn">'Additional Racks'!$D$519</definedName>
    <definedName name="input_wld_az1_rack7_host1_mgmt_ip">'Additional Racks'!$D$479</definedName>
    <definedName name="input_wld_az1_rack7_host10_fqdn">'Additional Racks'!$D$528</definedName>
    <definedName name="input_wld_az1_rack7_host10_mgmt_ip">'Additional Racks'!$D$488</definedName>
    <definedName name="input_wld_az1_rack7_host11_fqdn">'Additional Racks'!$D$529</definedName>
    <definedName name="input_wld_az1_rack7_host11_mgmt_ip">'Additional Racks'!$D$489</definedName>
    <definedName name="input_wld_az1_rack7_host12_fqdn">'Additional Racks'!$D$530</definedName>
    <definedName name="input_wld_az1_rack7_host12_mgmt_ip">'Additional Racks'!$D$490</definedName>
    <definedName name="input_wld_az1_rack7_host13_fqdn">'Additional Racks'!$D$531</definedName>
    <definedName name="input_wld_az1_rack7_host13_mgmt_ip">'Additional Racks'!$D$491</definedName>
    <definedName name="input_wld_az1_rack7_host14_fqdn">'Additional Racks'!$D$532</definedName>
    <definedName name="input_wld_az1_rack7_host14_mgmt_ip">'Additional Racks'!$D$492</definedName>
    <definedName name="input_wld_az1_rack7_host15_fqdn">'Additional Racks'!$D$533</definedName>
    <definedName name="input_wld_az1_rack7_host15_mgmt_ip">'Additional Racks'!$D$493</definedName>
    <definedName name="input_wld_az1_rack7_host16_fqdn">'Additional Racks'!$D$534</definedName>
    <definedName name="input_wld_az1_rack7_host16_mgmt_ip">'Additional Racks'!$D$494</definedName>
    <definedName name="input_wld_az1_rack7_host2_fqdn">'Additional Racks'!$D$520</definedName>
    <definedName name="input_wld_az1_rack7_host2_mgmt_ip">'Additional Racks'!$D$480</definedName>
    <definedName name="input_wld_az1_rack7_host3_fqdn">'Additional Racks'!$D$521</definedName>
    <definedName name="input_wld_az1_rack7_host3_mgmt_ip">'Additional Racks'!$D$481</definedName>
    <definedName name="input_wld_az1_rack7_host4_fqdn">'Additional Racks'!$D$522</definedName>
    <definedName name="input_wld_az1_rack7_host4_mgmt_ip">'Additional Racks'!$D$482</definedName>
    <definedName name="input_wld_az1_rack7_host5_fqdn">'Additional Racks'!$D$523</definedName>
    <definedName name="input_wld_az1_rack7_host5_mgmt_ip">'Additional Racks'!$D$483</definedName>
    <definedName name="input_wld_az1_rack7_host6_fqdn">'Additional Racks'!$D$524</definedName>
    <definedName name="input_wld_az1_rack7_host6_mgmt_ip">'Additional Racks'!$D$484</definedName>
    <definedName name="input_wld_az1_rack7_host7_fqdn">'Additional Racks'!$D$525</definedName>
    <definedName name="input_wld_az1_rack7_host7_mgmt_ip">'Additional Racks'!$D$485</definedName>
    <definedName name="input_wld_az1_rack7_host8_fqdn">'Additional Racks'!$D$526</definedName>
    <definedName name="input_wld_az1_rack7_host8_mgmt_ip">'Additional Racks'!$D$486</definedName>
    <definedName name="input_wld_az1_rack7_host9_fqdn">'Additional Racks'!$D$527</definedName>
    <definedName name="input_wld_az1_rack7_host9_mgmt_ip">'Additional Racks'!$D$487</definedName>
    <definedName name="input_wld_az1_rack7_mgmt_cidr">'Additional Racks'!$D$476</definedName>
    <definedName name="input_wld_az1_rack7_mgmt_gateway_ip">'Additional Racks'!$D$475</definedName>
    <definedName name="input_wld_az1_rack7_mgmt_mtu">'Additional Racks'!$D$477</definedName>
    <definedName name="input_wld_az1_rack7_mgmt_vlan">'Additional Racks'!$D$474</definedName>
    <definedName name="input_wld_az1_rack7_mgmt_vm_cidr">'Value Reference Tables - MR'!$N$280</definedName>
    <definedName name="input_wld_az1_rack7_mgmt_vm_gateway_ip">'Value Reference Tables - MR'!$P$280</definedName>
    <definedName name="input_wld_az1_rack7_mgmt_vm_mtu">'Value Reference Tables - MR'!$R$280</definedName>
    <definedName name="input_wld_az1_rack7_mgmt_vm_vlan">'Value Reference Tables - MR'!$L$280</definedName>
    <definedName name="input_wld_az1_rack7_pool_name">'Additional Racks'!$D$499</definedName>
    <definedName name="input_wld_az1_rack7_principal_storage_cidr">Arkham!$C$41</definedName>
    <definedName name="input_wld_az1_rack7_principal_storage_gateway_ip">'Additional Racks'!$D$513</definedName>
    <definedName name="input_wld_az1_rack7_principal_storage_mask">'Additional Racks'!$D$512</definedName>
    <definedName name="input_wld_az1_rack7_principal_storage_mtu">'Additional Racks'!$D$510</definedName>
    <definedName name="input_wld_az1_rack7_principal_storage_network">'Additional Racks'!$D$511</definedName>
    <definedName name="input_wld_az1_rack7_principal_storage_pool_end_ip">'Additional Racks'!$D$515</definedName>
    <definedName name="input_wld_az1_rack7_principal_storage_pool_start_ip">'Additional Racks'!$D$514</definedName>
    <definedName name="input_wld_az1_rack7_principal_storage_vlan">'Additional Racks'!$D$509</definedName>
    <definedName name="input_wld_az1_rack7_rtep_ip_pool_name">'Additional Racks'!$D$548</definedName>
    <definedName name="input_wld_az1_rack7_secondary_storage_cidr">Arkham!$C$42</definedName>
    <definedName name="input_wld_az1_rack7_secondary_storage_gateway_ip">'Dumping Ground'!$D$552</definedName>
    <definedName name="input_wld_az1_rack7_secondary_storage_mask">'Dumping Ground'!$D$551</definedName>
    <definedName name="input_wld_az1_rack7_secondary_storage_mtu">'Dumping Ground'!$D$549</definedName>
    <definedName name="input_wld_az1_rack7_secondary_storage_network">'Dumping Ground'!$D$550</definedName>
    <definedName name="input_wld_az1_rack7_secondary_storage_pool_end_ip">'Dumping Ground'!$D$554</definedName>
    <definedName name="input_wld_az1_rack7_secondary_storage_pool_start_ip">'Dumping Ground'!$D$553</definedName>
    <definedName name="input_wld_az1_rack7_secondary_storage_vlan">'Dumping Ground'!$D$548</definedName>
    <definedName name="input_wld_az1_rack7_tor1_peer_asn">Arkham!$R$75</definedName>
    <definedName name="input_wld_az1_rack7_tor1_peer_bgp_password">Arkham!$R$76</definedName>
    <definedName name="input_wld_az1_rack7_tor1_peer_ip">Arkham!$R$74</definedName>
    <definedName name="input_wld_az1_rack7_tor2_peer_asn">Arkham!$R$78</definedName>
    <definedName name="input_wld_az1_rack7_tor2_peer_bgp_password">Arkham!$R$79</definedName>
    <definedName name="input_wld_az1_rack7_tor2_peer_ip">Arkham!$R$77</definedName>
    <definedName name="input_wld_az1_rack7_uplink01_gateway_ip">Arkham!$R$62</definedName>
    <definedName name="input_wld_az1_rack7_uplink01_mask">Arkham!$R$65</definedName>
    <definedName name="input_wld_az1_rack7_uplink01_mtu">Arkham!$R$68</definedName>
    <definedName name="input_wld_az1_rack7_uplink01_network">Arkham!$R$59</definedName>
    <definedName name="input_wld_az1_rack7_uplink01_vlan">Arkham!$R$56</definedName>
    <definedName name="input_wld_az1_rack7_uplink02_gateway_ip">Arkham!$R$63</definedName>
    <definedName name="input_wld_az1_rack7_uplink02_mask">Arkham!$R$66</definedName>
    <definedName name="input_wld_az1_rack7_uplink02_mtu">Arkham!$R$69</definedName>
    <definedName name="input_wld_az1_rack7_uplink02_network">Arkham!$R$60</definedName>
    <definedName name="input_wld_az1_rack7_uplink02_vlan">Arkham!$R$57</definedName>
    <definedName name="input_wld_az1_rack7_vmotion_cidr">Arkham!$C$40</definedName>
    <definedName name="input_wld_az1_rack7_vmotion_gateway_ip">'Additional Racks'!$D$505</definedName>
    <definedName name="input_wld_az1_rack7_vmotion_mask">'Additional Racks'!$D$504</definedName>
    <definedName name="input_wld_az1_rack7_vmotion_mtu">'Additional Racks'!$D$502</definedName>
    <definedName name="input_wld_az1_rack7_vmotion_network">'Additional Racks'!$D$503</definedName>
    <definedName name="input_wld_az1_rack7_vmotion_pool_end_ip">'Additional Racks'!$D$507</definedName>
    <definedName name="input_wld_az1_rack7_vmotion_pool_start_ip">'Additional Racks'!$D$506</definedName>
    <definedName name="input_wld_az1_rack7_vmotion_vlan">'Additional Racks'!$D$501</definedName>
    <definedName name="input_wld_az1_rack7_vsan_fault_domain">'Additional Racks'!$D$551</definedName>
    <definedName name="input_wld_az1_rack8_edge_overlay_gateway_ip">Arkham!$U$64</definedName>
    <definedName name="input_wld_az1_rack8_edge_overlay_mask">Arkham!$U$67</definedName>
    <definedName name="input_wld_az1_rack8_edge_overlay_mtu">Arkham!$U$70</definedName>
    <definedName name="input_wld_az1_rack8_edge_overlay_network">Arkham!$U$61</definedName>
    <definedName name="input_wld_az1_rack8_edge_overlay_network_pool_name">'Additional Racks'!$D$640</definedName>
    <definedName name="input_wld_az1_rack8_edge_overlay_pool_end_ip">Arkham!$U$72</definedName>
    <definedName name="input_wld_az1_rack8_edge_overlay_pool_start_ip">Arkham!$U$71</definedName>
    <definedName name="input_wld_az1_rack8_edge_overlay_vlan">Arkham!$U$58</definedName>
    <definedName name="input_wld_az1_rack8_host_overlay_cidr">Arkham!$C$47</definedName>
    <definedName name="input_wld_az1_rack8_host_overlay_gateway_ip">'Additional Racks'!$D$653</definedName>
    <definedName name="input_wld_az1_rack8_host_overlay_mask">'Additional Racks'!$D$652</definedName>
    <definedName name="input_wld_az1_rack8_host_overlay_mtu">'Additional Racks'!$D$650</definedName>
    <definedName name="input_wld_az1_rack8_host_overlay_network">'Additional Racks'!$D$651</definedName>
    <definedName name="input_wld_az1_rack8_host_overlay_network_pool_name">'Additional Racks'!$D$638</definedName>
    <definedName name="input_wld_az1_rack8_host_overlay_network_profile_name">'Additional Racks'!$D$636</definedName>
    <definedName name="input_wld_az1_rack8_host_overlay_pool_end_ip">'Additional Racks'!$D$655</definedName>
    <definedName name="input_wld_az1_rack8_host_overlay_pool_start_ip">'Additional Racks'!$D$654</definedName>
    <definedName name="input_wld_az1_rack8_host_overlay_uplink_profile_name">'Additional Racks'!$D$639</definedName>
    <definedName name="input_wld_az1_rack8_host_overlay_vlan">'Additional Racks'!$D$649</definedName>
    <definedName name="input_wld_az1_rack8_host1_fqdn">'Additional Racks'!$D$612</definedName>
    <definedName name="input_wld_az1_rack8_host1_mgmt_ip">'Additional Racks'!$D$572</definedName>
    <definedName name="input_wld_az1_rack8_host10_fqdn">'Additional Racks'!$D$621</definedName>
    <definedName name="input_wld_az1_rack8_host10_mgmt_ip">'Additional Racks'!$D$581</definedName>
    <definedName name="input_wld_az1_rack8_host11_fqdn">'Additional Racks'!$D$622</definedName>
    <definedName name="input_wld_az1_rack8_host11_mgmt_ip">'Additional Racks'!$D$582</definedName>
    <definedName name="input_wld_az1_rack8_host12_fqdn">'Additional Racks'!$D$623</definedName>
    <definedName name="input_wld_az1_rack8_host12_mgmt_ip">'Additional Racks'!$D$583</definedName>
    <definedName name="input_wld_az1_rack8_host13_fqdn">'Additional Racks'!$D$624</definedName>
    <definedName name="input_wld_az1_rack8_host13_mgmt_ip">'Additional Racks'!$D$584</definedName>
    <definedName name="input_wld_az1_rack8_host14_fqdn">'Additional Racks'!$D$625</definedName>
    <definedName name="input_wld_az1_rack8_host14_mgmt_ip">'Additional Racks'!$D$585</definedName>
    <definedName name="input_wld_az1_rack8_host15_fqdn">'Additional Racks'!$D$626</definedName>
    <definedName name="input_wld_az1_rack8_host15_mgmt_ip">'Additional Racks'!$D$586</definedName>
    <definedName name="input_wld_az1_rack8_host16_fqdn">'Additional Racks'!$D$627</definedName>
    <definedName name="input_wld_az1_rack8_host16_mgmt_ip">'Additional Racks'!$D$587</definedName>
    <definedName name="input_wld_az1_rack8_host2_fqdn">'Additional Racks'!$D$613</definedName>
    <definedName name="input_wld_az1_rack8_host2_mgmt_ip">'Additional Racks'!$D$573</definedName>
    <definedName name="input_wld_az1_rack8_host3_fqdn">'Additional Racks'!$D$614</definedName>
    <definedName name="input_wld_az1_rack8_host3_mgmt_ip">'Additional Racks'!$D$574</definedName>
    <definedName name="input_wld_az1_rack8_host4_fqdn">'Additional Racks'!$D$615</definedName>
    <definedName name="input_wld_az1_rack8_host4_mgmt_ip">'Additional Racks'!$D$575</definedName>
    <definedName name="input_wld_az1_rack8_host5_fqdn">'Additional Racks'!$D$616</definedName>
    <definedName name="input_wld_az1_rack8_host5_mgmt_ip">'Additional Racks'!$D$576</definedName>
    <definedName name="input_wld_az1_rack8_host6_fqdn">'Additional Racks'!$D$617</definedName>
    <definedName name="input_wld_az1_rack8_host6_mgmt_ip">'Additional Racks'!$D$577</definedName>
    <definedName name="input_wld_az1_rack8_host7_fqdn">'Additional Racks'!$D$618</definedName>
    <definedName name="input_wld_az1_rack8_host7_mgmt_ip">'Additional Racks'!$D$578</definedName>
    <definedName name="input_wld_az1_rack8_host8_fqdn">'Additional Racks'!$D$619</definedName>
    <definedName name="input_wld_az1_rack8_host8_mgmt_ip">'Additional Racks'!$D$579</definedName>
    <definedName name="input_wld_az1_rack8_host9_fqdn">'Additional Racks'!$D$620</definedName>
    <definedName name="input_wld_az1_rack8_host9_mgmt_ip">'Additional Racks'!$D$580</definedName>
    <definedName name="input_wld_az1_rack8_mgmt_cidr">'Additional Racks'!$D$569</definedName>
    <definedName name="input_wld_az1_rack8_mgmt_gateway_ip">'Additional Racks'!$D$568</definedName>
    <definedName name="input_wld_az1_rack8_mgmt_mtu">'Additional Racks'!$D$570</definedName>
    <definedName name="input_wld_az1_rack8_mgmt_vlan">'Additional Racks'!$D$567</definedName>
    <definedName name="input_wld_az1_rack8_mgmt_vm_cidr">'Value Reference Tables - MR'!$N$281</definedName>
    <definedName name="input_wld_az1_rack8_mgmt_vm_gateway_ip">'Value Reference Tables - MR'!$P$281</definedName>
    <definedName name="input_wld_az1_rack8_mgmt_vm_mtu">'Value Reference Tables - MR'!$R$281</definedName>
    <definedName name="input_wld_az1_rack8_mgmt_vm_vlan">'Value Reference Tables - MR'!$L$281</definedName>
    <definedName name="input_wld_az1_rack8_pool_name">'Additional Racks'!$D$592</definedName>
    <definedName name="input_wld_az1_rack8_principal_storage_cidr">Arkham!$C$45</definedName>
    <definedName name="input_wld_az1_rack8_principal_storage_gateway_ip">'Additional Racks'!$D$606</definedName>
    <definedName name="input_wld_az1_rack8_principal_storage_mask">'Additional Racks'!$D$605</definedName>
    <definedName name="input_wld_az1_rack8_principal_storage_mtu">'Additional Racks'!$D$603</definedName>
    <definedName name="input_wld_az1_rack8_principal_storage_network">'Additional Racks'!$D$604</definedName>
    <definedName name="input_wld_az1_rack8_principal_storage_pool_end_ip">'Additional Racks'!$D$608</definedName>
    <definedName name="input_wld_az1_rack8_principal_storage_pool_start_ip">'Additional Racks'!$D$607</definedName>
    <definedName name="input_wld_az1_rack8_principal_storage_vlan">'Additional Racks'!$D$602</definedName>
    <definedName name="input_wld_az1_rack8_rtep_ip_pool_name">'Additional Racks'!$D$641</definedName>
    <definedName name="input_wld_az1_rack8_secondary_storage_cidr">Arkham!$C$46</definedName>
    <definedName name="input_wld_az1_rack8_secondary_storage_gateway_ip">'Dumping Ground'!$D$560</definedName>
    <definedName name="input_wld_az1_rack8_secondary_storage_mask">'Dumping Ground'!$D$559</definedName>
    <definedName name="input_wld_az1_rack8_secondary_storage_mtu">'Dumping Ground'!$D$557</definedName>
    <definedName name="input_wld_az1_rack8_secondary_storage_network">'Dumping Ground'!$D$558</definedName>
    <definedName name="input_wld_az1_rack8_secondary_storage_pool_end_ip">'Dumping Ground'!$D$562</definedName>
    <definedName name="input_wld_az1_rack8_secondary_storage_pool_start_ip">'Dumping Ground'!$D$561</definedName>
    <definedName name="input_wld_az1_rack8_secondary_storage_vlan">'Dumping Ground'!$D$556</definedName>
    <definedName name="input_wld_az1_rack8_tor1_peer_asn">Arkham!$U$75</definedName>
    <definedName name="input_wld_az1_rack8_tor1_peer_bgp_password">Arkham!$U$76</definedName>
    <definedName name="input_wld_az1_rack8_tor1_peer_ip">Arkham!$U$74</definedName>
    <definedName name="input_wld_az1_rack8_tor2_peer_asn">Arkham!$U$78</definedName>
    <definedName name="input_wld_az1_rack8_tor2_peer_bgp_password">Arkham!$U$79</definedName>
    <definedName name="input_wld_az1_rack8_tor2_peer_ip">Arkham!$U$77</definedName>
    <definedName name="input_wld_az1_rack8_uplink01_gateway_ip">Arkham!$U$62</definedName>
    <definedName name="input_wld_az1_rack8_uplink01_mask">Arkham!$U$65</definedName>
    <definedName name="input_wld_az1_rack8_uplink01_mtu">Arkham!$U$68</definedName>
    <definedName name="input_wld_az1_rack8_uplink01_network">Arkham!$U$59</definedName>
    <definedName name="input_wld_az1_rack8_uplink01_vlan">Arkham!$U$56</definedName>
    <definedName name="input_wld_az1_rack8_uplink02_gateway_ip">Arkham!$U$63</definedName>
    <definedName name="input_wld_az1_rack8_uplink02_mask">Arkham!$U$66</definedName>
    <definedName name="input_wld_az1_rack8_uplink02_mtu">Arkham!$U$69</definedName>
    <definedName name="input_wld_az1_rack8_uplink02_network">Arkham!$U$60</definedName>
    <definedName name="input_wld_az1_rack8_uplink02_vlan">Arkham!$U$57</definedName>
    <definedName name="input_wld_az1_rack8_vmotion_cidr">Arkham!$C$44</definedName>
    <definedName name="input_wld_az1_rack8_vmotion_gateway_ip">'Additional Racks'!$D$598</definedName>
    <definedName name="input_wld_az1_rack8_vmotion_mask">'Additional Racks'!$D$597</definedName>
    <definedName name="input_wld_az1_rack8_vmotion_mtu">'Additional Racks'!$D$595</definedName>
    <definedName name="input_wld_az1_rack8_vmotion_network">'Additional Racks'!$D$596</definedName>
    <definedName name="input_wld_az1_rack8_vmotion_pool_end_ip">'Additional Racks'!$D$600</definedName>
    <definedName name="input_wld_az1_rack8_vmotion_pool_start_ip">'Additional Racks'!$D$599</definedName>
    <definedName name="input_wld_az1_rack8_vmotion_vlan">'Additional Racks'!$D$594</definedName>
    <definedName name="input_wld_az1_rack8_vsan_fault_domain">'Additional Racks'!$D$644</definedName>
    <definedName name="input_wld_az1_rtep_ip_pool_name">'Configure Workload Domain'!$D$537</definedName>
    <definedName name="input_wld_az1_rtep_overlay_cidr">'Configure Workload Domain'!$D$540</definedName>
    <definedName name="input_wld_az1_rtep_overlay_gateway_ip">'Configure Workload Domain'!$D$541</definedName>
    <definedName name="input_wld_az1_rtep_overlay_vlan">'Configure Workload Domain'!$D$570</definedName>
    <definedName name="input_wld_az1_secondary_storage_gateway_cidr">'Deploy Workload Domain'!$D$110</definedName>
    <definedName name="input_wld_az1_secondary_storage_mtu">'Deploy Workload Domain'!$D$108</definedName>
    <definedName name="input_wld_az1_secondary_storage_pool_end_ip">'Deploy Workload Domain'!$D$113</definedName>
    <definedName name="input_wld_az1_secondary_storage_pool_start_ip">'Deploy Workload Domain'!$D$112</definedName>
    <definedName name="input_wld_az1_secondary_storage_vlan">'Deploy Workload Domain'!$D$107</definedName>
    <definedName name="input_wld_az1_storage_cluster_gateway_cidr">'Deploy Workload Domain'!$D$121</definedName>
    <definedName name="input_wld_az1_storage_cluster_mtu">'Deploy Workload Domain'!$D$119</definedName>
    <definedName name="input_wld_az1_storage_cluster_pool_end_ip">'Deploy Workload Domain'!$D$124</definedName>
    <definedName name="input_wld_az1_storage_cluster_pool_start_ip">'Deploy Workload Domain'!$D$123</definedName>
    <definedName name="input_wld_az1_storage_cluster_vlan">'Deploy Workload Domain'!$D$118</definedName>
    <definedName name="input_wld_az1_tor1_peer_asn">'Configure Workload Domain'!$D$109</definedName>
    <definedName name="input_wld_az1_tor1_peer_bgp_password">'Configure Workload Domain'!$D$110</definedName>
    <definedName name="input_wld_az1_tor1_peer_ip">'Configure Workload Domain'!$D$106</definedName>
    <definedName name="input_wld_az1_tor2_peer_asn">'Configure Workload Domain'!$D$116</definedName>
    <definedName name="input_wld_az1_tor2_peer_bgp_password">'Configure Workload Domain'!$D$117</definedName>
    <definedName name="input_wld_az1_tor2_peer_ip">'Configure Workload Domain'!$D$113</definedName>
    <definedName name="input_wld_az1_uplink01_cidr">'Configure Workload Domain'!$D$175</definedName>
    <definedName name="input_wld_az1_uplink01_gateway_ip">'Configure Workload Domain'!$D$174</definedName>
    <definedName name="input_wld_az1_uplink01_mtu">'Configure Workload Domain'!$D$108</definedName>
    <definedName name="input_wld_az1_uplink01_vlan">'Configure Workload Domain'!$D$104</definedName>
    <definedName name="input_wld_az1_uplink02_cidr">'Configure Workload Domain'!$D$179</definedName>
    <definedName name="input_wld_az1_uplink02_gateway_ip">'Configure Workload Domain'!$D$178</definedName>
    <definedName name="input_wld_az1_uplink02_mtu">'Configure Workload Domain'!$D$115</definedName>
    <definedName name="input_wld_az1_uplink02_vlan">'Configure Workload Domain'!$D$111</definedName>
    <definedName name="input_wld_az1_vmotion_gateway_cidr">'Deploy Workload Domain'!$D$88</definedName>
    <definedName name="input_wld_az1_vmotion_mtu">'Deploy Workload Domain'!$D$86</definedName>
    <definedName name="input_wld_az1_vmotion_pool_end_ip">'Deploy Workload Domain'!$D$91</definedName>
    <definedName name="input_wld_az1_vmotion_pool_start_ip">'Deploy Workload Domain'!$D$90</definedName>
    <definedName name="input_wld_az1_vmotion_vlan">'Deploy Workload Domain'!$D$85</definedName>
    <definedName name="input_wld_az1_vrms_cidr">'Dumping Ground'!$D$270</definedName>
    <definedName name="input_wld_az1_vrms_gateway_ip">'Dumping Ground'!$D$269</definedName>
    <definedName name="input_wld_az1_vrms_mtu">'Dumping Ground'!$D$271</definedName>
    <definedName name="input_wld_az1_vrms_vlan">'Dumping Ground'!$D$268</definedName>
    <definedName name="input_wld_az2_host_overlay_cidr">'Configure Workload Domain'!$D$396</definedName>
    <definedName name="input_wld_az2_host_overlay_gateway_ip">'Configure Workload Domain'!$D$395</definedName>
    <definedName name="input_wld_az2_host_overlay_mtu">'Configure Workload Domain'!$D$397</definedName>
    <definedName name="input_wld_az2_host_overlay_network_pool_name">'Configure Workload Domain'!$D$392</definedName>
    <definedName name="input_wld_az2_host_overlay_network_profile_name">'Configure Workload Domain'!$D$390</definedName>
    <definedName name="input_wld_az2_host_overlay_pool_end_ip">'Configure Workload Domain'!$D$399</definedName>
    <definedName name="input_wld_az2_host_overlay_pool_start_ip">'Configure Workload Domain'!$D$398</definedName>
    <definedName name="input_wld_az2_host_overlay_uplink_profile_name">'Configure Workload Domain'!$D$393</definedName>
    <definedName name="input_wld_az2_host_overlay_vlan">'Configure Workload Domain'!$D$394</definedName>
    <definedName name="input_wld_az2_host1_fqdn">'Configure Workload Domain'!$D$303</definedName>
    <definedName name="input_wld_az2_host1_mgmt_ip">'Configure Workload Domain'!$D$245</definedName>
    <definedName name="input_wld_az2_host1_sddc_id">'Configure Workload Domain'!$D$374</definedName>
    <definedName name="input_wld_az2_host1_vrms_ip">'Dumping Ground'!$D$310</definedName>
    <definedName name="input_wld_az2_host10_fqdn">'Configure Workload Domain'!$D$312</definedName>
    <definedName name="input_wld_az2_host10_mgmt_ip">'Configure Workload Domain'!$D$254</definedName>
    <definedName name="input_wld_az2_host10_vrms_ip">'Dumping Ground'!$D$319</definedName>
    <definedName name="input_wld_az2_host11_fqdn">'Configure Workload Domain'!$D$313</definedName>
    <definedName name="input_wld_az2_host11_mgmt_ip">'Configure Workload Domain'!$D$255</definedName>
    <definedName name="input_wld_az2_host11_vrms_ip">'Dumping Ground'!$D$320</definedName>
    <definedName name="input_wld_az2_host12_fqdn">'Configure Workload Domain'!$D$314</definedName>
    <definedName name="input_wld_az2_host12_mgmt_ip">'Configure Workload Domain'!$D$256</definedName>
    <definedName name="input_wld_az2_host12_vrms_ip">'Dumping Ground'!$D$321</definedName>
    <definedName name="input_wld_az2_host13_fqdn">'Configure Workload Domain'!$D$315</definedName>
    <definedName name="input_wld_az2_host13_mgmt_ip">'Configure Workload Domain'!$D$257</definedName>
    <definedName name="input_wld_az2_host13_vrms_ip">'Dumping Ground'!$D$322</definedName>
    <definedName name="input_wld_az2_host14_fqdn">'Configure Workload Domain'!$D$316</definedName>
    <definedName name="input_wld_az2_host14_mgmt_ip">'Configure Workload Domain'!$D$258</definedName>
    <definedName name="input_wld_az2_host14_vrms_ip">'Dumping Ground'!$D$323</definedName>
    <definedName name="input_wld_az2_host15_fqdn">'Configure Workload Domain'!$D$317</definedName>
    <definedName name="input_wld_az2_host15_mgmt_ip">'Configure Workload Domain'!$D$259</definedName>
    <definedName name="input_wld_az2_host15_vrms_ip">'Dumping Ground'!$D$324</definedName>
    <definedName name="input_wld_az2_host16_fqdn">'Configure Workload Domain'!$D$318</definedName>
    <definedName name="input_wld_az2_host16_mgmt_ip">'Configure Workload Domain'!$D$260</definedName>
    <definedName name="input_wld_az2_host16_vrms_ip">'Dumping Ground'!$D$325</definedName>
    <definedName name="input_wld_az2_host2_fqdn">'Configure Workload Domain'!$D$304</definedName>
    <definedName name="input_wld_az2_host2_mgmt_ip">'Configure Workload Domain'!$D$246</definedName>
    <definedName name="input_wld_az2_host2_sddc_id">'Configure Workload Domain'!$D$375</definedName>
    <definedName name="input_wld_az2_host2_vrms_ip">'Dumping Ground'!$D$311</definedName>
    <definedName name="input_wld_az2_host3_fqdn">'Configure Workload Domain'!$D$305</definedName>
    <definedName name="input_wld_az2_host3_mgmt_ip">'Configure Workload Domain'!$D$247</definedName>
    <definedName name="input_wld_az2_host3_sddc_id">'Configure Workload Domain'!$D$376</definedName>
    <definedName name="input_wld_az2_host3_vrms_ip">'Dumping Ground'!$D$312</definedName>
    <definedName name="input_wld_az2_host4_fqdn">'Configure Workload Domain'!$D$306</definedName>
    <definedName name="input_wld_az2_host4_mgmt_ip">'Configure Workload Domain'!$D$248</definedName>
    <definedName name="input_wld_az2_host4_sddc_id">'Configure Workload Domain'!$D$377</definedName>
    <definedName name="input_wld_az2_host4_vrms_ip">'Dumping Ground'!$D$313</definedName>
    <definedName name="input_wld_az2_host5_fqdn">'Configure Workload Domain'!$D$307</definedName>
    <definedName name="input_wld_az2_host5_mgmt_ip">'Configure Workload Domain'!$D$249</definedName>
    <definedName name="input_wld_az2_host5_vrms_ip">'Dumping Ground'!$D$314</definedName>
    <definedName name="input_wld_az2_host6_fqdn">'Configure Workload Domain'!$D$308</definedName>
    <definedName name="input_wld_az2_host6_mgmt_ip">'Configure Workload Domain'!$D$250</definedName>
    <definedName name="input_wld_az2_host6_vrms_ip">'Dumping Ground'!$D$315</definedName>
    <definedName name="input_wld_az2_host7_fqdn">'Configure Workload Domain'!$D$309</definedName>
    <definedName name="input_wld_az2_host7_mgmt_ip">'Configure Workload Domain'!$D$251</definedName>
    <definedName name="input_wld_az2_host7_vrms_ip">'Dumping Ground'!$D$316</definedName>
    <definedName name="input_wld_az2_host8_fqdn">'Configure Workload Domain'!$D$310</definedName>
    <definedName name="input_wld_az2_host8_mgmt_ip">'Configure Workload Domain'!$D$252</definedName>
    <definedName name="input_wld_az2_host8_vrms_ip">'Dumping Ground'!$D$317</definedName>
    <definedName name="input_wld_az2_host9_fqdn">'Configure Workload Domain'!$D$311</definedName>
    <definedName name="input_wld_az2_host9_mgmt_ip">'Configure Workload Domain'!$D$253</definedName>
    <definedName name="input_wld_az2_host9_vrms_ip">'Dumping Ground'!$D$318</definedName>
    <definedName name="input_wld_az2_mgmt_cidr">'Configure Workload Domain'!$D$242</definedName>
    <definedName name="input_wld_az2_mgmt_gateway_ip">'Configure Workload Domain'!$D$241</definedName>
    <definedName name="input_wld_az2_mgmt_mtu">'Configure Workload Domain'!$D$243</definedName>
    <definedName name="input_wld_az2_mgmt_vlan">'Configure Workload Domain'!$D$240</definedName>
    <definedName name="input_wld_az2_pool_name">'Configure Workload Domain'!$D$266</definedName>
    <definedName name="input_wld_az2_principal_storage_gateway_ip">'Configure Workload Domain'!$D$280</definedName>
    <definedName name="input_wld_az2_principal_storage_mask">'Configure Workload Domain'!$D$279</definedName>
    <definedName name="input_wld_az2_principal_storage_mtu">'Configure Workload Domain'!$D$277</definedName>
    <definedName name="input_wld_az2_principal_storage_network">'Configure Workload Domain'!$D$278</definedName>
    <definedName name="input_wld_az2_principal_storage_pool_end_ip">'Configure Workload Domain'!$D$282</definedName>
    <definedName name="input_wld_az2_principal_storage_pool_start_ip">'Configure Workload Domain'!$D$281</definedName>
    <definedName name="input_wld_az2_principal_storage_vlan">'Configure Workload Domain'!$D$276</definedName>
    <definedName name="input_wld_az2_secondary_storage_gateway_ip">'Configure Workload Domain'!$D$288</definedName>
    <definedName name="input_wld_az2_secondary_storage_mask">'Configure Workload Domain'!$D$287</definedName>
    <definedName name="input_wld_az2_secondary_storage_mtu">'Configure Workload Domain'!$D$285</definedName>
    <definedName name="input_wld_az2_secondary_storage_network">'Configure Workload Domain'!$D$286</definedName>
    <definedName name="input_wld_az2_secondary_storage_pool_end_ip">'Configure Workload Domain'!$D$290</definedName>
    <definedName name="input_wld_az2_secondary_storage_pool_start_ip">'Configure Workload Domain'!$D$289</definedName>
    <definedName name="input_wld_az2_secondary_storage_vlan">'Configure Workload Domain'!$D$284</definedName>
    <definedName name="input_wld_az2_storage_cluster_gateway_ip">'Configure Workload Domain'!$D$296</definedName>
    <definedName name="input_wld_az2_storage_cluster_mask">'Configure Workload Domain'!$D$295</definedName>
    <definedName name="input_wld_az2_storage_cluster_mtu">'Configure Workload Domain'!$D$293</definedName>
    <definedName name="input_wld_az2_storage_cluster_network">'Configure Workload Domain'!$D$294</definedName>
    <definedName name="input_wld_az2_storage_cluster_pool_end_ip">'Configure Workload Domain'!$D$298</definedName>
    <definedName name="input_wld_az2_storage_cluster_pool_start_ip">'Configure Workload Domain'!$D$297</definedName>
    <definedName name="input_wld_az2_storage_cluster_vlan">'Configure Workload Domain'!$D$292</definedName>
    <definedName name="input_wld_az2_tor1_peer_asn">'Configure Workload Domain'!$D$417</definedName>
    <definedName name="input_wld_az2_tor1_peer_bgp_password">'Configure Workload Domain'!$D$420</definedName>
    <definedName name="input_wld_az2_tor1_peer_ip">'Configure Workload Domain'!$D$416</definedName>
    <definedName name="input_wld_az2_tor2_peer_asn">'Configure Workload Domain'!$D$422</definedName>
    <definedName name="input_wld_az2_tor2_peer_bgp_password">'Configure Workload Domain'!$D$425</definedName>
    <definedName name="input_wld_az2_tor2_peer_ip">'Configure Workload Domain'!$D$421</definedName>
    <definedName name="input_wld_az2_vmotion_gateway_ip">'Configure Workload Domain'!$D$272</definedName>
    <definedName name="input_wld_az2_vmotion_mask">'Configure Workload Domain'!$D$271</definedName>
    <definedName name="input_wld_az2_vmotion_mtu">'Configure Workload Domain'!$D$269</definedName>
    <definedName name="input_wld_az2_vmotion_network">'Configure Workload Domain'!$D$270</definedName>
    <definedName name="input_wld_az2_vmotion_pool_end_ip">'Configure Workload Domain'!$D$274</definedName>
    <definedName name="input_wld_az2_vmotion_pool_start_ip">'Configure Workload Domain'!$D$273</definedName>
    <definedName name="input_wld_az2_vmotion_vlan">'Configure Workload Domain'!$D$268</definedName>
    <definedName name="input_wld_bf_nsxt_admin_password">'Deploy Workload Domain'!$D$48</definedName>
    <definedName name="input_wld_bf_nsxt_audit_password">'Deploy Workload Domain'!$D$50</definedName>
    <definedName name="input_wld_bf_nsxt_mgra_fqdn">'Deploy Workload Domain'!$D$41</definedName>
    <definedName name="input_wld_bf_nsxt_mgrb_fqdn">'Deploy Workload Domain'!$D$42</definedName>
    <definedName name="input_wld_bf_nsxt_mgrc_fqdn">'Deploy Workload Domain'!$D$43</definedName>
    <definedName name="input_wld_bf_nsxt_root_password">'Deploy Workload Domain'!$D$49</definedName>
    <definedName name="input_wld_bf_nsxt_vip_fqdn">'Deploy Workload Domain'!$D$44</definedName>
    <definedName name="input_wld_bf_sddc_domain">'Deploy Workload Domain'!$D$23</definedName>
    <definedName name="input_wld_bf_vc_fqdn">'Deploy Workload Domain'!$D$29</definedName>
    <definedName name="input_wld_bf_vc_root_password">'Deploy Workload Domain'!$D$30</definedName>
    <definedName name="input_wld_bf_vc_sso_password">'Deploy Workload Domain'!$D$32</definedName>
    <definedName name="input_wld_bf_vc_sso_username">'Deploy Workload Domain'!$D$31</definedName>
    <definedName name="input_wld_cl01_az1_mgmt_pg">'Deploy Workload Domain'!$D$287</definedName>
    <definedName name="input_wld_cl01_az1_mgmt_vm_pg">'Deploy Workload Domain'!$D$292</definedName>
    <definedName name="input_wld_cl01_az1_nsx_uplink_count">'Deploy Workload Domain'!$D$330</definedName>
    <definedName name="input_wld_cl01_az1_principal_storage_pg">'Deploy Workload Domain'!$D$302</definedName>
    <definedName name="input_wld_cl01_az1_uplink01_pg">'Configure Workload Domain'!$D$173</definedName>
    <definedName name="input_wld_cl01_az1_uplink02_pg">'Configure Workload Domain'!$D$177</definedName>
    <definedName name="input_wld_cl01_az1_vmotion_pg">'Deploy Workload Domain'!$D$297</definedName>
    <definedName name="input_wld_cl01_az1_vsan_storage_client_pg">'Deploy Workload Domain'!$D$307</definedName>
    <definedName name="input_wld_cl01_cluster">'Deploy Workload Domain'!$D$173</definedName>
    <definedName name="input_wld_cl01_cluster_sddc_id">'Configure Workload Domain'!$D$403</definedName>
    <definedName name="input_wld_cl01_cluster_zn_name">'Deploy Workload Domain'!$D$174</definedName>
    <definedName name="input_wld_cl01_evc_mode">'Dumping Ground'!$S$7</definedName>
    <definedName name="input_wld_cl01_image_name">'Deploy Workload Domain'!$D$178</definedName>
    <definedName name="input_wld_cl01_nfs_datastore_name">'Deploy Workload Domain'!$D$221</definedName>
    <definedName name="input_wld_cl01_nfs_server_address">'Deploy Workload Domain'!$D$223</definedName>
    <definedName name="input_wld_cl01_nfs_share_path">'Deploy Workload Domain'!$D$222</definedName>
    <definedName name="input_wld_cl01_supervisor_control_plane_ip_range">'Deploy Workload Domain'!$D$344</definedName>
    <definedName name="input_wld_cl01_supervisor_dns">'Deploy Workload Domain'!$D$352</definedName>
    <definedName name="input_wld_cl01_supervisor_name">'Deploy Workload Domain'!$D$341</definedName>
    <definedName name="input_wld_cl01_supervisor_nsx_project">'Deploy Workload Domain'!$D$349</definedName>
    <definedName name="input_wld_cl01_supervisor_ntp">'Deploy Workload Domain'!$D$353</definedName>
    <definedName name="input_wld_cl01_supervisor_private_transit_gateway_cidr">'Deploy Workload Domain'!$D$351</definedName>
    <definedName name="input_wld_cl01_supervisor_service_cidr">'Deploy Workload Domain'!$D$342</definedName>
    <definedName name="input_wld_cl01_supervisor_vpc_profile">'Deploy Workload Domain'!$D$350</definedName>
    <definedName name="input_wld_cl01_vds01_lag_name">'Deploy Workload Domain'!$D$257</definedName>
    <definedName name="input_wld_cl01_vds01_mtu">'Deploy Workload Domain'!$D$255</definedName>
    <definedName name="input_wld_cl01_vds01_name">'Deploy Workload Domain'!$D$254</definedName>
    <definedName name="input_wld_cl01_vds01_pnics">'Deploy Workload Domain'!$D$262</definedName>
    <definedName name="input_wld_cl01_vds01_uplink_count">'Deploy Workload Domain'!$D$261</definedName>
    <definedName name="input_wld_cl01_vds02_lag_name">'Deploy Workload Domain'!$D$268</definedName>
    <definedName name="input_wld_cl01_vds02_mtu">'Deploy Workload Domain'!$D$266</definedName>
    <definedName name="input_wld_cl01_vds02_name">'Deploy Workload Domain'!$D$265</definedName>
    <definedName name="input_wld_cl01_vds02_pnics">'Deploy Workload Domain'!$D$273</definedName>
    <definedName name="input_wld_cl01_vds02_uplink_count">'Deploy Workload Domain'!$D$272</definedName>
    <definedName name="input_wld_cl01_vds03_lag_name">'Deploy Workload Domain'!$D$279</definedName>
    <definedName name="input_wld_cl01_vds03_mtu">'Deploy Workload Domain'!$D$277</definedName>
    <definedName name="input_wld_cl01_vds03_name">'Deploy Workload Domain'!$D$276</definedName>
    <definedName name="input_wld_cl01_vds03_pnics">'Deploy Workload Domain'!$D$284</definedName>
    <definedName name="input_wld_cl01_vds03_uplink_count">'Deploy Workload Domain'!$D$283</definedName>
    <definedName name="input_wld_cl01_vmfs_datastore_name">'Deploy Workload Domain'!$D$220</definedName>
    <definedName name="input_wld_cl01_vsan_datastore">'Deploy Workload Domain'!$D$212</definedName>
    <definedName name="input_wld_cl01_vsan_dit_rekey_custom_interval">'Deploy Workload Domain'!$D$218</definedName>
    <definedName name="input_wld_cl01_vsan_dit_rekey_default_interval">'Deploy Workload Domain'!$D$217</definedName>
    <definedName name="input_wld_datacenter">'Configure Workload Domain'!$D$357</definedName>
    <definedName name="input_wld_day2_vnaa_fqdn">'Configure Workload Domain'!$D$151</definedName>
    <definedName name="input_wld_day2_vnab_fqdn">'Configure Workload Domain'!$D$161</definedName>
    <definedName name="input_wld_ec_mtu">'Configure Workload Domain'!$D$39</definedName>
    <definedName name="input_wld_ec_name">'Configure Workload Domain'!$D$38</definedName>
    <definedName name="input_wld_ec_rp_name">'Configure Workload Domain'!$D$44</definedName>
    <definedName name="input_wld_ec01_en01_host_group_affinity_rule_name">'Configure Workload Domain'!$D$46</definedName>
    <definedName name="input_wld_ec01_en02_host_group_affinity_rule_name">'Configure Workload Domain'!$D$75</definedName>
    <definedName name="input_wld_en_asn">'Configure Workload Domain'!$D$102</definedName>
    <definedName name="input_wld_esx_root_password">'Deploy Workload Domain'!$D$152</definedName>
    <definedName name="input_wld_esx_root_username">'Deploy Workload Domain'!$D$151</definedName>
    <definedName name="input_wld_existing_active_nsx_gm">'Configure Workload Domain'!$D$583</definedName>
    <definedName name="input_wld_existing_cross_instance_t0_name">'Configure Workload Domain'!$D$584</definedName>
    <definedName name="input_wld_host_overlay_transportzone">'Deploy Workload Domain'!$D$317</definedName>
    <definedName name="input_wld_nsx_vlan_transport_zone_name">'Deploy Workload Domain'!$D$327</definedName>
    <definedName name="input_wld_nsxt_en_admin_password">'Configure Workload Domain'!$D$97</definedName>
    <definedName name="input_wld_nsxt_en_root_password">'Configure Workload Domain'!$D$96</definedName>
    <definedName name="input_wld_nsxt_federation_global_manager_name">'Configure Workload Domain'!$D$546</definedName>
    <definedName name="input_wld_nsxt_federation_location_name">'Configure Workload Domain'!$D$564</definedName>
    <definedName name="input_wld_nsxt_global_mgr_anti_affinity_rule_name">'Configure Workload Domain'!$D$505</definedName>
    <definedName name="input_wld_nsxt_global_mgr_certificate_id">'Configure Workload Domain'!$D$523</definedName>
    <definedName name="input_wld_nsxt_global_mgr_cluster_id">'Configure Workload Domain'!$D$487</definedName>
    <definedName name="input_wld_nsxt_global_mgr_vmca_signed_thumbprint">'Configure Workload Domain'!$D$488</definedName>
    <definedName name="input_wld_nsxt_global_mgra_fqdn">'Configure Workload Domain'!$D$441</definedName>
    <definedName name="input_wld_nsxt_global_mgra_hostname">'Configure Workload Domain'!$D$432</definedName>
    <definedName name="input_wld_nsxt_global_mgra_ip">'Configure Workload Domain'!$D$442</definedName>
    <definedName name="input_wld_nsxt_global_mgrb_fqdn">'Configure Workload Domain'!$D$458</definedName>
    <definedName name="input_wld_nsxt_global_mgrb_hostname">'Configure Workload Domain'!$D$449</definedName>
    <definedName name="input_wld_nsxt_global_mgrb_ip">'Configure Workload Domain'!$D$459</definedName>
    <definedName name="input_wld_nsxt_global_mgrc_fqdn">'Configure Workload Domain'!$D$475</definedName>
    <definedName name="input_wld_nsxt_global_mgrc_hostname">'Configure Workload Domain'!$D$466</definedName>
    <definedName name="input_wld_nsxt_global_mgrc_ip">'Configure Workload Domain'!$D$476</definedName>
    <definedName name="input_wld_nsxt_gm_admin_password">'Configure Workload Domain'!$D$439</definedName>
    <definedName name="input_wld_nsxt_gm_audit_password">'Configure Workload Domain'!$D$440</definedName>
    <definedName name="input_wld_nsxt_gm_fingerprint">'Configure Workload Domain'!$D$551</definedName>
    <definedName name="input_wld_nsxt_gm_root_password">'Configure Workload Domain'!$D$438</definedName>
    <definedName name="input_wld_nsxt_gm_vip_fqdn">'Configure Workload Domain'!$D$514</definedName>
    <definedName name="input_wld_nsxt_gm_vip_ip">'Configure Workload Domain'!$D$513</definedName>
    <definedName name="input_wld_nsxt_lm_admin_password">'Deploy Workload Domain'!$D$362</definedName>
    <definedName name="input_wld_nsxt_lm_audit_password">'Deploy Workload Domain'!$D$363</definedName>
    <definedName name="input_wld_nsxt_lm_fingerprint">'Configure Workload Domain'!$D$562</definedName>
    <definedName name="input_wld_nsxt_mgra_fqdn">'Deploy Workload Domain'!$D$188</definedName>
    <definedName name="input_wld_nsxt_mgra_ip">'Deploy Workload Domain'!$D$189</definedName>
    <definedName name="input_wld_nsxt_mgrb_fqdn">'Deploy Workload Domain'!$D$190</definedName>
    <definedName name="input_wld_nsxt_mgrb_ip">'Deploy Workload Domain'!$D$191</definedName>
    <definedName name="input_wld_nsxt_mgrc_fqdn">'Deploy Workload Domain'!$D$192</definedName>
    <definedName name="input_wld_nsxt_mgrc_ip">'Deploy Workload Domain'!$D$193</definedName>
    <definedName name="input_wld_nsxt_vip_fqdn">'Deploy Workload Domain'!$D$194</definedName>
    <definedName name="input_wld_nsxt_vip_ip">'Deploy Workload Domain'!$D$195</definedName>
    <definedName name="input_wld_nsxt_xreg_t1_name">'Configure Workload Domain'!$D$576</definedName>
    <definedName name="input_wld_rack2_en_asn">Arkham!$C$73</definedName>
    <definedName name="input_wld_rack3_en_asn">Arkham!$F$73</definedName>
    <definedName name="input_wld_rack4_en_asn">Arkham!$I$73</definedName>
    <definedName name="input_wld_rack5_en_asn">Arkham!$L$73</definedName>
    <definedName name="input_wld_rack6_en_asn">Arkham!$O$73</definedName>
    <definedName name="input_wld_rack7_en_asn">Arkham!$R$73</definedName>
    <definedName name="input_wld_rack8_en_asn">Arkham!$U$73</definedName>
    <definedName name="input_wld_rtep_overlay_pool_end_ip">'Configure Workload Domain'!$D$539</definedName>
    <definedName name="input_wld_rtep_overlay_pool_start_ip">'Configure Workload Domain'!$D$538</definedName>
    <definedName name="input_wld_rwr_az1_vrms_gateway_ip">'On-Premises Ransomware Recovery'!$D$99</definedName>
    <definedName name="input_wld_rwr_az1_vrms_gateway_mask">'On-Premises Ransomware Recovery'!$D$82</definedName>
    <definedName name="input_wld_rwr_cl02_cluster">'On-Premises Ransomware Recovery'!$D$78</definedName>
    <definedName name="input_wld_rwr_cl02_vds01">'On-Premises Ransomware Recovery'!$D$70</definedName>
    <definedName name="input_wld_rwr_recovery_site_az1_vrms_cidr">'On-Premises Ransomware Recovery'!$D$100</definedName>
    <definedName name="input_wld_rwr_recovery_site_vc_fqdn">'On-Premises Ransomware Recovery'!$D$153</definedName>
    <definedName name="input_wld_rwr_recoverysite_fd">'On-Premises Ransomware Recovery'!$D$144</definedName>
    <definedName name="input_wld_rwr_vc_fqdn">'On-Premises Ransomware Recovery'!$D$42</definedName>
    <definedName name="input_wld_rwr_vcfops_vlsr_username">'On-Premises Ransomware Recovery'!$D$203</definedName>
    <definedName name="input_wld_rwr_vcfops_vr_username">'On-Premises Ransomware Recovery'!$D$205</definedName>
    <definedName name="input_wld_sddc_domain">'Deploy Workload Domain'!$D$159</definedName>
    <definedName name="input_wld_srm_admin_email">'Dumping Ground'!$D$82</definedName>
    <definedName name="input_wld_srm_admin_password">'Dumping Ground'!$D$79</definedName>
    <definedName name="input_wld_srm_database_password">'Dumping Ground'!$D$80</definedName>
    <definedName name="input_wld_srm_hostname">'Dumping Ground'!$E$12</definedName>
    <definedName name="input_wld_srm_ip">'Dumping Ground'!$G$12</definedName>
    <definedName name="input_wld_srm_p12_password">'Dumping Ground'!$D$83</definedName>
    <definedName name="input_wld_srm_recovery_vcenter_fqdn">'Dumping Ground'!$D$85</definedName>
    <definedName name="input_wld_srm_recovery_vcenter_password">'Dumping Ground'!$D$87</definedName>
    <definedName name="input_wld_srm_recovery_vcenter_username">'Dumping Ground'!$D$86</definedName>
    <definedName name="input_wld_srm_root_password">'Dumping Ground'!$D$78</definedName>
    <definedName name="input_wld_srm_site_name">'Dumping Ground'!$D$81</definedName>
    <definedName name="input_wld_srm_sso_domain_membership">'Dumping Ground'!$D$89</definedName>
    <definedName name="input_wld_srm_vm_folder">'Dumping Ground'!$D$77</definedName>
    <definedName name="input_wld_srm_vm_size">'Management Domain Sizing'!$F$89</definedName>
    <definedName name="input_wld_sso_domain_name">'Deploy Workload Domain'!$D$168</definedName>
    <definedName name="input_wld_supvr_api_server_fqdn">'Configure Workload Domain'!$D$216</definedName>
    <definedName name="input_wld_supvr_cp_storage_policy">'Configure Workload Domain'!$D$193</definedName>
    <definedName name="input_wld_supvr_ed_storage_policy">'Configure Workload Domain'!$D$194</definedName>
    <definedName name="input_wld_supvr_ic_storage_policy">'Configure Workload Domain'!$D$195</definedName>
    <definedName name="input_wld_supvr_ip_address_range">'Configure Workload Domain'!$D$199</definedName>
    <definedName name="input_wld_supvr_mgmt_dns_server">'Configure Workload Domain'!$D$202</definedName>
    <definedName name="input_wld_supvr_mgmt_dns_zones">'Configure Workload Domain'!$D$203</definedName>
    <definedName name="input_wld_supvr_mgmt_ntp_server">'Configure Workload Domain'!$D$204</definedName>
    <definedName name="input_wld_supvr_name">'Configure Workload Domain'!$D$188</definedName>
    <definedName name="input_wld_supvr_nsx_project">'Configure Workload Domain'!$D$206</definedName>
    <definedName name="input_wld_supvr_vpc_connectivity_profile">'Configure Workload Domain'!$D$207</definedName>
    <definedName name="input_wld_supvr_vpc_ext_ip_blocks_name">'Configure Workload Domain'!$D$208</definedName>
    <definedName name="input_wld_supvr_vpc_priv_cidr">'Configure Workload Domain'!$D$210</definedName>
    <definedName name="input_wld_supvr_vpc_priv_ip_blocks_name">'Configure Workload Domain'!$D$209</definedName>
    <definedName name="input_wld_supvr_vpc_service_cidr">'Configure Workload Domain'!$D$211</definedName>
    <definedName name="input_wld_supvr_wld_dns_server">'Configure Workload Domain'!$D$212</definedName>
    <definedName name="input_wld_supvr_wld_ntp_server">'Configure Workload Domain'!$D$213</definedName>
    <definedName name="input_wld_supvr_zone_name">'Configure Workload Domain'!$D$191</definedName>
    <definedName name="input_wld_tier0_name">'Configure Workload Domain'!$D$99</definedName>
    <definedName name="input_wld_vc_fqdn">'Deploy Workload Domain'!$D$167</definedName>
    <definedName name="input_wld_vc_ip">'Deploy Workload Domain'!$D$396</definedName>
    <definedName name="input_wld_vcenter_root_password">'Deploy Workload Domain'!$D$360</definedName>
    <definedName name="input_wld_vlr_hostname">'On-Premises Ransomware Recovery'!$D$11</definedName>
    <definedName name="input_wld_vlr_replication_user">'On-Premises Ransomware Recovery'!$D$44</definedName>
    <definedName name="input_wld_vna_rp_name">'Configure Workload Domain'!$D$153</definedName>
    <definedName name="input_wld_vnaa_cidr">'Configure Workload Domain'!$D$157</definedName>
    <definedName name="input_wld_vnaa_fqdn">'Deploy Workload Domain'!$D$199</definedName>
    <definedName name="input_wld_vnaa_ip">'Deploy Workload Domain'!$D$403</definedName>
    <definedName name="input_wld_vnab_cidr">'Configure Workload Domain'!$D$167</definedName>
    <definedName name="input_wld_vnab_fqdn">'Deploy Workload Domain'!$D$200</definedName>
    <definedName name="input_wld_vnab_ip">'Deploy Workload Domain'!$D$404</definedName>
    <definedName name="input_wld_vpc_ext_ip_blocks_cidr">'Configure Workload Domain'!$D$139</definedName>
    <definedName name="input_wld_vpc_ext_ip_blocks_excluded_ips">'Configure Workload Domain'!$D$140</definedName>
    <definedName name="input_wld_vpc_ext_ip_blocks_name">'Configure Workload Domain'!$D$137</definedName>
    <definedName name="input_wld_vpc_ext_ip_blocks_reserved">'Configure Workload Domain'!$D$141</definedName>
    <definedName name="input_wld_vpc_ext_ip_blocks_visability">'Configure Workload Domain'!$D$138</definedName>
    <definedName name="input_wld_vpc_priv_ip_blocks_excluded_ips">'Configure Workload Domain'!$D$145</definedName>
    <definedName name="input_wld_vpc_priv_ip_blocks_name">'Configure Workload Domain'!$D$142</definedName>
    <definedName name="input_wld_vpc_priv_ip_blocks_reserved">'Configure Workload Domain'!$D$146</definedName>
    <definedName name="input_wld_vpc_priv_ip_blocks_visability">'Configure Workload Domain'!$D$143</definedName>
    <definedName name="input_wld_vpc_transit_gateway_ip_blocks_cidr">'Configure Workload Domain'!$D$144</definedName>
    <definedName name="input_wld_vpc_vna_cluster_name">'Configure Workload Domain'!$D$148</definedName>
    <definedName name="input_wld_vrms_admin_email">'Dumping Ground'!$D$73</definedName>
    <definedName name="input_wld_vrms_admin_password">'Dumping Ground'!$D$71</definedName>
    <definedName name="input_wld_vrms_hostname">'Dumping Ground'!$E$10</definedName>
    <definedName name="input_wld_vrms_mgmt_ip">'Dumping Ground'!$G$10</definedName>
    <definedName name="input_wld_vrms_p12_password">'Dumping Ground'!$D$75</definedName>
    <definedName name="input_wld_vrms_pg">'Dumping Ground'!$D$74</definedName>
    <definedName name="input_wld_vrms_recovery_replication_cidr">'Dumping Ground'!$D$88</definedName>
    <definedName name="input_wld_vrms_root_password">'Dumping Ground'!$D$70</definedName>
    <definedName name="input_wld_vrms_site_name">'Dumping Ground'!$D$72</definedName>
    <definedName name="input_wld_vrms_vm_folder">'Dumping Ground'!$D$69</definedName>
    <definedName name="input_wld_vrms_vrms_ip">'Dumping Ground'!$G$11</definedName>
    <definedName name="input_wld_witness_cluster">'Configure Workload Domain'!$D$339</definedName>
    <definedName name="input_wld_witness_dns1_ip">'Configure Workload Domain'!$D$350</definedName>
    <definedName name="input_wld_witness_dns2_ip">'Configure Workload Domain'!$D$351</definedName>
    <definedName name="input_wld_witness_fqdn">'Configure Workload Domain'!$D$358</definedName>
    <definedName name="input_wld_witness_hostname">'Configure Workload Domain'!$D$338</definedName>
    <definedName name="input_wld_witness_ip">'Configure Workload Domain'!$D$345</definedName>
    <definedName name="input_wld_witness_mgmt_pg">'Configure Workload Domain'!$D$342</definedName>
    <definedName name="input_wld_witness_ntp1_server">'Configure Workload Domain'!$D$352</definedName>
    <definedName name="input_wld_witness_ntp2_server">'Configure Workload Domain'!$D$353</definedName>
    <definedName name="input_wld_witness_root_password">'Configure Workload Domain'!$D$344</definedName>
    <definedName name="input_wld_witness_vm_folder">'Configure Workload Domain'!$D$340</definedName>
    <definedName name="input_wld_witness_vsan_datastore">'Configure Workload Domain'!$D$341</definedName>
    <definedName name="input_wld_witness_zone_vc_fqdn">'Configure Workload Domain'!$D$336</definedName>
    <definedName name="input_wld_witness_zone_vc_ip">'Configure Workload Domain'!$D$337</definedName>
    <definedName name="input_wld_witnessaz_mgmt_cidr">'Configure Workload Domain'!$D$330</definedName>
    <definedName name="input_wld_witnessaz_mgmt_gateway_ip">'Configure Workload Domain'!$D$329</definedName>
    <definedName name="input_wld_witnessaz_mgmt_mtu">'Configure Workload Domain'!$D$331</definedName>
    <definedName name="input_wld_witnessaz_mgmt_vlan">'Configure Workload Domain'!$D$328</definedName>
    <definedName name="input_xreg_vra_admin_password">'Deploy Management Domain'!$L$305</definedName>
    <definedName name="input_xreg_vra_virtual_fqdn">'Deploy Management Domain'!$L$175</definedName>
    <definedName name="input_xreg_vra_virtual_ip">'Deploy Management Domain'!$L$381</definedName>
    <definedName name="input_xreg_vrops_admin_password">'Deploy Management Domain'!$L$298</definedName>
    <definedName name="input_xreg_vrops_collector_fqdn">'Deploy Management Domain'!$L$163</definedName>
    <definedName name="input_xreg_vrops_collector_ip">'Deploy Management Domain'!$L$377</definedName>
    <definedName name="input_xreg_vrops_collector_root_password">'Deploy Management Domain'!$L$301</definedName>
    <definedName name="input_xreg_vrops_nodea_fqdn">'Deploy Management Domain'!$L$157</definedName>
    <definedName name="input_xreg_vrops_nodea_ip">'Deploy Management Domain'!$L$374</definedName>
    <definedName name="input_xreg_vrops_nodeb_fqdn">'Deploy Management Domain'!$L$158</definedName>
    <definedName name="input_xreg_vrops_nodeb_ip">'Deploy Management Domain'!$L$375</definedName>
    <definedName name="input_xreg_vrops_nodec_fqdn">'Deploy Management Domain'!$L$159</definedName>
    <definedName name="input_xreg_vrops_nodec_ip">'Deploy Management Domain'!$L$376</definedName>
    <definedName name="input_xreg_vrops_root_password">'Deploy Management Domain'!$L$299</definedName>
    <definedName name="input_xreg_vrops_srm_sso_password">'Site Protection &amp; DR'!$D$481</definedName>
    <definedName name="input_xreg_vrops_srm_sso_username">'Site Protection &amp; DR'!$D$480</definedName>
    <definedName name="input_xreg_vrops_virtual_fqdn">'Deploy Management Domain'!$L$161</definedName>
    <definedName name="input_xreg_vrops_virtual_ip">'Deploy Management Domain'!$L$379</definedName>
    <definedName name="input_xreg_vrops_vrms_sso_password">'Site Protection &amp; DR'!$D$479</definedName>
    <definedName name="input_xreg_vrops_vrms_sso_username">'Site Protection &amp; DR'!$D$478</definedName>
    <definedName name="input_xregion_dns1_ip">Arkham!$C$13</definedName>
    <definedName name="input_xregion_dns2_ip">Arkham!$C$14</definedName>
    <definedName name="input_xregion_ntp1_server">Arkham!$C$18</definedName>
    <definedName name="input_xregion_ntp2_server">Arkham!$C$19</definedName>
    <definedName name="k8s_cluster_endpoint_fqdn">'Value Reference Tables'!$U$32</definedName>
    <definedName name="k8s_harbor_fqdn">'Value Reference Tables'!$R$30</definedName>
    <definedName name="k8s_harbor_hostname">'Value Reference Tables'!$R$27</definedName>
    <definedName name="k8s_harbor_ip">'Value Reference Tables'!$R$24</definedName>
    <definedName name="k8s_ip_prefixlist">'Value Reference Tables'!$U$18</definedName>
    <definedName name="k8s_ip_routemap">'Value Reference Tables'!$U$19</definedName>
    <definedName name="k8s_kubectl_path">'Value Reference Tables'!$U$33</definedName>
    <definedName name="k8s_mgmt_pool_start_ip">'Value Reference Tables'!$U$30</definedName>
    <definedName name="k8s_mgmt_seg">'Value Reference Tables'!$U$17</definedName>
    <definedName name="k8s_namepsace">'Value Reference Tables'!$O$88</definedName>
    <definedName name="k8s_segment_gateway_ip">'Value Reference Tables'!$U$31</definedName>
    <definedName name="k8s_segment_pg">'Value Reference Tables'!$X$8</definedName>
    <definedName name="k8s_tanzu_k8s_cluster_pod_pool_cidr">'Value Reference Tables'!$R$20</definedName>
    <definedName name="k8s_tanzu_k8s_cluster_service_pool_cidr">'Value Reference Tables'!$R$21</definedName>
    <definedName name="k8s_vcenter_category">'Value Reference Tables'!$U$23</definedName>
    <definedName name="k8s_vcenter_content_library">'Value Reference Tables'!$U$26</definedName>
    <definedName name="k8s_vcenter_storage_policy">'Value Reference Tables'!$U$25</definedName>
    <definedName name="k8s_vcenter_tag">'Value Reference Tables'!$U$24</definedName>
    <definedName name="k8s_vm_class">'Value Reference Tables'!$U$34</definedName>
    <definedName name="lag_load_balancing">'Static Reference Tables'!$B$439:$B$458</definedName>
    <definedName name="mgmt_avi_loadbalancer_chosen">'Configure Management Domain'!$B$15</definedName>
    <definedName name="mgmt_avi_loadbalancer_result">'Configure Management Domain'!$D$15</definedName>
    <definedName name="mgmt_avilb_cluster_name">'Value Reference Tables'!$O$30</definedName>
    <definedName name="mgmt_avilb_cluster_version">'Value Reference Tables'!$O$31</definedName>
    <definedName name="mgmt_avilb_fqdn">'Value Reference Tables'!$C$69</definedName>
    <definedName name="mgmt_avilb_hostname">'Value Reference Tables'!$C$48</definedName>
    <definedName name="mgmt_avilb_ip">'Value Reference Tables'!$C$25</definedName>
    <definedName name="mgmt_avilb_mgra_ip">'Value Reference Tables'!$C$26</definedName>
    <definedName name="mgmt_avilb_mgrb_ip">'Value Reference Tables'!$C$27</definedName>
    <definedName name="mgmt_avilb_mgrc_ip">'Value Reference Tables'!$C$28</definedName>
    <definedName name="mgmt_az1_dtgw_gateway_cidr">'Value Reference Tables'!$C$145</definedName>
    <definedName name="mgmt_az1_ec01_password_creation_chosen">'Configure Management Domain'!$D$152</definedName>
    <definedName name="mgmt_az1_edge_overlay_cidr">'Value Reference Tables - MR'!$F$32</definedName>
    <definedName name="mgmt_az1_edge_overlay_gateway_ip">'Value Reference Tables - MR'!$F$94</definedName>
    <definedName name="mgmt_az1_edge_overlay_mask">'Value Reference Tables - MR'!$F$62</definedName>
    <definedName name="mgmt_az1_edge_overlay_mtu">'Value Reference Tables - MR'!$F$78</definedName>
    <definedName name="mgmt_az1_edge_overlay_network">'Value Reference Tables - MR'!$F$47</definedName>
    <definedName name="mgmt_az1_edge_overlay_network_pool_name">'Value Reference Tables - MR'!$F$188</definedName>
    <definedName name="mgmt_az1_edge_overlay_pg">'Value Reference Tables - MR'!$F$133</definedName>
    <definedName name="mgmt_az1_edge_overlay_pool_end_ip">'Value Reference Tables - MR'!$F$176</definedName>
    <definedName name="mgmt_az1_edge_overlay_pool_start_ip">'Value Reference Tables - MR'!$F$175</definedName>
    <definedName name="mgmt_az1_edge_overlay_vlan">'Value Reference Tables - MR'!$F$17</definedName>
    <definedName name="mgmt_az1_en1_edge_overlay_interface_ip_1_ip">'Value Reference Tables - MR'!$F$277</definedName>
    <definedName name="mgmt_az1_en1_edge_overlay_interface_ip_2_ip">'Value Reference Tables - MR'!$F$278</definedName>
    <definedName name="mgmt_az1_en1_edge_overlay_network_ip_allocation_chosen">'Configure Management Domain'!$D$118</definedName>
    <definedName name="mgmt_az1_en1_eth0_uplink0">'Value Reference Tables'!$C$226</definedName>
    <definedName name="mgmt_az1_en1_eth0_uplink1">'Value Reference Tables'!$C$227</definedName>
    <definedName name="mgmt_az1_en1_eth1_uplink0">'Value Reference Tables'!$C$228</definedName>
    <definedName name="mgmt_az1_en1_eth1_uplink1">'Value Reference Tables'!$C$229</definedName>
    <definedName name="mgmt_az1_en1_fqdn">'Value Reference Tables'!$C$67</definedName>
    <definedName name="mgmt_az1_en1_hostname">'Value Reference Tables - MR'!$F$271</definedName>
    <definedName name="mgmt_az1_en1_ip_allocation_chosen">'Configure Management Domain'!$D$106</definedName>
    <definedName name="mgmt_az1_en1_mgmt_cidr">'Value Reference Tables - MR'!$F$274</definedName>
    <definedName name="mgmt_az1_en1_mgmt_ip">'Value Reference Tables - MR'!$F$273</definedName>
    <definedName name="mgmt_az1_en1_uplink_ip_assignment_chosen">'Configure Management Domain'!$D$117</definedName>
    <definedName name="mgmt_az1_en1_uplink01_interface_cidr">'Value Reference Tables - MR'!$F$275</definedName>
    <definedName name="mgmt_az1_en1_uplink02_interface_cidr">'Value Reference Tables - MR'!$F$276</definedName>
    <definedName name="mgmt_az1_en2_edge_overlay_interface_ip_1_ip">'Value Reference Tables - MR'!$F$288</definedName>
    <definedName name="mgmt_az1_en2_edge_overlay_interface_ip_2_ip">'Value Reference Tables - MR'!$F$289</definedName>
    <definedName name="mgmt_az1_en2_eth0_uplink0">'Value Reference Tables'!$C$230</definedName>
    <definedName name="mgmt_az1_en2_eth0_uplink1">'Value Reference Tables'!$C$231</definedName>
    <definedName name="mgmt_az1_en2_eth1_uplink0">'Value Reference Tables'!$C$232</definedName>
    <definedName name="mgmt_az1_en2_eth1_uplink1">'Value Reference Tables'!$C$233</definedName>
    <definedName name="mgmt_az1_en2_fqdn">'Value Reference Tables'!$C$68</definedName>
    <definedName name="mgmt_az1_en2_hostname">'Value Reference Tables - MR'!$F$282</definedName>
    <definedName name="mgmt_az1_en2_mgmt_cidr">'Value Reference Tables - MR'!$F$285</definedName>
    <definedName name="mgmt_az1_en2_mgmt_ip">'Value Reference Tables - MR'!$F$284</definedName>
    <definedName name="mgmt_az1_en2_uplink01_interface_cidr">'Value Reference Tables - MR'!$F$286</definedName>
    <definedName name="mgmt_az1_en2_uplink02_interface_cidr">'Value Reference Tables - MR'!$F$287</definedName>
    <definedName name="mgmt_az1_host_fqdns">'Value Reference Tables - MR'!$F$253:$F$268</definedName>
    <definedName name="mgmt_az1_host_hostnames">'Value Reference Tables - MR'!$F$234:$F$249</definedName>
    <definedName name="mgmt_az1_host_mgmt_ips">'Value Reference Tables - MR'!$F$199:$F$214</definedName>
    <definedName name="mgmt_az1_host_overlay_cidr">'Value Reference Tables - MR'!$F$27</definedName>
    <definedName name="mgmt_az1_host_overlay_gateway_cidr">'Value Reference Tables - MR'!$F$104</definedName>
    <definedName name="mgmt_az1_host_overlay_gateway_ip">'Value Reference Tables - MR'!$F$89</definedName>
    <definedName name="mgmt_az1_host_overlay_mask">'Value Reference Tables - MR'!$F$57</definedName>
    <definedName name="mgmt_az1_host_overlay_mtu">'Value Reference Tables - MR'!$F$73</definedName>
    <definedName name="mgmt_az1_host_overlay_network">'Value Reference Tables - MR'!$F$42</definedName>
    <definedName name="mgmt_az1_host_overlay_network_pool_description">'Value Reference Tables - MR'!$F$184</definedName>
    <definedName name="mgmt_az1_host_overlay_network_pool_name">'Value Reference Tables - MR'!$F$185</definedName>
    <definedName name="mgmt_az1_host_overlay_network_profile_name">'Value Reference Tables - MR'!$F$183</definedName>
    <definedName name="mgmt_az1_host_overlay_pg">'Value Reference Tables - MR'!$F$129</definedName>
    <definedName name="mgmt_az1_host_overlay_pool_end_ip">'Value Reference Tables - MR'!$F$170</definedName>
    <definedName name="mgmt_az1_host_overlay_pool_start_ip">'Value Reference Tables - MR'!$F$169</definedName>
    <definedName name="mgmt_az1_host_overlay_transport_zone">'Value Reference Tables - MR'!$F$186</definedName>
    <definedName name="mgmt_az1_host_overlay_vlan">'Value Reference Tables - MR'!$F$12</definedName>
    <definedName name="mgmt_az1_host1_fqdn">'Value Reference Tables - MR'!$F$253</definedName>
    <definedName name="mgmt_az1_host1_hostname">'Value Reference Tables - MR'!$F$234</definedName>
    <definedName name="mgmt_az1_host1_mgmt_ip">'Value Reference Tables - MR'!$F$199</definedName>
    <definedName name="mgmt_az1_host1_vrms_ip">'Value Reference Tables - MR'!$F$215</definedName>
    <definedName name="mgmt_az1_host10_fqdn">'Value Reference Tables - MR'!$F$262</definedName>
    <definedName name="mgmt_az1_host10_hostname">'Value Reference Tables - MR'!$F$243</definedName>
    <definedName name="mgmt_az1_host10_mgmt_ip">'Value Reference Tables - MR'!$F$208</definedName>
    <definedName name="mgmt_az1_host10_vrms_ip">'Value Reference Tables - MR'!$F$224</definedName>
    <definedName name="mgmt_az1_host11_fqdn">'Value Reference Tables - MR'!$F$263</definedName>
    <definedName name="mgmt_az1_host11_hostname">'Value Reference Tables - MR'!$F$244</definedName>
    <definedName name="mgmt_az1_host11_mgmt_ip">'Value Reference Tables - MR'!$F$209</definedName>
    <definedName name="mgmt_az1_host11_vrms_ip">'Value Reference Tables - MR'!$F$225</definedName>
    <definedName name="mgmt_az1_host12_fqdn">'Value Reference Tables - MR'!$F$264</definedName>
    <definedName name="mgmt_az1_host12_hostname">'Value Reference Tables - MR'!$F$245</definedName>
    <definedName name="mgmt_az1_host12_mgmt_ip">'Value Reference Tables - MR'!$F$210</definedName>
    <definedName name="mgmt_az1_host12_vrms_ip">'Value Reference Tables - MR'!$F$226</definedName>
    <definedName name="mgmt_az1_host13_fqdn">'Value Reference Tables - MR'!$F$265</definedName>
    <definedName name="mgmt_az1_host13_hostname">'Value Reference Tables - MR'!$F$246</definedName>
    <definedName name="mgmt_az1_host13_mgmt_ip">'Value Reference Tables - MR'!$F$211</definedName>
    <definedName name="mgmt_az1_host13_vrms_ip">'Value Reference Tables - MR'!$F$227</definedName>
    <definedName name="mgmt_az1_host14_fqdn">'Value Reference Tables - MR'!$F$266</definedName>
    <definedName name="mgmt_az1_host14_hostname">'Value Reference Tables - MR'!$F$247</definedName>
    <definedName name="mgmt_az1_host14_mgmt_ip">'Value Reference Tables - MR'!$F$212</definedName>
    <definedName name="mgmt_az1_host14_vrms_ip">'Value Reference Tables - MR'!$F$228</definedName>
    <definedName name="mgmt_az1_host15_fqdn">'Value Reference Tables - MR'!$F$267</definedName>
    <definedName name="mgmt_az1_host15_hostname">'Value Reference Tables - MR'!$F$248</definedName>
    <definedName name="mgmt_az1_host15_mgmt_ip">'Value Reference Tables - MR'!$F$213</definedName>
    <definedName name="mgmt_az1_host15_vrms_ip">'Value Reference Tables - MR'!$F$229</definedName>
    <definedName name="mgmt_az1_host16_fqdn">'Value Reference Tables - MR'!$F$268</definedName>
    <definedName name="mgmt_az1_host16_hostname">'Value Reference Tables - MR'!$F$249</definedName>
    <definedName name="mgmt_az1_host16_mgmt_ip">'Value Reference Tables - MR'!$F$214</definedName>
    <definedName name="mgmt_az1_host16_vrms_ip">'Value Reference Tables - MR'!$F$230</definedName>
    <definedName name="mgmt_az1_host2_fqdn">'Value Reference Tables - MR'!$F$254</definedName>
    <definedName name="mgmt_az1_host2_hostname">'Value Reference Tables - MR'!$F$235</definedName>
    <definedName name="mgmt_az1_host2_mgmt_ip">'Value Reference Tables - MR'!$F$200</definedName>
    <definedName name="mgmt_az1_host2_vrms_ip">'Value Reference Tables - MR'!$F$216</definedName>
    <definedName name="mgmt_az1_host3_fqdn">'Value Reference Tables - MR'!$F$255</definedName>
    <definedName name="mgmt_az1_host3_hostname">'Value Reference Tables - MR'!$F$236</definedName>
    <definedName name="mgmt_az1_host3_mgmt_ip">'Value Reference Tables - MR'!$F$201</definedName>
    <definedName name="mgmt_az1_host3_vrms_ip">'Value Reference Tables - MR'!$F$217</definedName>
    <definedName name="mgmt_az1_host4_fqdn">'Value Reference Tables - MR'!$F$256</definedName>
    <definedName name="mgmt_az1_host4_hostname">'Value Reference Tables - MR'!$F$237</definedName>
    <definedName name="mgmt_az1_host4_mgmt_ip">'Value Reference Tables - MR'!$F$202</definedName>
    <definedName name="mgmt_az1_host4_vrms_ip">'Value Reference Tables - MR'!$F$218</definedName>
    <definedName name="mgmt_az1_host5_fqdn">'Value Reference Tables - MR'!$F$257</definedName>
    <definedName name="mgmt_az1_host5_hostname">'Value Reference Tables - MR'!$F$238</definedName>
    <definedName name="mgmt_az1_host5_mgmt_ip">'Value Reference Tables - MR'!$F$203</definedName>
    <definedName name="mgmt_az1_host5_vrms_ip">'Value Reference Tables - MR'!$F$219</definedName>
    <definedName name="mgmt_az1_host6_fqdn">'Value Reference Tables - MR'!$F$258</definedName>
    <definedName name="mgmt_az1_host6_hostname">'Value Reference Tables - MR'!$F$239</definedName>
    <definedName name="mgmt_az1_host6_mgmt_ip">'Value Reference Tables - MR'!$F$204</definedName>
    <definedName name="mgmt_az1_host6_vrms_ip">'Value Reference Tables - MR'!$F$220</definedName>
    <definedName name="mgmt_az1_host7_fqdn">'Value Reference Tables - MR'!$F$259</definedName>
    <definedName name="mgmt_az1_host7_hostname">'Value Reference Tables - MR'!$F$240</definedName>
    <definedName name="mgmt_az1_host7_mgmt_ip">'Value Reference Tables - MR'!$F$205</definedName>
    <definedName name="mgmt_az1_host7_vrms_ip">'Value Reference Tables - MR'!$F$221</definedName>
    <definedName name="mgmt_az1_host8_fqdn">'Value Reference Tables - MR'!$F$260</definedName>
    <definedName name="mgmt_az1_host8_hostname">'Value Reference Tables - MR'!$F$241</definedName>
    <definedName name="mgmt_az1_host8_mgmt_ip">'Value Reference Tables - MR'!$F$206</definedName>
    <definedName name="mgmt_az1_host8_vrms_ip">'Value Reference Tables - MR'!$F$222</definedName>
    <definedName name="mgmt_az1_host9_fqdn">'Value Reference Tables - MR'!$F$261</definedName>
    <definedName name="mgmt_az1_host9_hostname">'Value Reference Tables - MR'!$F$242</definedName>
    <definedName name="mgmt_az1_host9_mgmt_ip">'Value Reference Tables - MR'!$F$207</definedName>
    <definedName name="mgmt_az1_host9_vrms_ip">'Value Reference Tables - MR'!$F$223</definedName>
    <definedName name="mgmt_az1_mgmt_cidr">'Value Reference Tables - MR'!$F$24</definedName>
    <definedName name="mgmt_az1_mgmt_gateway_cidr">'Value Reference Tables - MR'!$F$101</definedName>
    <definedName name="mgmt_az1_mgmt_gateway_ip">'Value Reference Tables - MR'!$F$86</definedName>
    <definedName name="mgmt_az1_mgmt_mask">'Value Reference Tables - MR'!$F$54</definedName>
    <definedName name="mgmt_az1_mgmt_mtu">'Value Reference Tables - MR'!$F$70</definedName>
    <definedName name="mgmt_az1_mgmt_network">'Value Reference Tables - MR'!$F$39</definedName>
    <definedName name="mgmt_az1_mgmt_vlan">'Value Reference Tables - MR'!$F$9</definedName>
    <definedName name="mgmt_az1_mgmt_vm_cidr">'Value Reference Tables - MR'!$F$23</definedName>
    <definedName name="mgmt_az1_mgmt_vm_gateway_cidr">'Value Reference Tables - MR'!$F$100</definedName>
    <definedName name="mgmt_az1_mgmt_vm_gateway_ip">'Value Reference Tables - MR'!$F$85</definedName>
    <definedName name="mgmt_az1_mgmt_vm_mask">'Value Reference Tables - MR'!$F$53</definedName>
    <definedName name="mgmt_az1_mgmt_vm_mtu">'Value Reference Tables - MR'!$F$69</definedName>
    <definedName name="mgmt_az1_mgmt_vm_network">'Value Reference Tables - MR'!$F$38</definedName>
    <definedName name="mgmt_az1_mgmt_vm_vlan">'Value Reference Tables - MR'!$F$8</definedName>
    <definedName name="mgmt_az1_pool_name">'Value Reference Tables - MR'!$F$182</definedName>
    <definedName name="mgmt_az1_rtep_ip_pool_name">'Value Reference Tables - MR'!$F$189</definedName>
    <definedName name="mgmt_az1_rtep_overlay_cidr">'Value Reference Tables - MR'!$F$33</definedName>
    <definedName name="mgmt_az1_rtep_overlay_gateway_ip">'Value Reference Tables - MR'!$F$95</definedName>
    <definedName name="mgmt_az1_rtep_overlay_mtu">'Value Reference Tables - MR'!$F$79</definedName>
    <definedName name="mgmt_az1_rtep_overlay_network">'Value Reference Tables - MR'!$F$48</definedName>
    <definedName name="mgmt_az1_rtep_overlay_pg">'Value Reference Tables - MR'!$F$134</definedName>
    <definedName name="mgmt_az1_rtep_overlay_vlan">'Value Reference Tables - MR'!$F$18</definedName>
    <definedName name="mgmt_az1_secondary_storage_cidr">'Value Reference Tables - MR'!$F$28</definedName>
    <definedName name="mgmt_az1_secondary_storage_gateway_cidr">'Value Reference Tables - MR'!$F$105</definedName>
    <definedName name="mgmt_az1_secondary_storage_gateway_ip">'Value Reference Tables - MR'!$F$90</definedName>
    <definedName name="mgmt_az1_secondary_storage_mask">'Value Reference Tables - MR'!$F$59</definedName>
    <definedName name="mgmt_az1_secondary_storage_mtu">'Value Reference Tables - MR'!$F$74</definedName>
    <definedName name="mgmt_az1_secondary_storage_network">'Value Reference Tables - MR'!$F$43</definedName>
    <definedName name="mgmt_az1_secondary_storage_pool_end_ip">'Value Reference Tables - MR'!$F$172</definedName>
    <definedName name="mgmt_az1_secondary_storage_pool_start_ip">'Value Reference Tables - MR'!$F$171</definedName>
    <definedName name="mgmt_az1_secondary_storage_vlan">'Value Reference Tables - MR'!$F$13</definedName>
    <definedName name="mgmt_az1_tor1_peer_asn">'Value Reference Tables - MR'!$F$117</definedName>
    <definedName name="mgmt_az1_tor1_peer_bgp_password">'Value Reference Tables - MR'!$F$118</definedName>
    <definedName name="mgmt_az1_tor1_peer_ip">'Value Reference Tables - MR'!$F$116</definedName>
    <definedName name="mgmt_az1_tor2_peer_asn">'Value Reference Tables - MR'!$F$120</definedName>
    <definedName name="mgmt_az1_tor2_peer_bgp_password">'Value Reference Tables - MR'!$F$121</definedName>
    <definedName name="mgmt_az1_tor2_peer_ip">'Value Reference Tables - MR'!$F$119</definedName>
    <definedName name="mgmt_az1_uplink01_cidr">'Value Reference Tables - MR'!$F$30</definedName>
    <definedName name="mgmt_az1_uplink01_gateway_ip">'Value Reference Tables - MR'!$F$92</definedName>
    <definedName name="mgmt_az1_uplink01_mask">'Value Reference Tables - MR'!$F$60</definedName>
    <definedName name="mgmt_az1_uplink01_mtu">'Value Reference Tables - MR'!$F$76</definedName>
    <definedName name="mgmt_az1_uplink01_network">'Value Reference Tables - MR'!$F$45</definedName>
    <definedName name="mgmt_az1_uplink01_vlan">'Value Reference Tables - MR'!$F$15</definedName>
    <definedName name="mgmt_az1_uplink02_cidr">'Value Reference Tables - MR'!$F$31</definedName>
    <definedName name="mgmt_az1_uplink02_gateway_ip">'Value Reference Tables - MR'!$F$93</definedName>
    <definedName name="mgmt_az1_uplink02_mask">'Value Reference Tables - MR'!$F$61</definedName>
    <definedName name="mgmt_az1_uplink02_mtu">'Value Reference Tables - MR'!$F$77</definedName>
    <definedName name="mgmt_az1_uplink02_network">'Value Reference Tables - MR'!$F$46</definedName>
    <definedName name="mgmt_az1_uplink02_vlan">'Value Reference Tables - MR'!$F$16</definedName>
    <definedName name="mgmt_az1_vcf_mgmt_cidr">'Value Reference Tables - MR'!$F$29</definedName>
    <definedName name="mgmt_az1_vcf_mgmt_gateway_cidr">'Value Reference Tables - MR'!$F$106</definedName>
    <definedName name="mgmt_az1_vcf_mgmt_gateway_ip">'Value Reference Tables - MR'!$F$91</definedName>
    <definedName name="mgmt_az1_vcf_mgmt_mask">'Value Reference Tables - MR'!$F$58</definedName>
    <definedName name="mgmt_az1_vcf_mgmt_mtu">'Value Reference Tables - MR'!$F$75</definedName>
    <definedName name="mgmt_az1_vcf_mgmt_network">'Value Reference Tables - MR'!$F$44</definedName>
    <definedName name="mgmt_az1_vcf_mgmt_vlan">'Value Reference Tables - MR'!$F$14</definedName>
    <definedName name="mgmt_az1_vm_cidr">'Value Reference Tables'!$AD$15</definedName>
    <definedName name="mgmt_az1_vm_gateway_ip">'Value Reference Tables'!$AD$19</definedName>
    <definedName name="mgmt_az1_vm_mtu">'Value Reference Tables'!$AD$23</definedName>
    <definedName name="mgmt_az1_vm_vlan">'Value Reference Tables'!$AD$8</definedName>
    <definedName name="mgmt_az1_vmotion_cidr">'Value Reference Tables - MR'!$F$25</definedName>
    <definedName name="mgmt_az1_vmotion_gateway_cidr">'Value Reference Tables - MR'!$F$102</definedName>
    <definedName name="mgmt_az1_vmotion_gateway_ip">'Value Reference Tables - MR'!$F$87</definedName>
    <definedName name="mgmt_az1_vmotion_ip_scheme_chosen">'Deploy Management Domain'!$L$50</definedName>
    <definedName name="mgmt_az1_vmotion_mask">'Value Reference Tables - MR'!$F$55</definedName>
    <definedName name="mgmt_az1_vmotion_mtu">'Value Reference Tables - MR'!$F$71</definedName>
    <definedName name="mgmt_az1_vmotion_network">'Value Reference Tables - MR'!$F$40</definedName>
    <definedName name="mgmt_az1_vmotion_pool_end_ip">'Value Reference Tables - MR'!$F$166</definedName>
    <definedName name="mgmt_az1_vmotion_pool_start_ip">'Value Reference Tables - MR'!$F$165</definedName>
    <definedName name="mgmt_az1_vmotion_vlan">'Value Reference Tables - MR'!$F$10</definedName>
    <definedName name="mgmt_az1_vrms_cidr">'Value Reference Tables - MR'!$F$34</definedName>
    <definedName name="mgmt_az1_vrms_gateway_ip">'Value Reference Tables - MR'!$F$96</definedName>
    <definedName name="mgmt_az1_vrms_mtu">'Value Reference Tables - MR'!$F$80</definedName>
    <definedName name="mgmt_az1_vrms_network">'Value Reference Tables - MR'!$F$49</definedName>
    <definedName name="mgmt_az1_vrms_vlan">'Value Reference Tables - MR'!$F$19</definedName>
    <definedName name="mgmt_az1_vsan_cidr">'Value Reference Tables - MR'!$F$26</definedName>
    <definedName name="mgmt_az1_vsan_gateway_cidr">'Value Reference Tables - MR'!$F$103</definedName>
    <definedName name="mgmt_az1_vsan_gateway_ip">'Value Reference Tables - MR'!$F$88</definedName>
    <definedName name="mgmt_az1_vsan_ip_scheme_chosen">'Deploy Management Domain'!$L$51</definedName>
    <definedName name="mgmt_az1_vsan_mask">'Value Reference Tables - MR'!$F$56</definedName>
    <definedName name="mgmt_az1_vsan_mtu">'Value Reference Tables - MR'!$F$72</definedName>
    <definedName name="mgmt_az1_vsan_network">'Value Reference Tables - MR'!$F$41</definedName>
    <definedName name="mgmt_az1_vsan_pool_end_ip">'Value Reference Tables - MR'!$F$168</definedName>
    <definedName name="mgmt_az1_vsan_pool_start_ip">'Value Reference Tables - MR'!$F$167</definedName>
    <definedName name="mgmt_az1_vsan_vlan">'Value Reference Tables - MR'!$F$11</definedName>
    <definedName name="mgmt_az2_edge_overlay_cidr">'Value Reference Tables - MR'!$F$316</definedName>
    <definedName name="mgmt_az2_edge_overlay_gateway_ip">'Value Reference Tables - MR'!$F$358</definedName>
    <definedName name="mgmt_az2_edge_overlay_mask">'Value Reference Tables - MR'!$F$344</definedName>
    <definedName name="mgmt_az2_edge_overlay_mtu">'Value Reference Tables - MR'!$F$372</definedName>
    <definedName name="mgmt_az2_edge_overlay_network">'Value Reference Tables - MR'!$F$330</definedName>
    <definedName name="mgmt_az2_edge_overlay_pg">'Value Reference Tables - MR'!$F$396</definedName>
    <definedName name="mgmt_az2_edge_overlay_vlan">'Value Reference Tables - MR'!$F$302</definedName>
    <definedName name="mgmt_az2_host_fqdns">'Value Reference Tables - MR'!$F$485:$F$500</definedName>
    <definedName name="mgmt_az2_host_hostnames">'Value Reference Tables - MR'!$F$466:$F$481</definedName>
    <definedName name="mgmt_az2_host_mgmt_ips">'Value Reference Tables - MR'!$F$431:$F$446</definedName>
    <definedName name="mgmt_az2_host_overlay_cidr">'Value Reference Tables - MR'!$F$312</definedName>
    <definedName name="mgmt_az2_host_overlay_gateway_ip">'Value Reference Tables - MR'!$F$354</definedName>
    <definedName name="mgmt_az2_host_overlay_mask">'Value Reference Tables - MR'!$F$340</definedName>
    <definedName name="mgmt_az2_host_overlay_mtu">'Value Reference Tables - MR'!$F$368</definedName>
    <definedName name="mgmt_az2_host_overlay_network">'Value Reference Tables - MR'!$F$326</definedName>
    <definedName name="mgmt_az2_host_overlay_network_pool_name">'Value Reference Tables - MR'!$F$416</definedName>
    <definedName name="mgmt_az2_host_overlay_network_profile_name">'Value Reference Tables - MR'!$F$415</definedName>
    <definedName name="mgmt_az2_host_overlay_new_pool_chosen">'Configure Management Domain'!$D$433</definedName>
    <definedName name="mgmt_az2_host_overlay_pg">'Value Reference Tables - MR'!$F$392</definedName>
    <definedName name="mgmt_az2_host_overlay_pool_end_ip">'Value Reference Tables - MR'!$F$406</definedName>
    <definedName name="mgmt_az2_host_overlay_pool_name">'Value Reference Tables'!$C$185</definedName>
    <definedName name="mgmt_az2_host_overlay_pool_start_ip">'Value Reference Tables - MR'!$F$405</definedName>
    <definedName name="mgmt_az2_host_overlay_uplink_profile_name">'Value Reference Tables - MR'!$F$417</definedName>
    <definedName name="mgmt_az2_host_overlay_vlan">'Value Reference Tables - MR'!$F$298</definedName>
    <definedName name="mgmt_az2_host_vrms_ips">'Value Reference Tables - MR'!$F$447:$F$462</definedName>
    <definedName name="mgmt_az2_host1_fqdn">'Value Reference Tables - MR'!$F$485</definedName>
    <definedName name="mgmt_az2_host1_hostname">'Value Reference Tables - MR'!$F$466</definedName>
    <definedName name="mgmt_az2_host1_mgmt_ip">'Value Reference Tables - MR'!$F$431</definedName>
    <definedName name="mgmt_az2_host1_sddc_id">'Value Reference Tables'!$C$180</definedName>
    <definedName name="mgmt_az2_host1_vrms_ip">'Value Reference Tables - MR'!$F$447</definedName>
    <definedName name="mgmt_az2_host10_fqdn">'Value Reference Tables - MR'!$F$494</definedName>
    <definedName name="mgmt_az2_host10_hostname">'Value Reference Tables - MR'!$F$475</definedName>
    <definedName name="mgmt_az2_host10_mgmt_ip">'Value Reference Tables - MR'!$F$440</definedName>
    <definedName name="mgmt_az2_host10_vrms_ip">'Value Reference Tables - MR'!$F$456</definedName>
    <definedName name="mgmt_az2_host11_fqdn">'Value Reference Tables - MR'!$F$495</definedName>
    <definedName name="mgmt_az2_host11_hostname">'Value Reference Tables - MR'!$F$476</definedName>
    <definedName name="mgmt_az2_host11_mgmt_ip">'Value Reference Tables - MR'!$F$441</definedName>
    <definedName name="mgmt_az2_host11_vrms_ip">'Value Reference Tables - MR'!$F$457</definedName>
    <definedName name="mgmt_az2_host12_fqdn">'Value Reference Tables - MR'!$F$496</definedName>
    <definedName name="mgmt_az2_host12_hostname">'Value Reference Tables - MR'!$F$477</definedName>
    <definedName name="mgmt_az2_host12_mgmt_ip">'Value Reference Tables - MR'!$F$442</definedName>
    <definedName name="mgmt_az2_host12_vrms_ip">'Value Reference Tables - MR'!$F$458</definedName>
    <definedName name="mgmt_az2_host13_fqdn">'Value Reference Tables - MR'!$F$497</definedName>
    <definedName name="mgmt_az2_host13_hostname">'Value Reference Tables - MR'!$F$478</definedName>
    <definedName name="mgmt_az2_host13_mgmt_ip">'Value Reference Tables - MR'!$F$443</definedName>
    <definedName name="mgmt_az2_host13_vrms_ip">'Value Reference Tables - MR'!$F$459</definedName>
    <definedName name="mgmt_az2_host14_fqdn">'Value Reference Tables - MR'!$F$498</definedName>
    <definedName name="mgmt_az2_host14_hostname">'Value Reference Tables - MR'!$F$479</definedName>
    <definedName name="mgmt_az2_host14_mgmt_ip">'Value Reference Tables - MR'!$F$444</definedName>
    <definedName name="mgmt_az2_host14_vrms_ip">'Value Reference Tables - MR'!$F$460</definedName>
    <definedName name="mgmt_az2_host15_fqdn">'Value Reference Tables - MR'!$F$499</definedName>
    <definedName name="mgmt_az2_host15_hostname">'Value Reference Tables - MR'!$F$480</definedName>
    <definedName name="mgmt_az2_host15_mgmt_ip">'Value Reference Tables - MR'!$F$445</definedName>
    <definedName name="mgmt_az2_host15_vrms_ip">'Value Reference Tables - MR'!$F$461</definedName>
    <definedName name="mgmt_az2_host16_fqdn">'Value Reference Tables - MR'!$F$500</definedName>
    <definedName name="mgmt_az2_host16_hostname">'Value Reference Tables - MR'!$F$481</definedName>
    <definedName name="mgmt_az2_host16_mgmt_ip">'Value Reference Tables - MR'!$F$446</definedName>
    <definedName name="mgmt_az2_host16_vrms_ip">'Value Reference Tables - MR'!$F$462</definedName>
    <definedName name="mgmt_az2_host2_fqdn">'Value Reference Tables - MR'!$F$486</definedName>
    <definedName name="mgmt_az2_host2_hostname">'Value Reference Tables - MR'!$F$467</definedName>
    <definedName name="mgmt_az2_host2_mgmt_ip">'Value Reference Tables - MR'!$F$432</definedName>
    <definedName name="mgmt_az2_host2_sddc_id">'Value Reference Tables'!$C$181</definedName>
    <definedName name="mgmt_az2_host2_vrms_ip">'Value Reference Tables - MR'!$F$448</definedName>
    <definedName name="mgmt_az2_host3_fqdn">'Value Reference Tables - MR'!$F$487</definedName>
    <definedName name="mgmt_az2_host3_hostname">'Value Reference Tables - MR'!$F$468</definedName>
    <definedName name="mgmt_az2_host3_mgmt_ip">'Value Reference Tables - MR'!$F$433</definedName>
    <definedName name="mgmt_az2_host3_sddc_id">'Value Reference Tables'!$C$182</definedName>
    <definedName name="mgmt_az2_host3_vrms_ip">'Value Reference Tables - MR'!$F$449</definedName>
    <definedName name="mgmt_az2_host4_fqdn">'Value Reference Tables - MR'!$F$488</definedName>
    <definedName name="mgmt_az2_host4_hostname">'Value Reference Tables - MR'!$F$469</definedName>
    <definedName name="mgmt_az2_host4_mgmt_ip">'Value Reference Tables - MR'!$F$434</definedName>
    <definedName name="mgmt_az2_host4_sddc_id">'Value Reference Tables'!$C$183</definedName>
    <definedName name="mgmt_az2_host4_vrms_ip">'Value Reference Tables - MR'!$F$450</definedName>
    <definedName name="mgmt_az2_host5_fqdn">'Value Reference Tables - MR'!$F$489</definedName>
    <definedName name="mgmt_az2_host5_hostname">'Value Reference Tables - MR'!$F$470</definedName>
    <definedName name="mgmt_az2_host5_mgmt_ip">'Value Reference Tables - MR'!$F$435</definedName>
    <definedName name="mgmt_az2_host5_vrms_ip">'Value Reference Tables - MR'!$F$451</definedName>
    <definedName name="mgmt_az2_host6_fqdn">'Value Reference Tables - MR'!$F$490</definedName>
    <definedName name="mgmt_az2_host6_hostname">'Value Reference Tables - MR'!$F$471</definedName>
    <definedName name="mgmt_az2_host6_mgmt_ip">'Value Reference Tables - MR'!$F$436</definedName>
    <definedName name="mgmt_az2_host6_vrms_ip">'Value Reference Tables - MR'!$F$452</definedName>
    <definedName name="mgmt_az2_host7_fqdn">'Value Reference Tables - MR'!$F$491</definedName>
    <definedName name="mgmt_az2_host7_hostname">'Value Reference Tables - MR'!$F$472</definedName>
    <definedName name="mgmt_az2_host7_mgmt_ip">'Value Reference Tables - MR'!$F$437</definedName>
    <definedName name="mgmt_az2_host7_vrms_ip">'Value Reference Tables - MR'!$F$453</definedName>
    <definedName name="mgmt_az2_host8_fqdn">'Value Reference Tables - MR'!$F$492</definedName>
    <definedName name="mgmt_az2_host8_hostname">'Value Reference Tables - MR'!$F$473</definedName>
    <definedName name="mgmt_az2_host8_mgmt_ip">'Value Reference Tables - MR'!$F$438</definedName>
    <definedName name="mgmt_az2_host8_vrms_ip">'Value Reference Tables - MR'!$F$454</definedName>
    <definedName name="mgmt_az2_host9_fqdn">'Value Reference Tables - MR'!$F$493</definedName>
    <definedName name="mgmt_az2_host9_hostname">'Value Reference Tables - MR'!$F$474</definedName>
    <definedName name="mgmt_az2_host9_mgmt_ip">'Value Reference Tables - MR'!$F$439</definedName>
    <definedName name="mgmt_az2_host9_vrms_ip">'Value Reference Tables - MR'!$F$455</definedName>
    <definedName name="mgmt_az2_mgmt_cidr">'Value Reference Tables - MR'!$F$309</definedName>
    <definedName name="mgmt_az2_mgmt_gateway_ip">'Value Reference Tables - MR'!$F$351</definedName>
    <definedName name="mgmt_az2_mgmt_mask">'Value Reference Tables - MR'!$F$337</definedName>
    <definedName name="mgmt_az2_mgmt_mtu">'Value Reference Tables - MR'!$F$365</definedName>
    <definedName name="mgmt_az2_mgmt_network">'Value Reference Tables - MR'!$F$323</definedName>
    <definedName name="mgmt_az2_mgmt_vlan">'Value Reference Tables - MR'!$F$295</definedName>
    <definedName name="mgmt_az2_mgmt_vm_cidr">'Value Reference Tables - MR'!$F$308</definedName>
    <definedName name="mgmt_az2_mgmt_vm_gateway_ip">'Value Reference Tables - MR'!$F$350</definedName>
    <definedName name="mgmt_az2_mgmt_vm_mtu">'Value Reference Tables - MR'!$F$364</definedName>
    <definedName name="mgmt_az2_mgmt_vm_vlan">'Value Reference Tables - MR'!$F$294</definedName>
    <definedName name="mgmt_az2_pool_name">'Value Reference Tables - MR'!$F$414</definedName>
    <definedName name="mgmt_az2_reuse_vcf_networkpool_chosen">'Configure Management Domain'!$D$320</definedName>
    <definedName name="mgmt_az2_rtep_overlay_cidr">'Value Reference Tables - MR'!$F$317</definedName>
    <definedName name="mgmt_az2_rtep_overlay_gateway_ip">'Value Reference Tables - MR'!$F$359</definedName>
    <definedName name="mgmt_az2_rtep_overlay_mask">'Value Reference Tables - MR'!$F$345</definedName>
    <definedName name="mgmt_az2_rtep_overlay_mtu">'Value Reference Tables - MR'!$F$373</definedName>
    <definedName name="mgmt_az2_rtep_overlay_network">'Value Reference Tables - MR'!$F$331</definedName>
    <definedName name="mgmt_az2_rtep_overlay_pg">'Value Reference Tables - MR'!$F$397</definedName>
    <definedName name="mgmt_az2_rtep_overlay_vlan">'Value Reference Tables - MR'!$F$303</definedName>
    <definedName name="mgmt_az2_secondary_storage_cidr">'Value Reference Tables - MR'!$F$313</definedName>
    <definedName name="mgmt_az2_secondary_storage_gateway_ip">'Value Reference Tables - MR'!$F$355</definedName>
    <definedName name="mgmt_az2_secondary_storage_mask">'Value Reference Tables - MR'!$F$341</definedName>
    <definedName name="mgmt_az2_secondary_storage_mtu">'Value Reference Tables - MR'!$F$369</definedName>
    <definedName name="mgmt_az2_secondary_storage_network">'Value Reference Tables - MR'!$F$327</definedName>
    <definedName name="mgmt_az2_secondary_storage_pool_end_ip">'Value Reference Tables - MR'!$F$408</definedName>
    <definedName name="mgmt_az2_secondary_storage_pool_start_ip">'Value Reference Tables - MR'!$F$407</definedName>
    <definedName name="mgmt_az2_secondary_storage_vlan">'Value Reference Tables - MR'!$F$299</definedName>
    <definedName name="mgmt_az2_tor1_peer_asn">'Value Reference Tables - MR'!$F$380</definedName>
    <definedName name="mgmt_az2_tor1_peer_bgp_password">'Value Reference Tables - MR'!$F$381</definedName>
    <definedName name="mgmt_az2_tor1_peer_ip">'Value Reference Tables - MR'!$F$379</definedName>
    <definedName name="mgmt_az2_tor2_peer_asn">'Value Reference Tables - MR'!$F$383</definedName>
    <definedName name="mgmt_az2_tor2_peer_bgp_password">'Value Reference Tables - MR'!$F$384</definedName>
    <definedName name="mgmt_az2_tor2_peer_ip">'Value Reference Tables - MR'!$F$382</definedName>
    <definedName name="mgmt_az2_uplink01_cidr">'Value Reference Tables - MR'!$F$314</definedName>
    <definedName name="mgmt_az2_uplink01_gateway_ip">'Value Reference Tables - MR'!$F$356</definedName>
    <definedName name="mgmt_az2_uplink01_mask">'Value Reference Tables - MR'!$F$342</definedName>
    <definedName name="mgmt_az2_uplink01_mtu">'Value Reference Tables - MR'!$F$370</definedName>
    <definedName name="mgmt_az2_uplink01_network">'Value Reference Tables - MR'!$F$328</definedName>
    <definedName name="mgmt_az2_uplink01_vlan">'Value Reference Tables - MR'!$F$300</definedName>
    <definedName name="mgmt_az2_uplink02_cidr">'Value Reference Tables - MR'!$F$315</definedName>
    <definedName name="mgmt_az2_uplink02_gateway_ip">'Value Reference Tables - MR'!$F$357</definedName>
    <definedName name="mgmt_az2_uplink02_mask">'Value Reference Tables - MR'!$F$343</definedName>
    <definedName name="mgmt_az2_uplink02_mtu">'Value Reference Tables - MR'!$F$371</definedName>
    <definedName name="mgmt_az2_uplink02_network">'Value Reference Tables - MR'!$F$329</definedName>
    <definedName name="mgmt_az2_uplink02_vlan">'Value Reference Tables - MR'!$F$301</definedName>
    <definedName name="mgmt_az2_vm_cidr">'Value Reference Tables'!$AE$15</definedName>
    <definedName name="mgmt_az2_vm_gateway_ip">'Value Reference Tables'!$AE$19</definedName>
    <definedName name="mgmt_az2_vm_mtu">'Value Reference Tables'!$AE$23</definedName>
    <definedName name="mgmt_az2_vm_vlan">'Value Reference Tables'!$AE$8</definedName>
    <definedName name="mgmt_az2_vmotion_cidr">'Value Reference Tables - MR'!$F$310</definedName>
    <definedName name="mgmt_az2_vmotion_gateway_ip">'Value Reference Tables - MR'!$F$352</definedName>
    <definedName name="mgmt_az2_vmotion_mask">'Value Reference Tables - MR'!$F$338</definedName>
    <definedName name="mgmt_az2_vmotion_mtu">'Value Reference Tables - MR'!$F$366</definedName>
    <definedName name="mgmt_az2_vmotion_network">'Value Reference Tables - MR'!$F$324</definedName>
    <definedName name="mgmt_az2_vmotion_pool_end_ip">'Value Reference Tables - MR'!$F$402</definedName>
    <definedName name="mgmt_az2_vmotion_pool_start_ip">'Value Reference Tables - MR'!$F$401</definedName>
    <definedName name="mgmt_az2_vmotion_vlan">'Value Reference Tables - MR'!$F$296</definedName>
    <definedName name="mgmt_az2_vrms_cidr">'Value Reference Tables - MR'!$F$318</definedName>
    <definedName name="mgmt_az2_vrms_gateway_ip">'Value Reference Tables - MR'!$F$360</definedName>
    <definedName name="mgmt_az2_vrms_mask">'Value Reference Tables - MR'!$F$346</definedName>
    <definedName name="mgmt_az2_vrms_mtu">'Value Reference Tables - MR'!$F$374</definedName>
    <definedName name="mgmt_az2_vrms_network">'Value Reference Tables - MR'!$F$332</definedName>
    <definedName name="mgmt_az2_vrms_vlan">'Value Reference Tables - MR'!$F$304</definedName>
    <definedName name="mgmt_az2_vsan_cidr">'Value Reference Tables - MR'!$F$311</definedName>
    <definedName name="mgmt_az2_vsan_gateway_ip">'Value Reference Tables - MR'!$F$353</definedName>
    <definedName name="mgmt_az2_vsan_mask">'Value Reference Tables - MR'!$F$339</definedName>
    <definedName name="mgmt_az2_vsan_mtu">'Value Reference Tables - MR'!$F$367</definedName>
    <definedName name="mgmt_az2_vsan_network">'Value Reference Tables - MR'!$F$325</definedName>
    <definedName name="mgmt_az2_vsan_pool_end_ip">'Value Reference Tables - MR'!$F$404</definedName>
    <definedName name="mgmt_az2_vsan_pool_start_ip">'Value Reference Tables - MR'!$F$403</definedName>
    <definedName name="mgmt_az2_vsan_vlan">'Value Reference Tables - MR'!$F$297</definedName>
    <definedName name="mgmt_ceip_status_chosen">'Deploy Management Domain'!$L$69</definedName>
    <definedName name="mgmt_cl01_az1_flt_lbt_chosen">'Deploy Management Domain'!$L$250</definedName>
    <definedName name="mgmt_cl01_az1_flt_uplink1_chosen">'Deploy Management Domain'!$L$251</definedName>
    <definedName name="mgmt_cl01_az1_flt_uplink2_chosen">'Deploy Management Domain'!$L$252</definedName>
    <definedName name="mgmt_cl01_az1_mgmt_lbt_chosen">'Deploy Management Domain'!$L$240</definedName>
    <definedName name="mgmt_cl01_az1_mgmt_pg">'Value Reference Tables - MR'!$F$126</definedName>
    <definedName name="mgmt_cl01_az1_mgmt_uplink1_chosen">'Deploy Management Domain'!$L$241</definedName>
    <definedName name="mgmt_cl01_az1_mgmt_uplink2_chosen">'Deploy Management Domain'!$L$242</definedName>
    <definedName name="mgmt_cl01_az1_mgmt_vm_lbt_chosen">'Deploy Management Domain'!$L$245</definedName>
    <definedName name="mgmt_cl01_az1_mgmt_vm_pg">'Value Reference Tables - MR'!$F$125</definedName>
    <definedName name="mgmt_cl01_az1_mgmt_vm_uplink1_chosen">'Deploy Management Domain'!$L$246</definedName>
    <definedName name="mgmt_cl01_az1_mgmt_vm_uplink2_chosen">'Deploy Management Domain'!$L$247</definedName>
    <definedName name="mgmt_cl01_az1_nfs_lbt_chosen">'Deploy Management Domain'!$L$265</definedName>
    <definedName name="mgmt_cl01_az1_nfs_pg">'Value Reference Tables - MR'!$F$135</definedName>
    <definedName name="mgmt_cl01_az1_nfs_uplink1_chosen">'Deploy Management Domain'!$L$266</definedName>
    <definedName name="mgmt_cl01_az1_nfs_uplink2_chosen">'Deploy Management Domain'!$L$267</definedName>
    <definedName name="mgmt_cl01_az1_nsx_lbt_chosen">'Deploy Management Domain'!$L$271</definedName>
    <definedName name="mgmt_cl01_az1_nsx_uplink1_chosen">'Deploy Management Domain'!$L$272</definedName>
    <definedName name="mgmt_cl01_az1_nsx_uplink2_chosen">'Deploy Management Domain'!$L$273</definedName>
    <definedName name="mgmt_cl01_az1_uplink01_pg">'Value Reference Tables - MR'!$F$131</definedName>
    <definedName name="mgmt_cl01_az1_uplink02_pg">'Value Reference Tables - MR'!$F$132</definedName>
    <definedName name="mgmt_cl01_az1_vcf_mgmt_pg">'Value Reference Tables - MR'!$F$136</definedName>
    <definedName name="mgmt_cl01_az1_vmotion_lbt_chosen">'Deploy Management Domain'!$L$255</definedName>
    <definedName name="mgmt_cl01_az1_vmotion_pg">'Value Reference Tables - MR'!$F$127</definedName>
    <definedName name="mgmt_cl01_az1_vmotion_uplink1_chosen">'Deploy Management Domain'!$L$256</definedName>
    <definedName name="mgmt_cl01_az1_vmotion_uplink2_chosen">'Deploy Management Domain'!$L$257</definedName>
    <definedName name="mgmt_cl01_az1_vsan_lbt_chosen">'Deploy Management Domain'!$L$260</definedName>
    <definedName name="mgmt_cl01_az1_vsan_pg">'Value Reference Tables - MR'!$F$128</definedName>
    <definedName name="mgmt_cl01_az1_vsan_uplink1_chosen">'Deploy Management Domain'!$L$261</definedName>
    <definedName name="mgmt_cl01_az1_vsan_uplink2_chosen">'Deploy Management Domain'!$L$262</definedName>
    <definedName name="mgmt_cl01_az2_mgmt_pg">'Value Reference Tables - MR'!$F$389</definedName>
    <definedName name="mgmt_cl01_az2_mgmt_vm_pg">'Value Reference Tables - MR'!$F$388</definedName>
    <definedName name="mgmt_cl01_az2_uplink01_pg">'Value Reference Tables - MR'!$F$394</definedName>
    <definedName name="mgmt_cl01_az2_uplink02_pg">'Value Reference Tables - MR'!$F$395</definedName>
    <definedName name="mgmt_cl01_az2_vmotion_pg">'Value Reference Tables - MR'!$F$390</definedName>
    <definedName name="mgmt_cl01_az2_vsan_pg">'Value Reference Tables - MR'!$F$391</definedName>
    <definedName name="mgmt_cl01_cluster">'Value Reference Tables'!$C$84</definedName>
    <definedName name="mgmt_cl01_cluster_sddc_id">'Value Reference Tables'!$C$184</definedName>
    <definedName name="mgmt_cl01_nfs_server_bound_to_vmknic_chosen">'Deploy Management Domain'!$L$196</definedName>
    <definedName name="mgmt_cl01_nfs_server_ip">'Value Reference Tables'!$C$125</definedName>
    <definedName name="mgmt_cl01_nfs_share">'Value Reference Tables'!$C$124</definedName>
    <definedName name="mgmt_cl01_vds_profile_chosen">'Deploy Management Domain'!$L$201</definedName>
    <definedName name="mgmt_cl01_vds01_lacp_mode_chosen">'Deploy Management Domain'!$L$210</definedName>
    <definedName name="mgmt_cl01_vds01_lacp_timeout_chosen">'Deploy Management Domain'!$L$212</definedName>
    <definedName name="mgmt_cl01_vds01_lag_lbt_chosen">'Deploy Management Domain'!$L$211</definedName>
    <definedName name="mgmt_cl01_vds01_lag_name">'Value Reference Tables'!$C$99</definedName>
    <definedName name="mgmt_cl01_vds01_link_type_chosen">'Deploy Management Domain'!$L$208</definedName>
    <definedName name="mgmt_cl01_vds01_mtu">'Value Reference Tables'!$C$98</definedName>
    <definedName name="mgmt_cl01_vds01_name">'Value Reference Tables'!$C$94</definedName>
    <definedName name="mgmt_cl01_vds01_pnics">'Value Reference Tables'!$C$95:$C$96</definedName>
    <definedName name="mgmt_cl01_vds01_uplink_count">'Value Reference Tables'!$C$97</definedName>
    <definedName name="mgmt_cl01_vds01_uplink1">'Value Reference Tables'!$C$95</definedName>
    <definedName name="mgmt_cl01_vds01_uplink2">'Value Reference Tables'!$C$96</definedName>
    <definedName name="mgmt_cl01_vds02_lacp_mode_chosen">'Deploy Management Domain'!$L$221</definedName>
    <definedName name="mgmt_cl01_vds02_lacp_timeout_chosen">'Deploy Management Domain'!$L$223</definedName>
    <definedName name="mgmt_cl01_vds02_lag_lbt_chosen">'Deploy Management Domain'!$L$222</definedName>
    <definedName name="mgmt_cl01_vds02_lag_name">'Value Reference Tables'!$C$106</definedName>
    <definedName name="mgmt_cl01_vds02_link_type_chosen">'Deploy Management Domain'!$L$219</definedName>
    <definedName name="mgmt_cl01_vds02_mtu">'Value Reference Tables'!$C$105</definedName>
    <definedName name="mgmt_cl01_vds02_name">'Value Reference Tables'!$C$101</definedName>
    <definedName name="mgmt_cl01_vds02_pnics">'Value Reference Tables'!$C$102:$C$103</definedName>
    <definedName name="mgmt_cl01_vds02_uplink_count">'Value Reference Tables'!$C$104</definedName>
    <definedName name="mgmt_cl01_vds02_uplink1">'Value Reference Tables'!$C$102</definedName>
    <definedName name="mgmt_cl01_vds02_uplink2">'Value Reference Tables'!$C$103</definedName>
    <definedName name="mgmt_cl01_vds03_lacp_mode_chosen">'Deploy Management Domain'!$L$232</definedName>
    <definedName name="mgmt_cl01_vds03_lacp_timeout_chosen">'Deploy Management Domain'!$L$234</definedName>
    <definedName name="mgmt_cl01_vds03_lag_lbt_chosen">'Deploy Management Domain'!$L$233</definedName>
    <definedName name="mgmt_cl01_vds03_lag_name">'Value Reference Tables'!$C$113</definedName>
    <definedName name="mgmt_cl01_vds03_link_type_chosen">'Deploy Management Domain'!$L$230</definedName>
    <definedName name="mgmt_cl01_vds03_mtu">'Value Reference Tables'!$C$112</definedName>
    <definedName name="mgmt_cl01_vds03_name">'Value Reference Tables'!$C$108</definedName>
    <definedName name="mgmt_cl01_vds03_pnics">'Value Reference Tables'!$C$109:$C$110</definedName>
    <definedName name="mgmt_cl01_vds03_uplink_count">'Value Reference Tables'!$C$111</definedName>
    <definedName name="mgmt_cl01_vds03_uplink1">'Value Reference Tables'!$C$109</definedName>
    <definedName name="mgmt_cl01_vds03_uplink2">'Value Reference Tables'!$C$110</definedName>
    <definedName name="mgmt_cl01_vsan_data_in_transit_chosen">'Deploy Management Domain'!$L$59</definedName>
    <definedName name="mgmt_cl01_vsan_datastore">'Value Reference Tables'!$C$121</definedName>
    <definedName name="mgmt_cl01_vsan_dedupe_compression_chosen">'Deploy Management Domain'!$L$61</definedName>
    <definedName name="mgmt_cl01_vsan_ftt_chosen">'Deploy Management Domain'!$L$60</definedName>
    <definedName name="mgmt_consolidated_result">'Value Reference Tables'!$AA$61</definedName>
    <definedName name="mgmt_datacenter">'Value Reference Tables'!$C$83</definedName>
    <definedName name="mgmt_domain_chosen">'VCF &amp; VVF Planning'!$J$18</definedName>
    <definedName name="mgmt_domain_deployment_type_chosen">'VCF &amp; VVF Planning'!$J$17</definedName>
    <definedName name="mgmt_domain_deployment_type_result">'VCF &amp; VVF Planning'!$L$17</definedName>
    <definedName name="mgmt_domain_existing_nsx_manager_chosen">'Deploy Management Domain'!$L$33</definedName>
    <definedName name="mgmt_domain_existing_vcenter_chosen">'Deploy Management Domain'!$L$32</definedName>
    <definedName name="mgmt_domain_existing_vcf_operations_chosen">'Deploy Management Domain'!$L$31</definedName>
    <definedName name="mgmt_domain_ops_automation_later_chosen">'Deploy Management Domain'!$L$47</definedName>
    <definedName name="mgmt_domain_password_creation_chosen">'Deploy Management Domain'!$L$296</definedName>
    <definedName name="mgmt_domain_result">'VCF &amp; VVF Planning'!$L$18</definedName>
    <definedName name="mgmt_domain_vcf_automation_later_chosen">'Deploy Management Domain'!$L$34</definedName>
    <definedName name="mgmt_domain_vcf_operations_ha_mode_chosen">'Deploy Management Domain'!$L$39</definedName>
    <definedName name="mgmt_domain_vcf_operations_size_chosen">'Deploy Management Domain'!$L$40</definedName>
    <definedName name="mgmt_dpg_reuse_chosen">'Deploy Management Domain'!$L$45</definedName>
    <definedName name="mgmt_dpg_reuse_result">'Value Reference Tables'!$C$138</definedName>
    <definedName name="mgmt_dual_stack_networking_chosen">'Deploy Management Domain'!$L$49</definedName>
    <definedName name="mgmt_ec_api_chosen">'Configure Management Domain'!$D$228</definedName>
    <definedName name="mgmt_ec_formfactor_chosen">'Configure Management Domain'!$D$97</definedName>
    <definedName name="mgmt_ec_gateway_type">'Value Reference Tables'!$C$130</definedName>
    <definedName name="mgmt_ec_ip_assignment_chosen">'Configure Management Domain'!$D$105</definedName>
    <definedName name="mgmt_ec_mtu">'Value Reference Tables'!$C$132</definedName>
    <definedName name="mgmt_ec_name">'Value Reference Tables'!$O$15</definedName>
    <definedName name="mgmt_ec_rp_name">'Value Reference Tables'!$C$133</definedName>
    <definedName name="mgmt_ec01_en01_host_group_affinity_rule_name">'Value Reference Tables'!$C$135</definedName>
    <definedName name="mgmt_ec01_en02_host_group_affinity_rule_name">'Value Reference Tables'!$C$136</definedName>
    <definedName name="mgmt_ec01_host_group_affinity_rule_chosen">'Configure Management Domain'!$D$102</definedName>
    <definedName name="mgmt_ec01_use_host_overlay_chosen">'Configure Management Domain'!$D$110</definedName>
    <definedName name="mgmt_edge_vm_folder">'Value Reference Tables'!$O$36</definedName>
    <definedName name="mgmt_en_asn">'Value Reference Tables - MR'!$F$115</definedName>
    <definedName name="mgmt_en01_bfd_chosen">'Configure Management Domain'!$D$165</definedName>
    <definedName name="mgmt_en02_bfd_chosen">'Configure Management Domain'!$D$179</definedName>
    <definedName name="mgmt_existing_active_nsx_gm">Arkham!$C$49</definedName>
    <definedName name="mgmt_existing_cross_instance_t0_name">Arkham!$C$50</definedName>
    <definedName name="mgmt_flt_fm_reuse_password_chosen">Arkham!$Y$10</definedName>
    <definedName name="mgmt_gateway_routing_type_chosen">'Configure Management Domain'!$D$158</definedName>
    <definedName name="mgmt_host_overlay_addressing_chosen">'Deploy Management Domain'!$L$149</definedName>
    <definedName name="mgmt_internet_proxy_address">'Value Reference Tables'!$O$55</definedName>
    <definedName name="mgmt_internet_proxy_auth_chosen">'Deploy Management Domain'!$L$18</definedName>
    <definedName name="mgmt_internet_proxy_chosen">'Deploy Management Domain'!$L$14</definedName>
    <definedName name="mgmt_internet_proxy_email">'Value Reference Tables'!$L$37</definedName>
    <definedName name="mgmt_internet_proxy_password">'Value Reference Tables'!$L$38</definedName>
    <definedName name="mgmt_internet_proxy_port">'Value Reference Tables'!$O$56</definedName>
    <definedName name="mgmt_internet_proxy_type_chosen">'Deploy Management Domain'!$L$15</definedName>
    <definedName name="mgmt_mgmt_vm_folder">'Value Reference Tables'!$O$34</definedName>
    <definedName name="mgmt_nsx_default_operation_mode_chosen">'Deploy Management Domain'!$L$269</definedName>
    <definedName name="mgmt_nsx_operation_mode_chosen">'Deploy Management Domain'!$L$270</definedName>
    <definedName name="mgmt_nsx_overlay_network_chosen">'Deploy Management Domain'!$L$283</definedName>
    <definedName name="mgmt_nsx_overlay_transit_gateway_chosen">'Deploy Management Domain'!$L$53</definedName>
    <definedName name="mgmt_nsx_vm_folder">'Value Reference Tables'!$O$35</definedName>
    <definedName name="mgmt_nsxt_appliance_size_chosen">'Deploy Management Domain'!$L$330</definedName>
    <definedName name="mgmt_nsxt_appliance_size_result">Arkham!$X$67</definedName>
    <definedName name="mgmt_nsxt_en_admin_password">'Value Reference Tables'!$C$214</definedName>
    <definedName name="mgmt_nsxt_en_root_password">'Value Reference Tables'!$C$215</definedName>
    <definedName name="mgmt_nsxt_enable_edge_sync_chosen">'Deploy Management Domain'!$L$282</definedName>
    <definedName name="mgmt_nsxt_federation_chosen">'Configure Management Domain'!$B$17</definedName>
    <definedName name="mgmt_nsxt_federation_global_manager_name">'Value Reference Tables'!$O$23</definedName>
    <definedName name="mgmt_nsxt_federation_location_name">'Value Reference Tables'!$O$24</definedName>
    <definedName name="mgmt_nsxt_federation_result">'Configure Management Domain'!$D$17</definedName>
    <definedName name="mgmt_nsxt_global_mgr_anti_affinity_rule_name">'Value Reference Tables'!$O$21</definedName>
    <definedName name="mgmt_nsxt_global_mgr_certificate_id">'Value Reference Tables'!$O$22</definedName>
    <definedName name="mgmt_nsxt_global_mgr_cluster_id">'Value Reference Tables'!$O$20</definedName>
    <definedName name="mgmt_nsxt_global_mgr_vmca_signed_thumbprint">'Value Reference Tables'!$O$19</definedName>
    <definedName name="mgmt_nsxt_global_mgra_fqdn">'Value Reference Tables'!$C$64</definedName>
    <definedName name="mgmt_nsxt_global_mgra_hostname">'Value Reference Tables'!$C$45</definedName>
    <definedName name="mgmt_nsxt_global_mgra_ip">'Value Reference Tables'!$C$22</definedName>
    <definedName name="mgmt_nsxt_global_mgrb_fqdn">'Value Reference Tables'!$C$65</definedName>
    <definedName name="mgmt_nsxt_global_mgrb_hostname">'Value Reference Tables'!$C$46</definedName>
    <definedName name="mgmt_nsxt_global_mgrb_ip">'Value Reference Tables'!$C$23</definedName>
    <definedName name="mgmt_nsxt_global_mgrc_fqdn">'Value Reference Tables'!$C$66</definedName>
    <definedName name="mgmt_nsxt_global_mgrc_hostname">'Value Reference Tables'!$C$47</definedName>
    <definedName name="mgmt_nsxt_global_mgrc_ip">'Value Reference Tables'!$C$24</definedName>
    <definedName name="mgmt_nsxt_gm_fingerprint">'Value Reference Tables'!$O$26</definedName>
    <definedName name="mgmt_nsxt_gm_hostname">'Value Reference Tables'!$C$44</definedName>
    <definedName name="mgmt_nsxt_gm_vip_fqdn">'Value Reference Tables'!$C$63</definedName>
    <definedName name="mgmt_nsxt_gm_vip_ip">'Value Reference Tables'!$C$21</definedName>
    <definedName name="mgmt_nsxt_hostname">'Value Reference Tables'!$C$40</definedName>
    <definedName name="mgmt_nsxt_lm_fingerprint">'Value Reference Tables'!$O$25</definedName>
    <definedName name="mgmt_nsxt_mgr_formfactor">'Value Reference Tables'!$O$14</definedName>
    <definedName name="mgmt_nsxt_mgra_fqdn">'Value Reference Tables'!$C$60</definedName>
    <definedName name="mgmt_nsxt_mgra_hostname">'Value Reference Tables'!$C$41</definedName>
    <definedName name="mgmt_nsxt_mgra_ip">'Value Reference Tables'!$C$18</definedName>
    <definedName name="mgmt_nsxt_mgrb_fqdn">'Value Reference Tables'!$C$61</definedName>
    <definedName name="mgmt_nsxt_mgrb_hostname">'Value Reference Tables'!$C$42</definedName>
    <definedName name="mgmt_nsxt_mgrb_ip">'Value Reference Tables'!$C$19</definedName>
    <definedName name="mgmt_nsxt_mgrc_fqdn">'Value Reference Tables'!$C$62</definedName>
    <definedName name="mgmt_nsxt_mgrc_hostname">'Value Reference Tables'!$C$43</definedName>
    <definedName name="mgmt_nsxt_mgrc_ip">'Value Reference Tables'!$C$20</definedName>
    <definedName name="mgmt_nsxt_vip_fqdn">'Value Reference Tables'!$C$59</definedName>
    <definedName name="mgmt_nsxt_vip_ip">'Value Reference Tables'!$C$17</definedName>
    <definedName name="mgmt_nsxt_xreg_t1_name">'Value Reference Tables'!$O$27</definedName>
    <definedName name="mgmt_offline_depot_chosen">'Deploy Management Domain'!$L$9</definedName>
    <definedName name="mgmt_offline_depot_fqdn">'Value Reference Tables'!$O$58</definedName>
    <definedName name="mgmt_offline_depot_port">'Value Reference Tables'!$O$59</definedName>
    <definedName name="mgmt_principal_storage_chosen">'Deploy Management Domain'!$L$58</definedName>
    <definedName name="mgmt_recovery_lb_creation_method">'Value Reference Tables'!$U$60</definedName>
    <definedName name="mgmt_rtep_overlay_pool_end_ip">'Value Reference Tables - MR'!$F$178</definedName>
    <definedName name="mgmt_rtep_overlay_pool_start_ip">'Value Reference Tables - MR'!$F$177</definedName>
    <definedName name="mgmt_rwr_recovery_site_az1_mgmt_cidr">'Value Reference Tables'!$U$205</definedName>
    <definedName name="mgmt_rwr_vc_fqdn">'Value Reference Tables'!$U$187</definedName>
    <definedName name="mgmt_sddc_domain">'Value Reference Tables'!$O$8</definedName>
    <definedName name="mgmt_set_appliance_size_chosen">'Deploy Management Domain'!$L$321</definedName>
    <definedName name="mgmt_signed_certs_chosen">'Configure Management Domain'!$B$12</definedName>
    <definedName name="mgmt_signed_certs_result">'Configure Management Domain'!$D$12</definedName>
    <definedName name="mgmt_srm_admin_email">'Value Reference Tables'!$U$74</definedName>
    <definedName name="mgmt_srm_admin_password">'Value Reference Tables'!$U$71</definedName>
    <definedName name="mgmt_srm_database_password">'Value Reference Tables'!$U$72</definedName>
    <definedName name="mgmt_srm_days">'Value Reference Tables'!$U$79</definedName>
    <definedName name="mgmt_srm_fqdn">'Value Reference Tables'!$R$123</definedName>
    <definedName name="mgmt_srm_instances_per_day">'Value Reference Tables'!$U$78</definedName>
    <definedName name="mgmt_srm_ip">'Value Reference Tables'!$R$101</definedName>
    <definedName name="mgmt_srm_logs_rp">'Value Reference Tables'!$O$123</definedName>
    <definedName name="mgmt_srm_net_rp">'Value Reference Tables'!$O$122</definedName>
    <definedName name="mgmt_srm_p12_password">'Value Reference Tables'!$U$75</definedName>
    <definedName name="mgmt_srm_recovery_cluster">'Value Reference Tables'!$U$92</definedName>
    <definedName name="mgmt_srm_recovery_datastore">'Value Reference Tables'!$U$93</definedName>
    <definedName name="mgmt_srm_recovery_gateway">'Value Reference Tables'!$O$125</definedName>
    <definedName name="mgmt_srm_recovery_mask">'Value Reference Tables'!$O$126</definedName>
    <definedName name="mgmt_srm_recovery_nsx_ec_name">'Value Reference Tables'!$U$91</definedName>
    <definedName name="mgmt_srm_recovery_nsx_location">'Value Reference Tables'!$U$90</definedName>
    <definedName name="mgmt_srm_recovery_pg">'Value Reference Tables'!$O$124</definedName>
    <definedName name="mgmt_srm_recovery_sddc_manager_domain">'Value Reference Tables'!$U$89</definedName>
    <definedName name="mgmt_srm_recovery_sddc_manager_fqdn">'Value Reference Tables'!$U$48</definedName>
    <definedName name="mgmt_srm_recovery_sddc_manager_password">'Value Reference Tables'!$U$50</definedName>
    <definedName name="mgmt_srm_recovery_sddc_manager_username">'Value Reference Tables'!$U$49</definedName>
    <definedName name="mgmt_srm_recovery_t1_si_ip">'Value Reference Tables'!$R$102</definedName>
    <definedName name="mgmt_srm_recovery_vcenter_fqdn">'Value Reference Tables'!$U$86</definedName>
    <definedName name="mgmt_srm_recovery_vcenter_password">'Value Reference Tables'!$U$88</definedName>
    <definedName name="mgmt_srm_recovery_vcenter_username">'Value Reference Tables'!$U$87</definedName>
    <definedName name="mgmt_srm_root_password">'Value Reference Tables'!$U$70</definedName>
    <definedName name="mgmt_srm_rpo">'Value Reference Tables'!$U$77</definedName>
    <definedName name="mgmt_srm_site_name">'Value Reference Tables'!$U$73</definedName>
    <definedName name="mgmt_srm_sso_domain_membership">'Value Reference Tables'!$U$95</definedName>
    <definedName name="mgmt_srm_vm_folder">'Value Reference Tables'!$U$69</definedName>
    <definedName name="mgmt_srm_vm_size">'Value Reference Tables'!$U$76</definedName>
    <definedName name="mgmt_srm_vra_pg">'Value Reference Tables'!$U$84</definedName>
    <definedName name="mgmt_srm_vra_rp">'Value Reference Tables'!$U$85</definedName>
    <definedName name="mgmt_srm_vrops_pg">'Value Reference Tables'!$U$82</definedName>
    <definedName name="mgmt_srm_vrops_rp">'Value Reference Tables'!$U$83</definedName>
    <definedName name="mgmt_srm_vrslcm_wsa_pg">'Value Reference Tables'!$U$80</definedName>
    <definedName name="mgmt_srm_vrslcm_wsa_rp">'Value Reference Tables'!$U$81</definedName>
    <definedName name="mgmt_sso_domain">'Value Reference Tables'!$C$86</definedName>
    <definedName name="mgmt_sso_domain_username">'Value Reference Tables'!$C$87</definedName>
    <definedName name="mgmt_stretched_cluster_chosen">'Configure Management Domain'!$B$16</definedName>
    <definedName name="mgmt_stretched_cluster_result">'Configure Management Domain'!$D$16</definedName>
    <definedName name="mgmt_supervisor_chosen">'Configure Management Domain'!$B$14</definedName>
    <definedName name="mgmt_supervisor_result">'Configure Management Domain'!$D$14</definedName>
    <definedName name="mgmt_supvr_api_server_fqdn">'Value Reference Tables'!$C$280</definedName>
    <definedName name="mgmt_supvr_cp_storage_policy">'Value Reference Tables'!$C$265</definedName>
    <definedName name="mgmt_supvr_ctrl_plane_ha_chosen">'Configure Management Domain'!$D$246</definedName>
    <definedName name="mgmt_supvr_ctrl_plane_size_chosen">'Configure Management Domain'!$D$272</definedName>
    <definedName name="mgmt_supvr_ed_storage_policy">'Value Reference Tables'!$C$266</definedName>
    <definedName name="mgmt_supvr_ic_storage_policy">'Value Reference Tables'!$C$267</definedName>
    <definedName name="mgmt_supvr_ip_address_range">'Value Reference Tables'!$C$268</definedName>
    <definedName name="mgmt_supvr_ip_mode_chosen">'Configure Management Domain'!$D$254</definedName>
    <definedName name="mgmt_supvr_location_chosen">'Configure Management Domain'!$D$244</definedName>
    <definedName name="mgmt_supvr_mgmt_dns_server">'Value Reference Tables'!$C$269</definedName>
    <definedName name="mgmt_supvr_mgmt_dns_zones">'Value Reference Tables'!$C$270</definedName>
    <definedName name="mgmt_supvr_mgmt_ntp_server">'Value Reference Tables'!$C$271</definedName>
    <definedName name="mgmt_supvr_name">'Value Reference Tables'!$C$263</definedName>
    <definedName name="mgmt_supvr_networking_stack_chosen">'Configure Management Domain'!$D$242</definedName>
    <definedName name="mgmt_supvr_nsx_project">'Value Reference Tables'!$C$272</definedName>
    <definedName name="mgmt_supvr_vpc_connectivity_profile">'Value Reference Tables'!$C$273</definedName>
    <definedName name="mgmt_supvr_vpc_ext_ip_blocks_name">'Value Reference Tables'!$C$274</definedName>
    <definedName name="mgmt_supvr_vpc_priv_cidr">'Value Reference Tables'!$C$276</definedName>
    <definedName name="mgmt_supvr_vpc_priv_ip_blocks_name">'Value Reference Tables'!$C$275</definedName>
    <definedName name="mgmt_supvr_vpc_service_cidr">'Value Reference Tables'!$C$277</definedName>
    <definedName name="mgmt_supvr_wld_dns_server">'Value Reference Tables'!$C$278</definedName>
    <definedName name="mgmt_supvr_wld_ntp_server">'Value Reference Tables'!$C$279</definedName>
    <definedName name="mgmt_supvr_zone_name">'Value Reference Tables'!$C$264</definedName>
    <definedName name="mgmt_tier0_ha_chosen">'Configure Management Domain'!$D$157</definedName>
    <definedName name="mgmt_tier0_name">'Value Reference Tables'!$O$17</definedName>
    <definedName name="mgmt_tier1_name">'Value Reference Tables'!$O$18</definedName>
    <definedName name="mgmt_vc_fqdn">'Value Reference Tables'!$C$58</definedName>
    <definedName name="mgmt_vc_hostname">'Value Reference Tables'!$C$39</definedName>
    <definedName name="mgmt_vc_ip">'Value Reference Tables'!$C$16</definedName>
    <definedName name="mgmt_vc_size">'Value Reference Tables'!$O$11</definedName>
    <definedName name="mgmt_vc_storage_size">'Value Reference Tables'!$O$12</definedName>
    <definedName name="mgmt_vcenter_appliance_size_chosen">'Deploy Management Domain'!$L$327</definedName>
    <definedName name="mgmt_vcenter_appliance_size_result">Arkham!$X$65</definedName>
    <definedName name="mgmt_vcenter_storage_size_chosen">'Deploy Management Domain'!$L$328</definedName>
    <definedName name="mgmt_vcenter_storage_size_result">Arkham!$X$66</definedName>
    <definedName name="mgmt_vcf_auto_size_result">Arkham!$X$71</definedName>
    <definedName name="mgmt_vcf_installer_location_chosen">'Deploy Management Domain'!$L$291</definedName>
    <definedName name="mgmt_vcf_management_network_chosen">'Deploy Management Domain'!$L$46</definedName>
    <definedName name="mgmt_vcfms_size_result">Arkham!$X$70</definedName>
    <definedName name="mgmt_vcfops_appliance_size_chosen">'Deploy Management Domain'!$L$323</definedName>
    <definedName name="mgmt_vcfops_appliance_size_result">Arkham!$X$68</definedName>
    <definedName name="mgmt_vcfops_collector_size_chosen">'Deploy Management Domain'!$L$325</definedName>
    <definedName name="mgmt_vcfops_collector_size_result">Arkham!$X$69</definedName>
    <definedName name="mgmt_vna_ip_assignment_address_type_chosen">'Configure Management Domain'!$D$212</definedName>
    <definedName name="mgmt_vna_ip_assignment_chosen">'Configure Management Domain'!$D$213</definedName>
    <definedName name="mgmt_vna_rp_name">'Value Reference Tables'!$C$260</definedName>
    <definedName name="mgmt_vnaa_cidr">'Value Reference Tables'!$C$258</definedName>
    <definedName name="mgmt_vnaa_fqdn">'Value Reference Tables'!$C$256</definedName>
    <definedName name="mgmt_vnab_cidr">'Value Reference Tables'!$C$259</definedName>
    <definedName name="mgmt_vnab_fqdn">'Value Reference Tables'!$C$257</definedName>
    <definedName name="mgmt_vns_chosen">'Configure Management Domain'!$B$13</definedName>
    <definedName name="mgmt_vns_result">'Configure Management Domain'!$D$13</definedName>
    <definedName name="mgmt_vpc_ext_ip_blocks_cidr">'Value Reference Tables'!$C$247</definedName>
    <definedName name="mgmt_vpc_ext_ip_blocks_excluded_ips">'Value Reference Tables'!$C$248</definedName>
    <definedName name="mgmt_vpc_ext_ip_blocks_name">'Value Reference Tables'!$C$245</definedName>
    <definedName name="mgmt_vpc_ext_ip_blocks_reserved">'Value Reference Tables'!$C$249</definedName>
    <definedName name="mgmt_vpc_ext_ip_blocks_visability">'Value Reference Tables'!$C$246</definedName>
    <definedName name="mgmt_vpc_priv_ip_blocks_excluded_ips">'Value Reference Tables'!$C$253</definedName>
    <definedName name="mgmt_vpc_priv_ip_blocks_name">'Value Reference Tables'!$C$250</definedName>
    <definedName name="mgmt_vpc_priv_ip_blocks_reserved">'Value Reference Tables'!$C$254</definedName>
    <definedName name="mgmt_vpc_priv_ip_blocks_visability">'Value Reference Tables'!$C$251</definedName>
    <definedName name="mgmt_vpc_transit_gateway_ip_blocks_cidr">'Value Reference Tables'!$C$252</definedName>
    <definedName name="mgmt_vpc_vna_cluster_name">'Value Reference Tables'!$C$255</definedName>
    <definedName name="mgmt_vpc_vna_cluster_size_chosen">'Configure Management Domain'!$D$206</definedName>
    <definedName name="mgmt_vrms_admin_email">'Value Reference Tables'!$U$65</definedName>
    <definedName name="mgmt_vrms_admin_password">'Value Reference Tables'!$U$63</definedName>
    <definedName name="mgmt_vrms_hostname">'Value Reference Tables'!$R$112</definedName>
    <definedName name="mgmt_vrms_mgmt_ip">'Value Reference Tables'!$R$99</definedName>
    <definedName name="mgmt_vrms_p12_password">'Value Reference Tables'!$U$67</definedName>
    <definedName name="mgmt_vrms_pg">'Value Reference Tables'!$U$66</definedName>
    <definedName name="mgmt_vrms_recovery_replication_cidr">'Value Reference Tables'!$U$94</definedName>
    <definedName name="mgmt_vrms_root_password">'Value Reference Tables'!$U$62</definedName>
    <definedName name="mgmt_vrms_site_name">'Value Reference Tables'!$U$64</definedName>
    <definedName name="mgmt_vrms_vm_folder">'Value Reference Tables'!$U$61</definedName>
    <definedName name="mgmt_vrms_vrms_ip">'Value Reference Tables'!$R$100</definedName>
    <definedName name="mgmt_vsan_dit_rekey_type_chosen">'Deploy Management Domain'!$L$191</definedName>
    <definedName name="mgmt_witness_az_mgmt_mask">'Value Reference Tables'!$AA$8</definedName>
    <definedName name="mgmt_witness_cluster">'Value Reference Tables'!$C$191</definedName>
    <definedName name="mgmt_witness_dns1_ip">'Value Reference Tables'!$C$198</definedName>
    <definedName name="mgmt_witness_dns2_ip">'Value Reference Tables'!$C$199</definedName>
    <definedName name="mgmt_witness_fqdn">'Value Reference Tables'!$C$79</definedName>
    <definedName name="mgmt_witness_hostname">'Value Reference Tables'!$C$176</definedName>
    <definedName name="mgmt_witness_ip">'Value Reference Tables'!$L$176</definedName>
    <definedName name="mgmt_witness_mgmt_ip">'Value Reference Tables'!$C$197</definedName>
    <definedName name="mgmt_witness_mgmt_pg">'Value Reference Tables'!$X$16</definedName>
    <definedName name="mgmt_witness_ntp1_server">'Value Reference Tables'!$C$200</definedName>
    <definedName name="mgmt_witness_ntp2_server">'Value Reference Tables'!$C$201</definedName>
    <definedName name="mgmt_witness_root_password">'Value Reference Tables'!$L$34</definedName>
    <definedName name="mgmt_witness_sddc_domain">'Value Reference Tables'!$C$189</definedName>
    <definedName name="mgmt_witness_vc_fqdn">'Value Reference Tables'!$C$78</definedName>
    <definedName name="mgmt_witness_vcenter_fqdn">'Value Reference Tables'!$L$167</definedName>
    <definedName name="mgmt_witness_vcenter_hostname">'Value Reference Tables'!$C$175</definedName>
    <definedName name="mgmt_witness_vm_folder">'Value Reference Tables'!$C$192</definedName>
    <definedName name="mgmt_witness_vsan_datastore">'Value Reference Tables'!$C$190</definedName>
    <definedName name="mgmt_witness_zone_vc_fqdn">'Value Reference Tables'!$L$168</definedName>
    <definedName name="mgmt_witness_zone_vc_hostname">'Value Reference Tables'!$L$169</definedName>
    <definedName name="mgmt_witness_zone_vc_ip">'Value Reference Tables'!$C$196</definedName>
    <definedName name="mgmt_witnessaz_cidr">'Value Reference Tables'!$X$20</definedName>
    <definedName name="mgmt_witnessaz_gateway_ip">'Value Reference Tables'!$X$24</definedName>
    <definedName name="mgmt_witnessaz_mgmt_cidr">'Value Reference Tables'!$L$177</definedName>
    <definedName name="mgmt_witnessaz_mgmt_gateway_ip">'Value Reference Tables'!$L$178</definedName>
    <definedName name="mgmt_witnessaz_mgmt_mask">'Value Reference Tables'!$L$174</definedName>
    <definedName name="mgmt_witnessaz_mgmt_mtu">'Value Reference Tables'!$X$28</definedName>
    <definedName name="mgmt_witnessaz_mgmt_network">'Value Reference Tables'!$L$173</definedName>
    <definedName name="mgmt_witnessaz_mgmt_vlan">'Value Reference Tables'!$X$12</definedName>
    <definedName name="mgmt_witnessaz_mtu">'Value Reference Tables'!$L$170</definedName>
    <definedName name="mgmt_witnessaz_vlan">'Value Reference Tables'!$L$171</definedName>
    <definedName name="navigation_apply_signed_certs_mgmt_domain">'Configure Management Domain'!$B$31</definedName>
    <definedName name="navigation_apply_signed_certs_wld_domain">'Configure Workload Domain'!$B$9</definedName>
    <definedName name="navigation_avi_lb_mgmt_domain">'Configure Management Domain'!$B$275</definedName>
    <definedName name="navigation_avi_lb_wld_domain">'Configure Workload Domain'!$B$218</definedName>
    <definedName name="navigation_configure_sftp_mgmt_domain">'Configure Management Domain'!$B$19</definedName>
    <definedName name="navigation_mgmt_configure_auth">'Deploy Fleet Management Day-N'!$B$89</definedName>
    <definedName name="navigation_mgmt_supervisor">'Configure Management Domain'!$B$240</definedName>
    <definedName name="navigation_nsx_federation_for_management_domain">'Configure Management Domain'!$B$466</definedName>
    <definedName name="navigation_nsx_federation_for_wld_domain">'Configure Workload Domain'!$B$427</definedName>
    <definedName name="navigation_nsx_routing_mgmt_domain">'Configure Management Domain'!$B$87</definedName>
    <definedName name="navigation_nsx_routing_wld_domain">'Configure Workload Domain'!$B$30</definedName>
    <definedName name="navigation_site_protection_mgmt">'Site Protection &amp; DR'!$B$8</definedName>
    <definedName name="navigation_site_protection_solution_interop">'Site Protection &amp; DR'!$B$367</definedName>
    <definedName name="navigation_site_protection_wld">'Dumping Ground'!$B$217</definedName>
    <definedName name="navigation_stretched_cluster_mgmt_domain">'Configure Management Domain'!$B$291</definedName>
    <definedName name="navigation_stretched_cluster_wld_domain">'Configure Workload Domain'!$B$234</definedName>
    <definedName name="navigation_vcf_and_vvf_planning_tab">'VCF &amp; VVF Planning'!$A$1</definedName>
    <definedName name="navigation_wld_supervisor">'Configure Workload Domain'!$B$183</definedName>
    <definedName name="navlink_input_ca_values">'Configure Management Domain'!$B$58</definedName>
    <definedName name="non_first_domain_mgmt_only_viable">'Value Reference Tables'!$AA$56</definedName>
    <definedName name="non_first_domain_mgmt_vi_viable">'Value Reference Tables'!$AA$57</definedName>
    <definedName name="NSX_RTEP_Overlay">'Value Reference Tables - MR'!$R$110</definedName>
    <definedName name="nsx_sizing_limits">'Static Reference Tables'!$B$469:$D$473</definedName>
    <definedName name="nsxt_en_admin_password">'Value Reference Tables'!$L$20</definedName>
    <definedName name="nsxt_en_root_password">'Value Reference Tables'!$L$19</definedName>
    <definedName name="nsxt_gm_admin_password">'Value Reference Tables'!$L$22</definedName>
    <definedName name="nsxt_gm_audit_password">'Value Reference Tables'!$L$23</definedName>
    <definedName name="nsxt_gm_root_password">'Value Reference Tables'!$L$21</definedName>
    <definedName name="nsxt_lm_admin_password">'Value Reference Tables'!$L$17</definedName>
    <definedName name="nsxt_lm_audit_password">'Value Reference Tables'!$L$18</definedName>
    <definedName name="nsxt_lm_root_password">'Value Reference Tables'!$L$16</definedName>
    <definedName name="other_instance">'Value Reference Tables'!$AA$20</definedName>
    <definedName name="parent_ad_groups_ou">'Value Reference Tables'!$L$82</definedName>
    <definedName name="parent_ad_users_ou">'Value Reference Tables'!$L$87</definedName>
    <definedName name="parent_dns_zone">'Value Reference Tables'!$L$66</definedName>
    <definedName name="pnp_version_history">Arkham!$B$2</definedName>
    <definedName name="pnp_version_number">'Value Reference Tables'!$C$11</definedName>
    <definedName name="prefix_flt_shared_cidr">'Value Reference Tables'!$AA$42</definedName>
    <definedName name="prefix_mgmt_az1_cidr">'Value Reference Tables'!$AA$23</definedName>
    <definedName name="prefix_mgmt_az1_vlan">'Value Reference Tables'!$AA$22</definedName>
    <definedName name="prefix_mgmt_az2_cidr">'Value Reference Tables'!$AA$25</definedName>
    <definedName name="prefix_mgmt_az2_vlan">'Value Reference Tables'!$AA$24</definedName>
    <definedName name="prefix_mgmt_ipv6_cidr">'Value Reference Tables'!$AA$43</definedName>
    <definedName name="prefix_mgmt_tor_asn">'Value Reference Tables'!$AA$30</definedName>
    <definedName name="prefix_mgmt_witness_cidr">'Value Reference Tables'!$AA$29</definedName>
    <definedName name="prefix_mgmt_witness_vlan">'Value Reference Tables'!$AA$28</definedName>
    <definedName name="prefix_other_region_az1_cidr">'Value Reference Tables'!$AA$40</definedName>
    <definedName name="prefix_portable_component">'Value Reference Tables'!$AA$41</definedName>
    <definedName name="prefix_reg_cidr">'Value Reference Tables'!$AA$26</definedName>
    <definedName name="prefix_wld_az1_cidr">'Value Reference Tables'!$AA$32</definedName>
    <definedName name="prefix_wld_az1_rack_cidr">'Value Reference Tables - MR'!$AH$9</definedName>
    <definedName name="prefix_wld_az1_rack_vlan">'Value Reference Tables - MR'!$AH$7</definedName>
    <definedName name="prefix_wld_az1_vlan">'Value Reference Tables'!$AA$31</definedName>
    <definedName name="prefix_wld_az2_cidr">'Value Reference Tables'!$AA$35</definedName>
    <definedName name="prefix_wld_az2_rack_cidr">'Value Reference Tables - MR'!$AH$10</definedName>
    <definedName name="prefix_wld_az2_rack_vlan">'Value Reference Tables - MR'!$AH$8</definedName>
    <definedName name="prefix_wld_az2_vlan">'Value Reference Tables'!$AA$34</definedName>
    <definedName name="prefix_wld_k8s_cidr">'Value Reference Tables'!$AA$39</definedName>
    <definedName name="prefix_wld_tor_asn">'Value Reference Tables'!$AA$38</definedName>
    <definedName name="prefix_wld_witness_cidr">'Value Reference Tables'!$AA$37</definedName>
    <definedName name="prefix_wld_witness_vlan">'Value Reference Tables'!$AA$36</definedName>
    <definedName name="prefix_xreg_cidr">'Value Reference Tables'!$AA$27</definedName>
    <definedName name="prefix_xreg_vlan">'Value Reference Tables'!$AA$44</definedName>
    <definedName name="protected_mgmt_result">'Value Reference Tables'!$AA$51</definedName>
    <definedName name="protected_wld_result">'Value Reference Tables'!$AA$53</definedName>
    <definedName name="recovery_mgmt_result">'Value Reference Tables'!$AA$52</definedName>
    <definedName name="region_ad_child_fqdn">'Value Reference Tables'!$L$73</definedName>
    <definedName name="region_ad_child_netbios">'Value Reference Tables'!$L$78</definedName>
    <definedName name="region_ad_parent_fqdn">'Value Reference Tables'!$L$72</definedName>
    <definedName name="region_ad_parent_netbios">'Value Reference Tables'!$L$77</definedName>
    <definedName name="region_dns1_ip">'Value Reference Tables'!$L$51</definedName>
    <definedName name="region_dns2_ip">'Value Reference Tables'!$L$52</definedName>
    <definedName name="region_ntp_servers_array">'Value Reference Tables'!$L$44:$L$45</definedName>
    <definedName name="region_ntp1_server">'Value Reference Tables'!$L$44</definedName>
    <definedName name="region_ntp2_server">'Value Reference Tables'!$L$45</definedName>
    <definedName name="region_vrli_nodea_fqdn">'Value Reference Tables'!$R$69</definedName>
    <definedName name="region_vrli_nodea_hostname">'Value Reference Tables'!$R$62</definedName>
    <definedName name="region_vrli_nodea_ip">'Value Reference Tables'!$R$55</definedName>
    <definedName name="region_vrli_nodeb_fqdn">'Value Reference Tables'!$R$70</definedName>
    <definedName name="region_vrli_nodeb_hostname">'Value Reference Tables'!$R$63</definedName>
    <definedName name="region_vrli_nodeb_ip">'Value Reference Tables'!$R$56</definedName>
    <definedName name="region_vrli_nodec_fqdn">'Value Reference Tables'!$R$71</definedName>
    <definedName name="region_vrli_nodec_hostname">'Value Reference Tables'!$R$64</definedName>
    <definedName name="region_vrli_nodec_ip">'Value Reference Tables'!$R$57</definedName>
    <definedName name="region_vrli_virtual_fqdn">'Value Reference Tables'!$R$68</definedName>
    <definedName name="region_vrli_virtual_hostname">'Value Reference Tables'!$R$61</definedName>
    <definedName name="region_vrli_virtual_ip">'Value Reference Tables'!$R$54</definedName>
    <definedName name="region_vrni_nodea_hostname">'Value Reference Tables'!$R$138</definedName>
    <definedName name="region_vrni_nodea_ip">'Value Reference Tables'!$R$133</definedName>
    <definedName name="rwr_child_dns_zone">'Value Reference Tables'!$U$195</definedName>
    <definedName name="rwr_chosen">'Management Domain Sizing'!$B$83</definedName>
    <definedName name="rwr_datacenter">'Value Reference Tables'!$U$199</definedName>
    <definedName name="rwr_result">'Management Domain Sizing'!$I$83</definedName>
    <definedName name="rwr_sso_domain_name">'Value Reference Tables'!$U$193</definedName>
    <definedName name="rwr_vlr_replication_password">'Value Reference Tables'!$U$196</definedName>
    <definedName name="rwr_vrms_pg">'Value Reference Tables'!$U$197</definedName>
    <definedName name="sample_administrator_vsphere_local_password">'Deploy Management Domain'!$K$308</definedName>
    <definedName name="sample_air_GPU_network_operator_namespace">'Private AI Ready Infrastructure'!$C$82</definedName>
    <definedName name="sample_air_GPU_operator_namespace">'Private AI Ready Infrastructure'!$C$77</definedName>
    <definedName name="sample_air_GPU_VM_class">'Private AI Ready Infrastructure'!$C$59</definedName>
    <definedName name="sample_air_license">'Private AI Ready Infrastructure'!$C$9</definedName>
    <definedName name="sample_avilb_root_password">'Configure Management Domain'!$C$283</definedName>
    <definedName name="sample_ca_administrator_password">'Configure Management Domain'!$C$36</definedName>
    <definedName name="sample_ca_administrator_username">'Configure Management Domain'!$C$35</definedName>
    <definedName name="sample_ca_algorithm">'Configure Management Domain'!$C$59</definedName>
    <definedName name="sample_ca_country">'Configure Management Domain'!$C$62</definedName>
    <definedName name="sample_ca_email_address">'Configure Management Domain'!$C$65</definedName>
    <definedName name="sample_ca_key_size">'Configure Management Domain'!$C$66</definedName>
    <definedName name="sample_ca_locality">'Configure Management Domain'!$C$64</definedName>
    <definedName name="sample_ca_organization">'Configure Management Domain'!$C$61</definedName>
    <definedName name="sample_ca_organization_unit">'Configure Management Domain'!$C$60</definedName>
    <definedName name="sample_ca_state">'Configure Management Domain'!$C$63</definedName>
    <definedName name="sample_ca_template_name">'Configure Management Domain'!$C$46</definedName>
    <definedName name="sample_cbr_aria_logs_key">'Cloud-Based Ransomware Recovery'!$C$39</definedName>
    <definedName name="sample_cbr_aria_logs_url">'Cloud-Based Ransomware Recovery'!$C$38</definedName>
    <definedName name="sample_cbr_firewall_group">'Cloud-Based Ransomware Recovery'!$C$26</definedName>
    <definedName name="sample_cbr_firewall_ip_addresses">'Cloud-Based Ransomware Recovery'!$C$27</definedName>
    <definedName name="sample_cbr_firewall_rule_vcenter">'Cloud-Based Ransomware Recovery'!$C$25</definedName>
    <definedName name="sample_cbr_recovery_host_count">'Cloud-Based Ransomware Recovery'!$C$21</definedName>
    <definedName name="sample_cbr_recovery_host_type">'Cloud-Based Ransomware Recovery'!$C$20</definedName>
    <definedName name="sample_cbr_recovery_management_subnet">'Cloud-Based Ransomware Recovery'!$C$24</definedName>
    <definedName name="sample_cbr_recovery_region">'Cloud-Based Ransomware Recovery'!$C$19</definedName>
    <definedName name="sample_cbr_recovery_sddc_name">'Cloud-Based Ransomware Recovery'!$C$18</definedName>
    <definedName name="sample_cbr_recovery_subnet">'Cloud-Based Ransomware Recovery'!$C$23</definedName>
    <definedName name="sample_cbr_recovery_vpc">'Cloud-Based Ransomware Recovery'!$C$22</definedName>
    <definedName name="sample_cbr_vcdr_anti_affinity">'Cloud-Based Ransomware Recovery'!$C$35</definedName>
    <definedName name="sample_cbr_vcdr_cdp1_hostname">'Cloud-Based Ransomware Recovery'!$D$9</definedName>
    <definedName name="sample_cbr_vcdr_cdp1_ip">'Cloud-Based Ransomware Recovery'!$F$9</definedName>
    <definedName name="sample_cbr_vcdr_cdp2_hostname">'Cloud-Based Ransomware Recovery'!$D$10</definedName>
    <definedName name="sample_cbr_vcdr_cdp2_ip">'Cloud-Based Ransomware Recovery'!$F$10</definedName>
    <definedName name="sample_cbr_vcdr_cloud_file_system">'Cloud-Based Ransomware Recovery'!$C$28</definedName>
    <definedName name="sample_cbr_vcdr_email_recipient">'Cloud-Based Ransomware Recovery'!$C$36</definedName>
    <definedName name="sample_cbr_vcdr_email_sender">'Cloud-Based Ransomware Recovery'!$C$37</definedName>
    <definedName name="sample_cbr_vcdr_label">'Cloud-Based Ransomware Recovery'!$C$34</definedName>
    <definedName name="sample_cbr_vcdr_orchestrator_fqdn">'Cloud-Based Ransomware Recovery'!$C$32</definedName>
    <definedName name="sample_cbr_vcdr_ova">'Cloud-Based Ransomware Recovery'!$C$31</definedName>
    <definedName name="sample_cbr_vcdr_passcode">'Cloud-Based Ransomware Recovery'!$C$33</definedName>
    <definedName name="sample_cbr_vcdr_site_name">'Cloud-Based Ransomware Recovery'!$C$29</definedName>
    <definedName name="sample_cbr_vcdr_timezone">'Cloud-Based Ransomware Recovery'!$C$30</definedName>
    <definedName name="sample_cbr_vcdr_vsphere_role">'Cloud-Based Ransomware Recovery'!$C$14</definedName>
    <definedName name="sample_cbr_vm_folder">'Cloud-Based Ransomware Recovery'!$C$17</definedName>
    <definedName name="sample_cbw_hcx_cdp_fqdn">'Cross Cloud Mobility'!$C$112</definedName>
    <definedName name="sample_ccm_aws_admin_password">'Cross Cloud Mobility'!$C$37</definedName>
    <definedName name="sample_ccm_aws_admin_ssouser">'Cross Cloud Mobility'!$C$36</definedName>
    <definedName name="sample_ccm_aws_host_count">'Cross Cloud Mobility'!$C$23</definedName>
    <definedName name="sample_ccm_aws_host_type">'Cross Cloud Mobility'!$C$22</definedName>
    <definedName name="sample_ccm_aws_management_subnet">'Cross Cloud Mobility'!$C$26</definedName>
    <definedName name="sample_ccm_aws_region">'Cross Cloud Mobility'!$C$21</definedName>
    <definedName name="sample_ccm_aws_sddc_name">'Cross Cloud Mobility'!$C$20</definedName>
    <definedName name="sample_ccm_aws_subnet">'Cross Cloud Mobility'!$C$25</definedName>
    <definedName name="sample_ccm_aws_vpc">'Cross Cloud Mobility'!$C$24</definedName>
    <definedName name="sample_ccm_firewall_group">'Cross Cloud Mobility'!$C$29</definedName>
    <definedName name="sample_ccm_firewall_ip_addresses">'Cross Cloud Mobility'!$C$30</definedName>
    <definedName name="sample_ccm_firewall_rule_hcx">'Cross Cloud Mobility'!$C$28</definedName>
    <definedName name="sample_ccm_firewall_rule_vcenter">'Cross Cloud Mobility'!$C$27</definedName>
    <definedName name="sample_ccm_hcx_admin_password">'Cross Cloud Mobility'!$C$33</definedName>
    <definedName name="sample_ccm_hcx_cdp_hostname">'Cross Cloud Mobility'!$D$9</definedName>
    <definedName name="sample_ccm_hcx_cdp_ip">'Cross Cloud Mobility'!$F$9</definedName>
    <definedName name="sample_ccm_hcx_compute_profile">'Cross Cloud Mobility'!$C$38</definedName>
    <definedName name="sample_ccm_hcx_dc_location">'Cross Cloud Mobility'!$C$32</definedName>
    <definedName name="sample_ccm_hcx_license">'Cross Cloud Mobility'!$C$31</definedName>
    <definedName name="sample_ccm_hcx_mgmt_network_ip_range">'Cross Cloud Mobility'!$D$11</definedName>
    <definedName name="sample_ccm_hcx_remote_url">'Cross Cloud Mobility'!$C$35</definedName>
    <definedName name="sample_ccm_hcx_resource_pool">'Cross Cloud Mobility'!$C$19</definedName>
    <definedName name="sample_ccm_hcx_root_password">'Cross Cloud Mobility'!$C$34</definedName>
    <definedName name="sample_ccm_hcx_service_mesh">'Cross Cloud Mobility'!$C$39</definedName>
    <definedName name="sample_ccm_hcx_vm_folder">'Cross Cloud Mobility'!$C$18</definedName>
    <definedName name="sample_ccm_hcx_vmotion_network_ip_range">'Cross Cloud Mobility'!$D$12</definedName>
    <definedName name="sample_ccm_hcx_vsphere_role">'Cross Cloud Mobility'!$C$16</definedName>
    <definedName name="sample_ccm_vm_folder">'Cross Cloud Mobility'!$C$17</definedName>
    <definedName name="sample_certificate_authority_fqdn">'Configure Management Domain'!$C$34</definedName>
    <definedName name="sample_certificate_authority_name">'Configure Management Domain'!$C$68</definedName>
    <definedName name="sample_child_ad_groups_ou">'Active Directory Inputs'!$D$11</definedName>
    <definedName name="sample_child_ad_users_ou">'Active Directory Inputs'!$F$11</definedName>
    <definedName name="sample_child_dns_zone">Arkham!$B$11</definedName>
    <definedName name="sample_child_svc_nsx_ad_password">'Active Directory Inputs'!$F$19</definedName>
    <definedName name="sample_child_svc_nsx_ad_user">'Active Directory Inputs'!$D$19</definedName>
    <definedName name="sample_child_svc_vsphere_ad_password">'Active Directory Inputs'!$F$18</definedName>
    <definedName name="sample_child_svc_vsphere_ad_user">'Active Directory Inputs'!$D$18</definedName>
    <definedName name="sample_cluster_az1_host_overlay_cidr">'Deploy Cluster'!$C$248</definedName>
    <definedName name="sample_cluster_az1_host_overlay_gateway_ip">'Deploy Cluster'!$C$251</definedName>
    <definedName name="sample_cluster_az1_host_overlay_network_pool_description">'Deploy Cluster'!$C$247</definedName>
    <definedName name="sample_cluster_az1_host_overlay_network_pool_name">'Deploy Cluster'!$C$246</definedName>
    <definedName name="sample_cluster_az1_host_overlay_network_profile_name">'Deploy Cluster'!$C$254</definedName>
    <definedName name="sample_cluster_az1_host_overlay_pool_end_ip">'Deploy Cluster'!$C$250</definedName>
    <definedName name="sample_cluster_az1_host_overlay_pool_start_ip">'Deploy Cluster'!$C$249</definedName>
    <definedName name="sample_cluster_az1_host_overlay_uplink_profile_name">'Deploy Cluster'!$C$258</definedName>
    <definedName name="sample_cluster_az1_host_overlay_vlan">'Deploy Cluster'!$C$243</definedName>
    <definedName name="sample_cluster_az1_host1_fqdn">'Deploy Cluster'!$C$96</definedName>
    <definedName name="sample_cluster_az1_host1_mgmt_ip">'Deploy Cluster'!$C$29</definedName>
    <definedName name="sample_cluster_az1_host10_fqdn">'Deploy Cluster'!$C$105</definedName>
    <definedName name="sample_cluster_az1_host10_mgmt_ip">'Deploy Cluster'!$C$38</definedName>
    <definedName name="sample_cluster_az1_host11_fqdn">'Deploy Cluster'!$C$106</definedName>
    <definedName name="sample_cluster_az1_host11_mgmt_ip">'Deploy Cluster'!$C$39</definedName>
    <definedName name="sample_cluster_az1_host12_fqdn">'Deploy Cluster'!$C$107</definedName>
    <definedName name="sample_cluster_az1_host12_mgmt_ip">'Deploy Cluster'!$C$40</definedName>
    <definedName name="sample_cluster_az1_host13_fqdn">'Deploy Cluster'!$C$108</definedName>
    <definedName name="sample_cluster_az1_host13_mgmt_ip">'Deploy Cluster'!$C$41</definedName>
    <definedName name="sample_cluster_az1_host14_fqdn">'Deploy Cluster'!$C$109</definedName>
    <definedName name="sample_cluster_az1_host14_mgmt_ip">'Deploy Cluster'!$C$42</definedName>
    <definedName name="sample_cluster_az1_host15_fqdn">'Deploy Cluster'!$C$110</definedName>
    <definedName name="sample_cluster_az1_host15_mgmt_ip">'Deploy Cluster'!$C$43</definedName>
    <definedName name="sample_cluster_az1_host16_fqdn">'Deploy Cluster'!$C$111</definedName>
    <definedName name="sample_cluster_az1_host16_mgmt_ip">'Deploy Cluster'!$C$44</definedName>
    <definedName name="sample_cluster_az1_host2_fqdn">'Deploy Cluster'!$C$97</definedName>
    <definedName name="sample_cluster_az1_host2_mgmt_ip">'Deploy Cluster'!$C$30</definedName>
    <definedName name="sample_cluster_az1_host3_fqdn">'Deploy Cluster'!$C$98</definedName>
    <definedName name="sample_cluster_az1_host3_mgmt_ip">'Deploy Cluster'!$C$31</definedName>
    <definedName name="sample_cluster_az1_host4_fqdn">'Deploy Cluster'!$C$99</definedName>
    <definedName name="sample_cluster_az1_host4_mgmt_ip">'Deploy Cluster'!$C$32</definedName>
    <definedName name="sample_cluster_az1_host5_fqdn">'Deploy Cluster'!$C$100</definedName>
    <definedName name="sample_cluster_az1_host5_mgmt_ip">'Deploy Cluster'!$C$33</definedName>
    <definedName name="sample_cluster_az1_host6_fqdn">'Deploy Cluster'!$C$101</definedName>
    <definedName name="sample_cluster_az1_host6_mgmt_ip">'Deploy Cluster'!$C$34</definedName>
    <definedName name="sample_cluster_az1_host7_fqdn">'Deploy Cluster'!$C$102</definedName>
    <definedName name="sample_cluster_az1_host7_mgmt_ip">'Deploy Cluster'!$C$35</definedName>
    <definedName name="sample_cluster_az1_host8_fqdn">'Deploy Cluster'!$C$103</definedName>
    <definedName name="sample_cluster_az1_host8_mgmt_ip">'Deploy Cluster'!$C$36</definedName>
    <definedName name="sample_cluster_az1_host9_fqdn">'Deploy Cluster'!$C$104</definedName>
    <definedName name="sample_cluster_az1_host9_mgmt_ip">'Deploy Cluster'!$C$37</definedName>
    <definedName name="sample_cluster_az1_mgmt_cidr">'Deploy Cluster'!$C$26</definedName>
    <definedName name="sample_cluster_az1_mgmt_gateway_ip">'Deploy Cluster'!$C$25</definedName>
    <definedName name="sample_cluster_az1_mgmt_mtu">'Deploy Cluster'!$C$27</definedName>
    <definedName name="sample_cluster_az1_mgmt_pg">'Deploy Cluster'!$C$212</definedName>
    <definedName name="sample_cluster_az1_mgmt_vlan">'Deploy Cluster'!$C$24</definedName>
    <definedName name="sample_cluster_az1_mgmt_vm_pg">'Deploy Cluster'!$C$217</definedName>
    <definedName name="sample_cluster_az1_nsx_uplink_count">'Deploy Cluster'!$C$255</definedName>
    <definedName name="sample_cluster_az1_nsx_uplink1">'Deploy Cluster'!$C$256</definedName>
    <definedName name="sample_cluster_az1_nsx_uplink1_active">'Deploy Cluster'!$C$260</definedName>
    <definedName name="sample_cluster_az1_nsx_uplink2">'Deploy Cluster'!$C$257</definedName>
    <definedName name="sample_cluster_az1_nsx_uplink2_active">'Deploy Cluster'!$C$261</definedName>
    <definedName name="sample_cluster_az1_pool_name">'Deploy Cluster'!$C$48</definedName>
    <definedName name="sample_cluster_az1_principal_storage_gateway_cidr">'Deploy Cluster'!$C$65</definedName>
    <definedName name="sample_cluster_az1_principal_storage_mtu">'Deploy Cluster'!$C$63</definedName>
    <definedName name="sample_cluster_az1_principal_storage_pg">'Deploy Cluster'!$C$227</definedName>
    <definedName name="sample_cluster_az1_principal_storage_pool_end_ip">'Deploy Cluster'!$C$68</definedName>
    <definedName name="sample_cluster_az1_principal_storage_pool_start_ip">'Deploy Cluster'!$C$67</definedName>
    <definedName name="sample_cluster_az1_principal_storage_vlan">'Deploy Cluster'!$C$62</definedName>
    <definedName name="sample_cluster_az1_secondary_storage_gateway_cidr">'Deploy Cluster'!$C$76</definedName>
    <definedName name="sample_cluster_az1_secondary_storage_mtu">'Deploy Cluster'!$C$74</definedName>
    <definedName name="sample_cluster_az1_secondary_storage_pool_end_ip">'Deploy Cluster'!$C$79</definedName>
    <definedName name="sample_cluster_az1_secondary_storage_pool_start_ip">'Deploy Cluster'!$C$78</definedName>
    <definedName name="sample_cluster_az1_secondary_storage_vlan">'Deploy Cluster'!$C$73</definedName>
    <definedName name="sample_cluster_az1_storage_cluster_gateway_cidr">'Deploy Cluster'!$C$87</definedName>
    <definedName name="sample_cluster_az1_storage_cluster_mtu">'Deploy Cluster'!$C$85</definedName>
    <definedName name="sample_cluster_az1_storage_cluster_pool_end_ip">'Deploy Cluster'!$C$90</definedName>
    <definedName name="sample_cluster_az1_storage_cluster_pool_start_ip">'Deploy Cluster'!$C$89</definedName>
    <definedName name="sample_cluster_az1_storage_cluster_vlan">'Deploy Cluster'!$C$84</definedName>
    <definedName name="sample_cluster_az1_vmotion_gateway_cidr">'Deploy Cluster'!$C$54</definedName>
    <definedName name="sample_cluster_az1_vmotion_mtu">'Deploy Cluster'!$C$52</definedName>
    <definedName name="sample_cluster_az1_vmotion_pg">'Deploy Cluster'!$C$222</definedName>
    <definedName name="sample_cluster_az1_vmotion_pool_end_ip">'Deploy Cluster'!$C$57</definedName>
    <definedName name="sample_cluster_az1_vmotion_pool_start_ip">'Deploy Cluster'!$C$56</definedName>
    <definedName name="sample_cluster_az1_vmotion_vlan">'Deploy Cluster'!$C$51</definedName>
    <definedName name="sample_cluster_az1_vsan_storage_client_pg">'Deploy Cluster'!$C$232</definedName>
    <definedName name="sample_cluster_az2_host_overlay_cidr">'Deploy Cluster'!$C$422</definedName>
    <definedName name="sample_cluster_az2_host_overlay_gateway_ip">'Deploy Cluster'!$C$423</definedName>
    <definedName name="sample_cluster_az2_host_overlay_gateway_mtu">'Deploy Cluster'!$C$424</definedName>
    <definedName name="sample_cluster_az2_host_overlay_network_pool_name">'Deploy Cluster'!$C$419</definedName>
    <definedName name="sample_cluster_az2_host_overlay_network_profile_name">'Deploy Cluster'!$C$417</definedName>
    <definedName name="sample_cluster_az2_host_overlay_pool_end_ip">'Deploy Cluster'!$C$426</definedName>
    <definedName name="sample_cluster_az2_host_overlay_pool_start_ip">'Deploy Cluster'!$C$425</definedName>
    <definedName name="sample_cluster_az2_host_overlay_uplink_profile_name">'Deploy Cluster'!$C$420</definedName>
    <definedName name="sample_cluster_az2_host_overlay_vlan">'Deploy Cluster'!$C$421</definedName>
    <definedName name="sample_cluster_az2_host1_fqdn">'Deploy Cluster'!$C$329</definedName>
    <definedName name="sample_cluster_az2_host1_mgmt_ip">'Deploy Cluster'!$C$273</definedName>
    <definedName name="sample_cluster_az2_host10_fqdn">'Deploy Cluster'!$C$338</definedName>
    <definedName name="sample_cluster_az2_host10_mgmt_ip">'Deploy Cluster'!$C$282</definedName>
    <definedName name="sample_cluster_az2_host11_fqdn">'Deploy Cluster'!$C$339</definedName>
    <definedName name="sample_cluster_az2_host11_mgmt_ip">'Deploy Cluster'!$C$283</definedName>
    <definedName name="sample_cluster_az2_host12_fqdn">'Deploy Cluster'!$C$340</definedName>
    <definedName name="sample_cluster_az2_host12_mgmt_ip">'Deploy Cluster'!$C$284</definedName>
    <definedName name="sample_cluster_az2_host13_fqdn">'Deploy Cluster'!$C$341</definedName>
    <definedName name="sample_cluster_az2_host13_mgmt_ip">'Deploy Cluster'!$C$285</definedName>
    <definedName name="sample_cluster_az2_host14_fqdn">'Deploy Cluster'!$C$342</definedName>
    <definedName name="sample_cluster_az2_host14_mgmt_ip">'Deploy Cluster'!$C$286</definedName>
    <definedName name="sample_cluster_az2_host15_fqdn">'Deploy Cluster'!$C$343</definedName>
    <definedName name="sample_cluster_az2_host15_mgmt_ip">'Deploy Cluster'!$C$287</definedName>
    <definedName name="sample_cluster_az2_host16_fqdn">'Deploy Cluster'!$C$344</definedName>
    <definedName name="sample_cluster_az2_host16_mgmt_ip">'Deploy Cluster'!$C$288</definedName>
    <definedName name="sample_cluster_az2_host2_fqdn">'Deploy Cluster'!$C$330</definedName>
    <definedName name="sample_cluster_az2_host2_mgmt_ip">'Deploy Cluster'!$C$274</definedName>
    <definedName name="sample_cluster_az2_host3_fqdn">'Deploy Cluster'!$C$331</definedName>
    <definedName name="sample_cluster_az2_host3_mgmt_ip">'Deploy Cluster'!$C$275</definedName>
    <definedName name="sample_cluster_az2_host4_fqdn">'Deploy Cluster'!$C$332</definedName>
    <definedName name="sample_cluster_az2_host4_mgmt_ip">'Deploy Cluster'!$C$276</definedName>
    <definedName name="sample_cluster_az2_host5_fqdn">'Deploy Cluster'!$C$333</definedName>
    <definedName name="sample_cluster_az2_host5_mgmt_ip">'Deploy Cluster'!$C$277</definedName>
    <definedName name="sample_cluster_az2_host6_fqdn">'Deploy Cluster'!$C$334</definedName>
    <definedName name="sample_cluster_az2_host6_mgmt_ip">'Deploy Cluster'!$C$278</definedName>
    <definedName name="sample_cluster_az2_host7_fqdn">'Deploy Cluster'!$C$335</definedName>
    <definedName name="sample_cluster_az2_host7_mgmt_ip">'Deploy Cluster'!$C$279</definedName>
    <definedName name="sample_cluster_az2_host8_fqdn">'Deploy Cluster'!$C$336</definedName>
    <definedName name="sample_cluster_az2_host8_mgmt_ip">'Deploy Cluster'!$C$280</definedName>
    <definedName name="sample_cluster_az2_host9_fqdn">'Deploy Cluster'!$C$337</definedName>
    <definedName name="sample_cluster_az2_host9_mgmt_ip">'Deploy Cluster'!$C$281</definedName>
    <definedName name="sample_cluster_az2_mgmt_cidr">'Deploy Cluster'!$C$270</definedName>
    <definedName name="sample_cluster_az2_mgmt_gateway_ip">'Deploy Cluster'!$C$269</definedName>
    <definedName name="sample_cluster_az2_mgmt_mtu">'Deploy Cluster'!$C$271</definedName>
    <definedName name="sample_cluster_az2_mgmt_vlan">'Deploy Cluster'!$C$268</definedName>
    <definedName name="sample_cluster_az2_pool_name">'Deploy Cluster'!$C$293</definedName>
    <definedName name="sample_cluster_az2_principal_storage_gateway_ip">'Deploy Cluster'!$C$307</definedName>
    <definedName name="sample_cluster_az2_principal_storage_mask">'Deploy Cluster'!$C$306</definedName>
    <definedName name="sample_cluster_az2_principal_storage_mtu">'Deploy Cluster'!$C$304</definedName>
    <definedName name="sample_cluster_az2_principal_storage_network">'Deploy Cluster'!$C$305</definedName>
    <definedName name="sample_cluster_az2_principal_storage_pool_end_ip">'Deploy Cluster'!$C$309</definedName>
    <definedName name="sample_cluster_az2_principal_storage_pool_start_ip">'Deploy Cluster'!$C$308</definedName>
    <definedName name="sample_cluster_az2_principal_storage_vlan">'Deploy Cluster'!$C$303</definedName>
    <definedName name="sample_cluster_az2_secondary_storage_gateway_ip">'Deploy Cluster'!$C$315</definedName>
    <definedName name="sample_cluster_az2_secondary_storage_mask">'Deploy Cluster'!$C$314</definedName>
    <definedName name="sample_cluster_az2_secondary_storage_mtu">'Deploy Cluster'!$C$312</definedName>
    <definedName name="sample_cluster_az2_secondary_storage_network">'Deploy Cluster'!$C$313</definedName>
    <definedName name="sample_cluster_az2_secondary_storage_pool_end_ip">'Deploy Cluster'!$C$317</definedName>
    <definedName name="sample_cluster_az2_secondary_storage_pool_start_ip">'Deploy Cluster'!$C$316</definedName>
    <definedName name="sample_cluster_az2_secondary_storage_vlan">'Deploy Cluster'!$C$311</definedName>
    <definedName name="sample_cluster_az2_storage_cluster_gateway_ip">'Deploy Cluster'!$C$323</definedName>
    <definedName name="sample_cluster_az2_storage_cluster_mask">'Deploy Cluster'!$C$322</definedName>
    <definedName name="sample_cluster_az2_storage_cluster_mtu">'Deploy Cluster'!$C$320</definedName>
    <definedName name="sample_cluster_az2_storage_cluster_network">'Deploy Cluster'!$C$321</definedName>
    <definedName name="sample_cluster_az2_storage_cluster_pool_end_ip">'Deploy Cluster'!$C$325</definedName>
    <definedName name="sample_cluster_az2_storage_cluster_pool_start_ip">'Deploy Cluster'!$C$324</definedName>
    <definedName name="sample_cluster_az2_storage_cluster_vlan">'Deploy Cluster'!$C$319</definedName>
    <definedName name="sample_cluster_az2_tor1_peer_asn">'Deploy Cluster'!$C$444</definedName>
    <definedName name="sample_cluster_az2_tor1_peer_ip">'Deploy Cluster'!$C$443</definedName>
    <definedName name="sample_cluster_az2_tor2_peer_asn">'Deploy Cluster'!$C$451</definedName>
    <definedName name="sample_cluster_az2_tor2_peer_ip">'Deploy Cluster'!$C$448</definedName>
    <definedName name="sample_cluster_az2_vmotion_gateway_ip">'Deploy Cluster'!$C$299</definedName>
    <definedName name="sample_cluster_az2_vmotion_mask">'Deploy Cluster'!$C$298</definedName>
    <definedName name="sample_cluster_az2_vmotion_mtu">'Deploy Cluster'!$C$296</definedName>
    <definedName name="sample_cluster_az2_vmotion_network">'Deploy Cluster'!$C$297</definedName>
    <definedName name="sample_cluster_az2_vmotion_pool_end_ip">'Deploy Cluster'!$C$301</definedName>
    <definedName name="sample_cluster_az2_vmotion_pool_start_ip">'Deploy Cluster'!$C$300</definedName>
    <definedName name="sample_cluster_az2_vmotion_vlan">'Deploy Cluster'!$C$295</definedName>
    <definedName name="sample_cluster_cluster_sddc_id">'Deploy Cluster'!$C$430</definedName>
    <definedName name="sample_cluster_datacenter">'Deploy Cluster'!$C$382</definedName>
    <definedName name="sample_cluster_domain_name">'Deploy Cluster'!$C$19</definedName>
    <definedName name="sample_cluster_esx_root_password">'Deploy Cluster'!$C$117</definedName>
    <definedName name="sample_cluster_esx_root_username">'Deploy Cluster'!$C$116</definedName>
    <definedName name="sample_cluster_host_overlay_transportzone">'Deploy Cluster'!$C$242</definedName>
    <definedName name="sample_cluster_image_name">'Deploy Cluster'!$C$134</definedName>
    <definedName name="sample_cluster_name">'Deploy Cluster'!$C$129</definedName>
    <definedName name="sample_cluster_nfs_datastore_name">'Deploy Cluster'!$C$146</definedName>
    <definedName name="sample_cluster_nfs_server_address">'Deploy Cluster'!$C$148</definedName>
    <definedName name="sample_cluster_nfs_share_path">'Deploy Cluster'!$C$147</definedName>
    <definedName name="sample_cluster_nsx_vlan_transport_zone_name">'Deploy Cluster'!$C$252</definedName>
    <definedName name="sample_cluster_nsxt_vip_fqdn">'Deploy Cluster'!$C$435</definedName>
    <definedName name="sample_cluster_storage_cluster_name">'Deploy Cluster'!$C$140</definedName>
    <definedName name="sample_cluster_vc_fqdn">'Deploy Cluster'!$C$381</definedName>
    <definedName name="sample_cluster_vds01_lag_name">'Deploy Cluster'!$C$182</definedName>
    <definedName name="sample_cluster_vds01_mtu">'Deploy Cluster'!$C$180</definedName>
    <definedName name="sample_cluster_vds01_name">'Deploy Cluster'!$C$179</definedName>
    <definedName name="sample_cluster_vds01_pnics">'Deploy Cluster'!$C$187</definedName>
    <definedName name="sample_cluster_vds01_uplink_count">'Deploy Cluster'!$C$186</definedName>
    <definedName name="sample_cluster_vds02_lag_name">'Deploy Cluster'!$C$193</definedName>
    <definedName name="sample_cluster_vds02_mtu">'Deploy Cluster'!$C$191</definedName>
    <definedName name="sample_cluster_vds02_name">'Deploy Cluster'!$C$190</definedName>
    <definedName name="sample_cluster_vds02_pnics">'Deploy Cluster'!$C$198</definedName>
    <definedName name="sample_cluster_vds02_uplink_count">'Deploy Cluster'!$C$197</definedName>
    <definedName name="sample_cluster_vds03_lag_name">'Deploy Cluster'!$C$204</definedName>
    <definedName name="sample_cluster_vds03_mtu">'Deploy Cluster'!$C$202</definedName>
    <definedName name="sample_cluster_vds03_name">'Deploy Cluster'!$C$201</definedName>
    <definedName name="sample_cluster_vds03_pnics">'Deploy Cluster'!$C$209</definedName>
    <definedName name="sample_cluster_vds03_uplink_count">'Deploy Cluster'!$C$208</definedName>
    <definedName name="sample_cluster_vmfs_datastore_name">'Deploy Cluster'!$C$145</definedName>
    <definedName name="sample_cluster_vsan_datastore">'Deploy Cluster'!$C$141</definedName>
    <definedName name="sample_cluster_witness_cluster">'Deploy Cluster'!$C$364</definedName>
    <definedName name="sample_cluster_witness_dns1_ip">'Deploy Cluster'!$C$375</definedName>
    <definedName name="sample_cluster_witness_dns2_ip">'Deploy Cluster'!$C$376</definedName>
    <definedName name="sample_cluster_witness_fqdn">'Deploy Cluster'!$C$383</definedName>
    <definedName name="sample_cluster_witness_hostname">'Deploy Cluster'!$C$363</definedName>
    <definedName name="sample_cluster_witness_ip">'Deploy Cluster'!$C$370</definedName>
    <definedName name="sample_cluster_witness_mgmt_pg">'Deploy Cluster'!$C$367</definedName>
    <definedName name="sample_cluster_witness_ntp1_server">'Deploy Cluster'!$C$377</definedName>
    <definedName name="sample_cluster_witness_ntp2_server">'Deploy Cluster'!$C$378</definedName>
    <definedName name="sample_cluster_witness_vm_folder">'Deploy Cluster'!$C$365</definedName>
    <definedName name="sample_cluster_witness_vsan_datastore">'Deploy Cluster'!$C$366</definedName>
    <definedName name="sample_cluster_witness_zone_vc_fqdn">'Deploy Cluster'!$C$362</definedName>
    <definedName name="sample_cluster_witnessaz_mask">'Deploy Cluster'!$C$371</definedName>
    <definedName name="sample_cluster_witnessaz_mgmt_cidr">'Deploy Cluster'!$C$356</definedName>
    <definedName name="sample_cluster_witnessaz_mgmt_gateway_ip">'Deploy Cluster'!$C$355</definedName>
    <definedName name="sample_cluster_witnessaz_mgmt_mtu">'Deploy Cluster'!$C$357</definedName>
    <definedName name="sample_cluster_witnessaz_mgmt_vlan">'Deploy Cluster'!$C$354</definedName>
    <definedName name="sample_cr_clean_room">'Cyber Recovery'!$C$126</definedName>
    <definedName name="sample_cr_console_cloud">'Cyber Recovery'!$C$110</definedName>
    <definedName name="sample_cr_mgmt_protect_vc_domain">'Cyber Recovery'!$C$34</definedName>
    <definedName name="sample_cr_mgmt_protect_vc_fqdn">'Cyber Recovery'!$C$33</definedName>
    <definedName name="sample_cr_wld_pnr_fqdn">'Cyber Recovery'!$C$17</definedName>
    <definedName name="sample_cr_wld_pnr_ip">'Cyber Recovery'!$C$27</definedName>
    <definedName name="sample_cr_wld_protect_vc_replication_user">'Cyber Recovery'!$C$43</definedName>
    <definedName name="sample_cr_wld_vrms_pg">'Cyber Recovery'!$C$62</definedName>
    <definedName name="sample_domain_controller_hostname">Arkham!$B$15</definedName>
    <definedName name="sample_esxi_root_password">'Deploy Management Domain'!$K$81</definedName>
    <definedName name="sample_flt_auto_node_pool_end_ip">'Deploy Management Domain'!$K$123</definedName>
    <definedName name="sample_flt_auto_node_pool_start_ip">'Deploy Management Domain'!$K$122</definedName>
    <definedName name="sample_flt_auto_sr_fqdn">'Deploy Management Domain'!$K$176</definedName>
    <definedName name="sample_flt_def_administrator_vsphere_local_password">'Deploy Fleet Management Day-N'!$C$18</definedName>
    <definedName name="sample_flt_def_administrator_vsphere_local_username">'Deploy Fleet Management Day-N'!$C$17</definedName>
    <definedName name="sample_flt_def_auto_admin_password">'Deploy Fleet Management Day-N'!$C$67</definedName>
    <definedName name="sample_flt_def_auto_cluster_cidr">'Deploy Fleet Management Day-N'!$C$66</definedName>
    <definedName name="sample_flt_def_auto_node_pool_end_ip">'Deploy Fleet Management Day-N'!$C$28</definedName>
    <definedName name="sample_flt_def_auto_node_pool_start_ip">'Deploy Fleet Management Day-N'!$C$27</definedName>
    <definedName name="sample_flt_def_auto_node_prefix">'Deploy Fleet Management Day-N'!$C$65</definedName>
    <definedName name="sample_flt_def_auto_sr_fqdn">'Deploy Fleet Management Day-N'!$C$41</definedName>
    <definedName name="sample_flt_def_auto_sr_ip">'Deploy Fleet Management Day-N'!$C$50</definedName>
    <definedName name="sample_flt_def_sddc_mgr_fqdn">'Deploy Fleet Management Day-N'!$C$16</definedName>
    <definedName name="sample_flt_def_vcf_operations_admin_password">'Deploy Fleet Management Day-N'!$C$58</definedName>
    <definedName name="sample_flt_def_vcf_operations_az1_vcf_mgmt_gateway_cidr">'Deploy Fleet Management Day-N'!$C$25</definedName>
    <definedName name="sample_flt_def_vcf_operations_az1_vcf_mgmt_pg">'Deploy Fleet Management Day-N'!$C$24</definedName>
    <definedName name="sample_flt_def_vcf_operations_lc_fqdn">'Deploy Fleet Management Day-N'!$C$38</definedName>
    <definedName name="sample_flt_def_vcf_operations_lc_ip">'Deploy Fleet Management Day-N'!$C$48</definedName>
    <definedName name="sample_flt_def_vcf_operations_nodea_fqdn">'Deploy Fleet Management Day-N'!$C$30</definedName>
    <definedName name="sample_flt_def_vcf_operations_nodea_ip">'Deploy Fleet Management Day-N'!$C$43</definedName>
    <definedName name="sample_flt_def_vcf_operations_nodeb_fqdn">'Deploy Fleet Management Day-N'!$C$31</definedName>
    <definedName name="sample_flt_def_vcf_operations_nodeb_ip">'Deploy Fleet Management Day-N'!$C$44</definedName>
    <definedName name="sample_flt_def_vcf_operations_nodec_fqdn">'Deploy Fleet Management Day-N'!$C$32</definedName>
    <definedName name="sample_flt_def_vcf_operations_nodec_ip">'Deploy Fleet Management Day-N'!$C$45</definedName>
    <definedName name="sample_flt_def_vcf_operations_proxy_az1_vcf_mgmt_gateway_cidr">'Deploy Fleet Management Day-N'!$C$63</definedName>
    <definedName name="sample_flt_def_vcf_operations_proxy_az1_vcf_mgmt_pg">'Deploy Fleet Management Day-N'!$C$62</definedName>
    <definedName name="sample_flt_def_vcf_operations_proxy_fqdn">'Deploy Fleet Management Day-N'!$C$36</definedName>
    <definedName name="sample_flt_def_vcf_operations_proxy_ip">'Deploy Fleet Management Day-N'!$C$47</definedName>
    <definedName name="sample_flt_def_vcf_operations_proxy_root_password">'Deploy Fleet Management Day-N'!$C$61</definedName>
    <definedName name="sample_flt_def_vcf_operations_root_password">'Deploy Fleet Management Day-N'!$C$57</definedName>
    <definedName name="sample_flt_def_vcf_operations_virtual_fqdn">'Deploy Fleet Management Day-N'!$C$34</definedName>
    <definedName name="sample_flt_def_vcf_operations_virtual_ip">'Deploy Fleet Management Day-N'!$C$46</definedName>
    <definedName name="sample_flt_def_vra_virtual_fqdn">'Deploy Fleet Management Day-N'!$C$40</definedName>
    <definedName name="sample_flt_def_vra_virtual_ip">'Deploy Fleet Management Day-N'!$C$49</definedName>
    <definedName name="sample_flt_fc_fqdn">'Deploy Management Domain'!$K$167</definedName>
    <definedName name="sample_flt_fc_ip">'Deploy Management Domain'!$K$366</definedName>
    <definedName name="sample_flt_ic_fqdn">'Deploy Management Domain'!$K$168</definedName>
    <definedName name="sample_flt_lc_fqdn">'Deploy Management Domain'!$K$165</definedName>
    <definedName name="sample_flt_logs_admin_password">'Deploy Fleet Management Day-N'!$C$137</definedName>
    <definedName name="sample_flt_logs_admin_username">'Deploy Fleet Management Day-N'!$C$136</definedName>
    <definedName name="sample_flt_logs_vip_fqdn">'Deploy Fleet Management Day-N'!$C$138</definedName>
    <definedName name="sample_flt_logs_vip_ip">'Deploy Fleet Management Day-N'!$C$143</definedName>
    <definedName name="sample_flt_net_admin_password">'Deploy Fleet Management Day-N'!$C$151</definedName>
    <definedName name="sample_flt_net_nodea_fqdn">'Deploy Fleet Management Day-N'!$C$158</definedName>
    <definedName name="sample_flt_net_nodea_ip">'Deploy Fleet Management Day-N'!$C$153</definedName>
    <definedName name="sample_flt_net_prxy_fqdn">'Deploy Fleet Management Day-N'!$C$161</definedName>
    <definedName name="sample_flt_net_prxy_ip">'Deploy Fleet Management Day-N'!$C$155</definedName>
    <definedName name="sample_flt_sr_fqdn">'Deploy Management Domain'!$K$170</definedName>
    <definedName name="sample_flt_vcfms_node_pool_end_ip">'Deploy Management Domain'!$K$118</definedName>
    <definedName name="sample_flt_vcfms_node_pool_start_ip">'Deploy Management Domain'!$K$117</definedName>
    <definedName name="sample_flt_vidb_base_dn">'Deploy Fleet Management Day-N'!$C$111</definedName>
    <definedName name="sample_flt_vidb_bind_password">'Deploy Fleet Management Day-N'!$C$113</definedName>
    <definedName name="sample_flt_vidb_bind_username">'Deploy Fleet Management Day-N'!$C$112</definedName>
    <definedName name="sample_flt_vidb_directory_name">'Deploy Fleet Management Day-N'!$C$101</definedName>
    <definedName name="sample_flt_vidb_distinguished_name">'Deploy Fleet Management Day-N'!$C$119</definedName>
    <definedName name="sample_flt_vidb_employeeID">'Deploy Fleet Management Day-N'!$C$120</definedName>
    <definedName name="sample_flt_vidb_first_name">'Deploy Fleet Management Day-N'!$C$117</definedName>
    <definedName name="sample_flt_vidb_group_base_dn">'Deploy Fleet Management Day-N'!$C$124</definedName>
    <definedName name="sample_flt_vidb_last_name">'Deploy Fleet Management Day-N'!$C$118</definedName>
    <definedName name="sample_flt_vidb_mail">'Deploy Fleet Management Day-N'!$C$121</definedName>
    <definedName name="sample_flt_vidb_primary_domain_controller">'Deploy Fleet Management Day-N'!$C$106</definedName>
    <definedName name="sample_flt_vidb_primary_domain_controller_port">'Deploy Fleet Management Day-N'!$C$107</definedName>
    <definedName name="sample_flt_vidb_secondary_domain_controller">'Deploy Fleet Management Day-N'!$C$108</definedName>
    <definedName name="sample_flt_vidb_secondary_domain_controller_port">'Deploy Fleet Management Day-N'!$C$109</definedName>
    <definedName name="sample_flt_vidb_user_base_dn">'Deploy Fleet Management Day-N'!$C$126</definedName>
    <definedName name="sample_flt_vidb_user_name">'Deploy Fleet Management Day-N'!$C$116</definedName>
    <definedName name="sample_flt_vidb_user_principal_name">'Deploy Fleet Management Day-N'!$C$122</definedName>
    <definedName name="sample_flt_vidb_vip_fqdn">'Deploy Management Domain'!$K$169</definedName>
    <definedName name="sample_flt_vidb_vip_ip">'Deploy Management Domain'!$K$368</definedName>
    <definedName name="sample_gg_kub_admins_group">'Active Directory Inputs'!$D$75</definedName>
    <definedName name="sample_gg_kub_readonly_group">'Active Directory Inputs'!$D$76</definedName>
    <definedName name="sample_gg_nsx_auditors_group">'Active Directory Inputs'!$D$72</definedName>
    <definedName name="sample_gg_nsx_enterprise_admins_group">'Active Directory Inputs'!$D$70</definedName>
    <definedName name="sample_gg_nsx_network_admins_group">'Active Directory Inputs'!$D$71</definedName>
    <definedName name="sample_gg_sso_admins_group">'Active Directory Inputs'!$D$69</definedName>
    <definedName name="sample_gg_vc_admins_group">'Active Directory Inputs'!$D$67</definedName>
    <definedName name="sample_gg_vc_read_only_group">'Active Directory Inputs'!$D$68</definedName>
    <definedName name="sample_gg_vcf_admins_group">'Active Directory Inputs'!$D$64</definedName>
    <definedName name="sample_gg_vcf_operators_group">'Active Directory Inputs'!$D$65</definedName>
    <definedName name="sample_gg_vcf_viewers_group">'Active Directory Inputs'!$D$66</definedName>
    <definedName name="sample_gg_vra_cloud_assembly_admins_group">'Active Directory Inputs'!$D$95</definedName>
    <definedName name="sample_gg_vra_cloud_assembly_users_group">'Active Directory Inputs'!$D$96</definedName>
    <definedName name="sample_gg_vra_cloud_assembly_viewers_group">'Active Directory Inputs'!$D$97</definedName>
    <definedName name="sample_gg_vra_orchestrator_admins_group">'Active Directory Inputs'!$D$101</definedName>
    <definedName name="sample_gg_vra_orchestrator_designers_group">'Active Directory Inputs'!$D$102</definedName>
    <definedName name="sample_gg_vra_orchestrator_viewers_group">'Active Directory Inputs'!$D$103</definedName>
    <definedName name="sample_gg_vra_org_owners_group">'Active Directory Inputs'!$D$94</definedName>
    <definedName name="sample_gg_vra_project_admins_sample_group">'Active Directory Inputs'!$D$104</definedName>
    <definedName name="sample_gg_vra_project_users_sample_group">'Active Directory Inputs'!$D$105</definedName>
    <definedName name="sample_gg_vra_service_broker_admins_group">'Active Directory Inputs'!$D$98</definedName>
    <definedName name="sample_gg_vra_service_broker_users_group">'Active Directory Inputs'!$D$99</definedName>
    <definedName name="sample_gg_vra_service_broker_viewers_group">'Active Directory Inputs'!$D$100</definedName>
    <definedName name="sample_gg_vrli_admins_group">'Active Directory Inputs'!$D$79</definedName>
    <definedName name="sample_gg_vrli_users_group">'Active Directory Inputs'!$D$80</definedName>
    <definedName name="sample_gg_vrli_viewers_group">'Active Directory Inputs'!$D$81</definedName>
    <definedName name="sample_gg_vrni_admin_group">'Active Directory Inputs'!$D$89</definedName>
    <definedName name="sample_gg_vrni_auditor_group">'Active Directory Inputs'!$D$91</definedName>
    <definedName name="sample_gg_vrni_member_group">'Active Directory Inputs'!$D$90</definedName>
    <definedName name="sample_gg_vrops_admins_group">'Active Directory Inputs'!$D$84</definedName>
    <definedName name="sample_gg_vrops_content_admins_group">'Active Directory Inputs'!$D$85</definedName>
    <definedName name="sample_gg_vrops_read_only_group">'Active Directory Inputs'!$D$86</definedName>
    <definedName name="sample_gg_vrslcm_admins_group">'Active Directory Inputs'!$D$54</definedName>
    <definedName name="sample_gg_vrslcm_content_developers_group">'Active Directory Inputs'!$D$56</definedName>
    <definedName name="sample_gg_vrslcm_release_managers_group">'Active Directory Inputs'!$D$55</definedName>
    <definedName name="sample_k8s_cluster_name">'Private AI Ready Infrastructure'!$C$46</definedName>
    <definedName name="sample_k8s_ip_prefixlist">'Private AI Ready Infrastructure'!$C$20</definedName>
    <definedName name="sample_k8s_ip_routemap">'Private AI Ready Infrastructure'!$C$21</definedName>
    <definedName name="sample_k8s_kubectl_path">'Private AI Ready Infrastructure'!$C$26</definedName>
    <definedName name="sample_k8s_mgmt_seg">'Private AI Ready Infrastructure'!$C$19</definedName>
    <definedName name="sample_k8s_namepsace">'Private AI Ready Infrastructure'!$C$15</definedName>
    <definedName name="sample_k8s_tanzu_k8s_cluster_pod_pool_cidr">'Private AI Ready Infrastructure'!$C$72</definedName>
    <definedName name="sample_k8s_tanzu_k8s_cluster_service_pool_cidr">'Private AI Ready Infrastructure'!$C$71</definedName>
    <definedName name="sample_k8s_vcenter_category">'Private AI Ready Infrastructure'!$C$22</definedName>
    <definedName name="sample_k8s_vcenter_content_library">'Private AI Ready Infrastructure'!$C$95</definedName>
    <definedName name="sample_k8s_vcenter_storage_policy">'Private AI Ready Infrastructure'!$C$47</definedName>
    <definedName name="sample_k8s_vcenter_tag">'Private AI Ready Infrastructure'!$C$23</definedName>
    <definedName name="sample_k8s_vm_class">'Private AI Ready Infrastructure'!$C$27</definedName>
    <definedName name="sample_mgmt_auth_encrypted_cert">'Deploy Fleet Management Day-N'!$C$105</definedName>
    <definedName name="sample_mgmt_avilb_cluster_name">'Configure Management Domain'!$C$289</definedName>
    <definedName name="sample_mgmt_avilb_cluster_version">'Configure Management Domain'!$C$279</definedName>
    <definedName name="sample_mgmt_avilb_fqdn">'Configure Management Domain'!$C$288</definedName>
    <definedName name="sample_mgmt_avilb_ip">'Configure Management Domain'!$C$287</definedName>
    <definedName name="sample_mgmt_avilb_mgra_ip">'Configure Management Domain'!$C$284</definedName>
    <definedName name="sample_mgmt_avilb_mgrb_ip">'Configure Management Domain'!$C$285</definedName>
    <definedName name="sample_mgmt_avilb_mgrc_ip">'Configure Management Domain'!$C$286</definedName>
    <definedName name="sample_mgmt_az1_dtgw_gateway_cidr">'Configure Management Domain'!$C$192</definedName>
    <definedName name="sample_mgmt_az1_dtgw_vlan">'Configure Management Domain'!$C$191</definedName>
    <definedName name="sample_mgmt_az1_edge_overlay_cidr">'Configure Management Domain'!$C$124</definedName>
    <definedName name="sample_mgmt_az1_edge_overlay_gateway_ip">'Configure Management Domain'!$C$125</definedName>
    <definedName name="sample_mgmt_az1_edge_overlay_mask">'Configure Management Domain'!$C$126</definedName>
    <definedName name="sample_mgmt_az1_edge_overlay_mtu">'Configure Management Domain'!$C$238</definedName>
    <definedName name="sample_mgmt_az1_edge_overlay_network_pool_name">'Configure Management Domain'!$C$119</definedName>
    <definedName name="sample_mgmt_az1_edge_overlay_pool_end_ip">'Configure Management Domain'!$C$121</definedName>
    <definedName name="sample_mgmt_az1_edge_overlay_pool_start_ip">'Configure Management Domain'!$C$120</definedName>
    <definedName name="sample_mgmt_az1_edge_overlay_vlan">'Configure Management Domain'!$C$116</definedName>
    <definedName name="sample_mgmt_az1_en1_edge_overlay_interface_ip_1_ip">'Configure Management Domain'!$C$122</definedName>
    <definedName name="sample_mgmt_az1_en1_edge_overlay_interface_ip_2_ip">'Configure Management Domain'!$C$123</definedName>
    <definedName name="sample_mgmt_az1_en1_eth0_uplink0">'Configure Management Domain'!$C$112</definedName>
    <definedName name="sample_mgmt_az1_en1_eth0_uplink1">'Configure Management Domain'!$C$113</definedName>
    <definedName name="sample_mgmt_az1_en1_eth1_uplink0">'Configure Management Domain'!$C$114</definedName>
    <definedName name="sample_mgmt_az1_en1_eth1_uplink1">'Configure Management Domain'!$C$115</definedName>
    <definedName name="sample_mgmt_az1_en1_fqdn">'Configure Management Domain'!$C$99</definedName>
    <definedName name="sample_mgmt_az1_en1_hostname">'Configure Management Domain'!$C$610</definedName>
    <definedName name="sample_mgmt_az1_en1_mgmt_cidr">'Configure Management Domain'!$C$107</definedName>
    <definedName name="sample_mgmt_az1_en1_uplink01_interface_cidr">'Configure Management Domain'!$C$162</definedName>
    <definedName name="sample_mgmt_az1_en1_uplink02_interface_cidr">'Configure Management Domain'!$C$169</definedName>
    <definedName name="sample_mgmt_az1_en2_edge_overlay_interface_ip_1_ip">'Configure Management Domain'!$C$147</definedName>
    <definedName name="sample_mgmt_az1_en2_edge_overlay_interface_ip_2_ip">'Configure Management Domain'!$C$148</definedName>
    <definedName name="sample_mgmt_az1_en2_eth0_uplink0">'Configure Management Domain'!$C$140</definedName>
    <definedName name="sample_mgmt_az1_en2_eth0_uplink1">'Configure Management Domain'!$C$141</definedName>
    <definedName name="sample_mgmt_az1_en2_eth1_uplink0">'Configure Management Domain'!$C$142</definedName>
    <definedName name="sample_mgmt_az1_en2_eth1_uplink1">'Configure Management Domain'!$C$143</definedName>
    <definedName name="sample_mgmt_az1_en2_fqdn">'Configure Management Domain'!$C$128</definedName>
    <definedName name="sample_mgmt_az1_en2_hostname">'Configure Management Domain'!$C$616</definedName>
    <definedName name="sample_mgmt_az1_en2_mgmt_cidr">'Configure Management Domain'!$C$135</definedName>
    <definedName name="sample_mgmt_az1_en2_uplink01_interface_cidr">'Configure Management Domain'!$C$177</definedName>
    <definedName name="sample_mgmt_az1_en2_uplink02_interface_cidr">'Configure Management Domain'!$C$184</definedName>
    <definedName name="sample_mgmt_az1_host_overlay_gateway_cidr">'Deploy Management Domain'!$K$148</definedName>
    <definedName name="sample_mgmt_az1_host_overlay_mtu">'Deploy Management Domain'!$K$361</definedName>
    <definedName name="sample_mgmt_az1_host_overlay_network_pool_description">Arkham!$X$7</definedName>
    <definedName name="sample_mgmt_az1_host_overlay_network_pool_name">Arkham!$X$6</definedName>
    <definedName name="sample_mgmt_az1_host_overlay_pool_end_ip">'Deploy Management Domain'!$K$151</definedName>
    <definedName name="sample_mgmt_az1_host_overlay_pool_start_ip">'Deploy Management Domain'!$K$150</definedName>
    <definedName name="sample_mgmt_az1_host_overlay_vlan">'Deploy Management Domain'!$K$147</definedName>
    <definedName name="sample_mgmt_az1_host1_fqdn">'Deploy Management Domain'!$K$82</definedName>
    <definedName name="sample_mgmt_az1_host1_mgmt_ip">'Deploy Management Domain'!$K$395</definedName>
    <definedName name="sample_mgmt_az1_host1_vrms_ip">'Site Protection &amp; DR'!$C$176</definedName>
    <definedName name="sample_mgmt_az1_host10_fqdn">'Deploy Management Domain'!$K$91</definedName>
    <definedName name="sample_mgmt_az1_host10_mgmt_ip">'Deploy Management Domain'!$K$404</definedName>
    <definedName name="sample_mgmt_az1_host10_vrms_ip">'Site Protection &amp; DR'!$C$185</definedName>
    <definedName name="sample_mgmt_az1_host11_fqdn">'Deploy Management Domain'!$K$92</definedName>
    <definedName name="sample_mgmt_az1_host11_mgmt_ip">'Deploy Management Domain'!$K$405</definedName>
    <definedName name="sample_mgmt_az1_host11_vrms_ip">'Site Protection &amp; DR'!$C$186</definedName>
    <definedName name="sample_mgmt_az1_host12_fqdn">'Deploy Management Domain'!$K$93</definedName>
    <definedName name="sample_mgmt_az1_host12_mgmt_ip">'Deploy Management Domain'!$K$406</definedName>
    <definedName name="sample_mgmt_az1_host12_vrms_ip">'Site Protection &amp; DR'!$C$187</definedName>
    <definedName name="sample_mgmt_az1_host13_fqdn">'Deploy Management Domain'!$K$94</definedName>
    <definedName name="sample_mgmt_az1_host13_mgmt_ip">'Deploy Management Domain'!$K$407</definedName>
    <definedName name="sample_mgmt_az1_host13_vrms_ip">'Site Protection &amp; DR'!$C$188</definedName>
    <definedName name="sample_mgmt_az1_host14_fqdn">'Deploy Management Domain'!$K$95</definedName>
    <definedName name="sample_mgmt_az1_host14_mgmt_ip">'Deploy Management Domain'!$K$408</definedName>
    <definedName name="sample_mgmt_az1_host14_vrms_ip">'Site Protection &amp; DR'!$C$189</definedName>
    <definedName name="sample_mgmt_az1_host15_fqdn">'Deploy Management Domain'!$K$96</definedName>
    <definedName name="sample_mgmt_az1_host15_mgmt_ip">'Deploy Management Domain'!$K$409</definedName>
    <definedName name="sample_mgmt_az1_host15_vrms_ip">'Site Protection &amp; DR'!$C$190</definedName>
    <definedName name="sample_mgmt_az1_host16_fqdn">'Deploy Management Domain'!$K$97</definedName>
    <definedName name="sample_mgmt_az1_host16_mgmt_ip">'Deploy Management Domain'!$K$410</definedName>
    <definedName name="sample_mgmt_az1_host16_vrms_ip">'Site Protection &amp; DR'!$C$191</definedName>
    <definedName name="sample_mgmt_az1_host2_fqdn">'Deploy Management Domain'!$K$83</definedName>
    <definedName name="sample_mgmt_az1_host2_mgmt_ip">'Deploy Management Domain'!$K$396</definedName>
    <definedName name="sample_mgmt_az1_host2_vrms_ip">'Site Protection &amp; DR'!$C$177</definedName>
    <definedName name="sample_mgmt_az1_host3_fqdn">'Deploy Management Domain'!$K$84</definedName>
    <definedName name="sample_mgmt_az1_host3_mgmt_ip">'Deploy Management Domain'!$K$397</definedName>
    <definedName name="sample_mgmt_az1_host3_vrms_ip">'Site Protection &amp; DR'!$C$178</definedName>
    <definedName name="sample_mgmt_az1_host4_fqdn">'Deploy Management Domain'!$K$85</definedName>
    <definedName name="sample_mgmt_az1_host4_mgmt_ip">'Deploy Management Domain'!$K$398</definedName>
    <definedName name="sample_mgmt_az1_host4_vrms_ip">'Site Protection &amp; DR'!$C$179</definedName>
    <definedName name="sample_mgmt_az1_host5_fqdn">'Deploy Management Domain'!$K$86</definedName>
    <definedName name="sample_mgmt_az1_host5_mgmt_ip">'Deploy Management Domain'!$K$399</definedName>
    <definedName name="sample_mgmt_az1_host5_vrms_ip">'Site Protection &amp; DR'!$C$180</definedName>
    <definedName name="sample_mgmt_az1_host6_fqdn">'Deploy Management Domain'!$K$87</definedName>
    <definedName name="sample_mgmt_az1_host6_mgmt_ip">'Deploy Management Domain'!$K$400</definedName>
    <definedName name="sample_mgmt_az1_host6_vrms_ip">'Site Protection &amp; DR'!$C$181</definedName>
    <definedName name="sample_mgmt_az1_host7_fqdn">'Deploy Management Domain'!$K$88</definedName>
    <definedName name="sample_mgmt_az1_host7_mgmt_ip">'Deploy Management Domain'!$K$401</definedName>
    <definedName name="sample_mgmt_az1_host7_vrms_ip">'Site Protection &amp; DR'!$C$182</definedName>
    <definedName name="sample_mgmt_az1_host8_fqdn">'Deploy Management Domain'!$K$89</definedName>
    <definedName name="sample_mgmt_az1_host8_mgmt_ip">'Deploy Management Domain'!$K$402</definedName>
    <definedName name="sample_mgmt_az1_host8_vrms_ip">'Site Protection &amp; DR'!$C$183</definedName>
    <definedName name="sample_mgmt_az1_host9_fqdn">'Deploy Management Domain'!$K$90</definedName>
    <definedName name="sample_mgmt_az1_host9_mgmt_ip">'Deploy Management Domain'!$K$403</definedName>
    <definedName name="sample_mgmt_az1_host9_vrms_ip">'Site Protection &amp; DR'!$C$184</definedName>
    <definedName name="sample_mgmt_az1_mgmt_gateway_cidr">'Deploy Management Domain'!$K$104</definedName>
    <definedName name="sample_mgmt_az1_mgmt_mtu">'Deploy Management Domain'!$K$103</definedName>
    <definedName name="sample_mgmt_az1_mgmt_vlan">'Deploy Management Domain'!$K$102</definedName>
    <definedName name="sample_mgmt_az1_mgmt_vm_gateway_cidr">'Deploy Management Domain'!$K$109</definedName>
    <definedName name="sample_mgmt_az1_mgmt_vm_mtu">'Deploy Management Domain'!$K$108</definedName>
    <definedName name="sample_mgmt_az1_mgmt_vm_prefix">'On-Premises Ransomware Recovery'!$C$24</definedName>
    <definedName name="sample_mgmt_az1_mgmt_vm_vlan">'Deploy Management Domain'!$K$107</definedName>
    <definedName name="sample_mgmt_az1_rtep_ip_pool_name">'Configure Management Domain'!$C$562</definedName>
    <definedName name="sample_mgmt_az1_rtep_overlay_cidr">'Configure Management Domain'!$C$565</definedName>
    <definedName name="sample_mgmt_az1_rtep_overlay_gateway_ip">'Configure Management Domain'!$C$566</definedName>
    <definedName name="sample_mgmt_az1_rtep_overlay_vlan">'Configure Management Domain'!$C$589</definedName>
    <definedName name="sample_mgmt_az1_secondary_storage_gateway_cidr">'Deploy Management Domain'!$K$143</definedName>
    <definedName name="sample_mgmt_az1_secondary_storage_mtu">'Deploy Management Domain'!$K$142</definedName>
    <definedName name="sample_mgmt_az1_secondary_storage_pool_end_ip">'Deploy Management Domain'!$K$145</definedName>
    <definedName name="sample_mgmt_az1_secondary_storage_pool_start_ip">'Deploy Management Domain'!$K$144</definedName>
    <definedName name="sample_mgmt_az1_secondary_storage_vlan">'Deploy Management Domain'!$K$141</definedName>
    <definedName name="sample_mgmt_az1_tor1_peer_asn">'Configure Management Domain'!$C$166</definedName>
    <definedName name="sample_mgmt_az1_tor1_peer_bgp_password">'Configure Management Domain'!$C$167</definedName>
    <definedName name="sample_mgmt_az1_tor1_peer_ip">'Configure Management Domain'!$C$163</definedName>
    <definedName name="sample_mgmt_az1_tor2_peer_asn">'Configure Management Domain'!$C$173</definedName>
    <definedName name="sample_mgmt_az1_tor2_peer_bgp_password">'Configure Management Domain'!$C$174</definedName>
    <definedName name="sample_mgmt_az1_tor2_peer_ip">'Configure Management Domain'!$C$170</definedName>
    <definedName name="sample_mgmt_az1_uplink01_cidr">'Configure Management Domain'!$C$232</definedName>
    <definedName name="sample_mgmt_az1_uplink01_gateway_ip">'Configure Management Domain'!$C$231</definedName>
    <definedName name="sample_mgmt_az1_uplink01_mtu">'Configure Management Domain'!$C$164</definedName>
    <definedName name="sample_mgmt_az1_uplink01_vlan">'Configure Management Domain'!$C$161</definedName>
    <definedName name="sample_mgmt_az1_uplink02_cidr">'Configure Management Domain'!$C$236</definedName>
    <definedName name="sample_mgmt_az1_uplink02_gateway_ip">'Configure Management Domain'!$C$235</definedName>
    <definedName name="sample_mgmt_az1_uplink02_mtu">'Configure Management Domain'!$C$171</definedName>
    <definedName name="sample_mgmt_az1_uplink02_vlan">'Configure Management Domain'!$C$168</definedName>
    <definedName name="sample_mgmt_az1_vcf_mgmt_gateway_cidr">'Deploy Management Domain'!$K$114</definedName>
    <definedName name="sample_mgmt_az1_vcf_mgmt_gateway_ipv6_cidr">'Deploy Management Domain'!$K$115</definedName>
    <definedName name="sample_mgmt_az1_vcf_mgmt_mtu">'Deploy Management Domain'!$K$113</definedName>
    <definedName name="sample_mgmt_az1_vcf_mgmt_vlan">'Deploy Management Domain'!$K$112</definedName>
    <definedName name="sample_mgmt_az1_vmotion_gateway_cidr">'Deploy Management Domain'!$K$127</definedName>
    <definedName name="sample_mgmt_az1_vmotion_mtu">'Deploy Management Domain'!$K$126</definedName>
    <definedName name="sample_mgmt_az1_vmotion_pool_end_ip">'Deploy Management Domain'!$K$129</definedName>
    <definedName name="sample_mgmt_az1_vmotion_pool_start_ip">'Deploy Management Domain'!$K$128</definedName>
    <definedName name="sample_mgmt_az1_vmotion_vlan">'Deploy Management Domain'!$K$125</definedName>
    <definedName name="sample_mgmt_az1_vrms_cidr">'Site Protection &amp; DR'!$C$171</definedName>
    <definedName name="sample_mgmt_az1_vrms_gateway_ip">'Site Protection &amp; DR'!$C$173</definedName>
    <definedName name="sample_mgmt_az1_vrms_mask">'Site Protection &amp; DR'!$C$172</definedName>
    <definedName name="sample_mgmt_az1_vrms_mtu">'Site Protection &amp; DR'!$C$174</definedName>
    <definedName name="sample_mgmt_az1_vrms_vlan">'Site Protection &amp; DR'!$C$163</definedName>
    <definedName name="sample_mgmt_az1_vsan_gateway_cidr">'Deploy Management Domain'!$K$135</definedName>
    <definedName name="sample_mgmt_az1_vsan_mtu">'Deploy Management Domain'!$K$134</definedName>
    <definedName name="sample_mgmt_az1_vsan_pool_end_ip">'Deploy Management Domain'!$K$137</definedName>
    <definedName name="sample_mgmt_az1_vsan_pool_start_ip">'Deploy Management Domain'!$K$136</definedName>
    <definedName name="sample_mgmt_az1_vsan_vlan">'Deploy Management Domain'!$K$133</definedName>
    <definedName name="sample_mgmt_az2_host_hostnames">'Configure Management Domain'!$C$350:$C$365</definedName>
    <definedName name="sample_mgmt_az2_host_overlay_cidr">'Configure Management Domain'!$C$438</definedName>
    <definedName name="sample_mgmt_az2_host_overlay_gateway_ip">'Configure Management Domain'!$C$437</definedName>
    <definedName name="sample_mgmt_az2_host_overlay_mtu">'Configure Management Domain'!$C$439</definedName>
    <definedName name="sample_mgmt_az2_host_overlay_network_pool_name">'Configure Management Domain'!$C$434</definedName>
    <definedName name="sample_mgmt_az2_host_overlay_network_profile_name">'Configure Management Domain'!$C$432</definedName>
    <definedName name="sample_mgmt_az2_host_overlay_pool_end_ip">'Configure Management Domain'!$C$441</definedName>
    <definedName name="sample_mgmt_az2_host_overlay_pool_start_ip">'Configure Management Domain'!$C$440</definedName>
    <definedName name="sample_mgmt_az2_host_overlay_uplink_profile_name">'Configure Management Domain'!$C$435</definedName>
    <definedName name="sample_mgmt_az2_host_overlay_vlan">'Configure Management Domain'!$C$436</definedName>
    <definedName name="sample_mgmt_az2_host1_fqdn">'Configure Management Domain'!$C$350</definedName>
    <definedName name="sample_mgmt_az2_host1_mgmt_ip">'Configure Management Domain'!$C$301</definedName>
    <definedName name="sample_mgmt_az2_host1_sddc_id">'Configure Management Domain'!$C$416</definedName>
    <definedName name="sample_mgmt_az2_host1_vrms_ip">'Site Protection &amp; DR'!$C$193</definedName>
    <definedName name="sample_mgmt_az2_host10_fqdn">'Configure Management Domain'!$C$359</definedName>
    <definedName name="sample_mgmt_az2_host10_mgmt_ip">'Configure Management Domain'!$C$310</definedName>
    <definedName name="sample_mgmt_az2_host10_vrms_ip">'Site Protection &amp; DR'!$C$202</definedName>
    <definedName name="sample_mgmt_az2_host11_fqdn">'Configure Management Domain'!$C$360</definedName>
    <definedName name="sample_mgmt_az2_host11_mgmt_ip">'Configure Management Domain'!$C$311</definedName>
    <definedName name="sample_mgmt_az2_host11_vrms_ip">'Site Protection &amp; DR'!$C$203</definedName>
    <definedName name="sample_mgmt_az2_host12_fqdn">'Configure Management Domain'!$C$361</definedName>
    <definedName name="sample_mgmt_az2_host12_mgmt_ip">'Configure Management Domain'!$C$312</definedName>
    <definedName name="sample_mgmt_az2_host12_vrms_ip">'Site Protection &amp; DR'!$C$204</definedName>
    <definedName name="sample_mgmt_az2_host13_fqdn">'Configure Management Domain'!$C$362</definedName>
    <definedName name="sample_mgmt_az2_host13_mgmt_ip">'Configure Management Domain'!$C$313</definedName>
    <definedName name="sample_mgmt_az2_host13_vrms_ip">'Site Protection &amp; DR'!$C$205</definedName>
    <definedName name="sample_mgmt_az2_host14_fqdn">'Configure Management Domain'!$C$363</definedName>
    <definedName name="sample_mgmt_az2_host14_mgmt_ip">'Configure Management Domain'!$C$314</definedName>
    <definedName name="sample_mgmt_az2_host14_vrms_ip">'Site Protection &amp; DR'!$C$206</definedName>
    <definedName name="sample_mgmt_az2_host15_fqdn">'Configure Management Domain'!$C$364</definedName>
    <definedName name="sample_mgmt_az2_host15_mgmt_ip">'Configure Management Domain'!$C$315</definedName>
    <definedName name="sample_mgmt_az2_host15_vrms_ip">'Site Protection &amp; DR'!$C$207</definedName>
    <definedName name="sample_mgmt_az2_host16_fqdn">'Configure Management Domain'!$C$365</definedName>
    <definedName name="sample_mgmt_az2_host16_mgmt_ip">'Configure Management Domain'!$C$316</definedName>
    <definedName name="sample_mgmt_az2_host16_vrms_ip">'Site Protection &amp; DR'!$C$208</definedName>
    <definedName name="sample_mgmt_az2_host2_fqdn">'Configure Management Domain'!$C$351</definedName>
    <definedName name="sample_mgmt_az2_host2_mgmt_ip">'Configure Management Domain'!$C$302</definedName>
    <definedName name="sample_mgmt_az2_host2_sddc_id">'Configure Management Domain'!$C$417</definedName>
    <definedName name="sample_mgmt_az2_host2_vrms_ip">'Site Protection &amp; DR'!$C$194</definedName>
    <definedName name="sample_mgmt_az2_host3_fqdn">'Configure Management Domain'!$C$352</definedName>
    <definedName name="sample_mgmt_az2_host3_mgmt_ip">'Configure Management Domain'!$C$303</definedName>
    <definedName name="sample_mgmt_az2_host3_sddc_id">'Configure Management Domain'!$C$418</definedName>
    <definedName name="sample_mgmt_az2_host3_vrms_ip">'Site Protection &amp; DR'!$C$195</definedName>
    <definedName name="sample_mgmt_az2_host4_fqdn">'Configure Management Domain'!$C$353</definedName>
    <definedName name="sample_mgmt_az2_host4_mgmt_ip">'Configure Management Domain'!$C$304</definedName>
    <definedName name="sample_mgmt_az2_host4_sddc_id">'Configure Management Domain'!$C$419</definedName>
    <definedName name="sample_mgmt_az2_host4_vrms_ip">'Site Protection &amp; DR'!$C$196</definedName>
    <definedName name="sample_mgmt_az2_host5_fqdn">'Configure Management Domain'!$C$354</definedName>
    <definedName name="sample_mgmt_az2_host5_mgmt_ip">'Configure Management Domain'!$C$305</definedName>
    <definedName name="sample_mgmt_az2_host5_vrms_ip">'Site Protection &amp; DR'!$C$197</definedName>
    <definedName name="sample_mgmt_az2_host6_fqdn">'Configure Management Domain'!$C$355</definedName>
    <definedName name="sample_mgmt_az2_host6_mgmt_ip">'Configure Management Domain'!$C$306</definedName>
    <definedName name="sample_mgmt_az2_host6_vrms_ip">'Site Protection &amp; DR'!$C$198</definedName>
    <definedName name="sample_mgmt_az2_host7_fqdn">'Configure Management Domain'!$C$356</definedName>
    <definedName name="sample_mgmt_az2_host7_mgmt_ip">'Configure Management Domain'!$C$307</definedName>
    <definedName name="sample_mgmt_az2_host7_vrms_ip">'Site Protection &amp; DR'!$C$199</definedName>
    <definedName name="sample_mgmt_az2_host8_fqdn">'Configure Management Domain'!$C$357</definedName>
    <definedName name="sample_mgmt_az2_host8_mgmt_ip">'Configure Management Domain'!$C$308</definedName>
    <definedName name="sample_mgmt_az2_host8_vrms_ip">'Site Protection &amp; DR'!$C$200</definedName>
    <definedName name="sample_mgmt_az2_host9_fqdn">'Configure Management Domain'!$C$358</definedName>
    <definedName name="sample_mgmt_az2_host9_mgmt_ip">'Configure Management Domain'!$C$309</definedName>
    <definedName name="sample_mgmt_az2_host9_vrms_ip">'Site Protection &amp; DR'!$C$201</definedName>
    <definedName name="sample_mgmt_az2_mgmt_cidr">'Configure Management Domain'!$C$298</definedName>
    <definedName name="sample_mgmt_az2_mgmt_gateway_ip">'Configure Management Domain'!$C$297</definedName>
    <definedName name="sample_mgmt_az2_mgmt_mtu">'Configure Management Domain'!$C$299</definedName>
    <definedName name="sample_mgmt_az2_mgmt_vlan">'Configure Management Domain'!$C$296</definedName>
    <definedName name="sample_mgmt_az2_pool_name">'Configure Management Domain'!$C$321</definedName>
    <definedName name="sample_mgmt_az2_secondary_storage_cidr">'Management Domain As Built'!$C$82</definedName>
    <definedName name="sample_mgmt_az2_secondary_storage_gateway_ip">'Configure Management Domain'!$C$343</definedName>
    <definedName name="sample_mgmt_az2_secondary_storage_mask">'Configure Management Domain'!$C$342</definedName>
    <definedName name="sample_mgmt_az2_secondary_storage_mtu">'Configure Management Domain'!$C$340</definedName>
    <definedName name="sample_mgmt_az2_secondary_storage_network">'Configure Management Domain'!$C$341</definedName>
    <definedName name="sample_mgmt_az2_secondary_storage_pool_end_ip">'Configure Management Domain'!$C$345</definedName>
    <definedName name="sample_mgmt_az2_secondary_storage_pool_start_ip">'Configure Management Domain'!$C$344</definedName>
    <definedName name="sample_mgmt_az2_secondary_storage_vlan">'Configure Management Domain'!$C$339</definedName>
    <definedName name="sample_mgmt_az2_tor1_peer_asn">'Configure Management Domain'!$C$456</definedName>
    <definedName name="sample_mgmt_az2_tor1_peer_bgp_password">'Configure Management Domain'!$C$459</definedName>
    <definedName name="sample_mgmt_az2_tor1_peer_ip">'Configure Management Domain'!$C$455</definedName>
    <definedName name="sample_mgmt_az2_tor2_peer_asn">'Configure Management Domain'!$C$463</definedName>
    <definedName name="sample_mgmt_az2_tor2_peer_bgp_password">'Configure Management Domain'!$C$464</definedName>
    <definedName name="sample_mgmt_az2_tor2_peer_ip">'Configure Management Domain'!$C$460</definedName>
    <definedName name="sample_mgmt_az2_vmotion_gateway_cidr">'Configure Management Domain'!$C$327</definedName>
    <definedName name="sample_mgmt_az2_vmotion_ip">'Management Domain As Built'!$C$67</definedName>
    <definedName name="sample_mgmt_az2_vmotion_mask">'Configure Management Domain'!$C$326</definedName>
    <definedName name="sample_mgmt_az2_vmotion_mtu">'Configure Management Domain'!$C$324</definedName>
    <definedName name="sample_mgmt_az2_vmotion_network">'Configure Management Domain'!$C$325</definedName>
    <definedName name="sample_mgmt_az2_vmotion_pool_end_ip">'Configure Management Domain'!$C$329</definedName>
    <definedName name="sample_mgmt_az2_vmotion_pool_start_ip">'Configure Management Domain'!$C$328</definedName>
    <definedName name="sample_mgmt_az2_vmotion_vlan">'Configure Management Domain'!$C$323</definedName>
    <definedName name="sample_mgmt_az2_vsan_cidr">'Management Domain As Built'!$C$75</definedName>
    <definedName name="sample_mgmt_az2_vsan_gateway_ip">'Configure Management Domain'!$C$335</definedName>
    <definedName name="sample_mgmt_az2_vsan_mask">'Configure Management Domain'!$C$334</definedName>
    <definedName name="sample_mgmt_az2_vsan_mtu">'Configure Management Domain'!$C$332</definedName>
    <definedName name="sample_mgmt_az2_vsan_network">'Configure Management Domain'!$C$333</definedName>
    <definedName name="sample_mgmt_az2_vsan_pool_end_ip">'Configure Management Domain'!$C$337</definedName>
    <definedName name="sample_mgmt_az2_vsan_pool_start_ip">'Configure Management Domain'!$C$336</definedName>
    <definedName name="sample_mgmt_az2_vsan_vlan">'Configure Management Domain'!$C$331</definedName>
    <definedName name="sample_mgmt_cl01_az1_mgmt_pg">'Deploy Management Domain'!$K$239</definedName>
    <definedName name="sample_mgmt_cl01_az1_mgmt_vm_pg">'Deploy Management Domain'!$K$244</definedName>
    <definedName name="sample_mgmt_cl01_az1_nfs_pg">'Deploy Management Domain'!$K$264</definedName>
    <definedName name="sample_mgmt_cl01_az1_uplink01_pg">'Configure Management Domain'!$C$230</definedName>
    <definedName name="sample_mgmt_cl01_az1_uplink02_pg">'Configure Management Domain'!$C$234</definedName>
    <definedName name="sample_mgmt_cl01_az1_vcf_mgmt_pg">'Deploy Management Domain'!$K$249</definedName>
    <definedName name="sample_mgmt_cl01_az1_vmotion_pg">'Deploy Management Domain'!$K$254</definedName>
    <definedName name="sample_mgmt_cl01_az1_vsan_pg">'Deploy Management Domain'!$K$259</definedName>
    <definedName name="sample_mgmt_cl01_cluster">'Deploy Management Domain'!$K$183</definedName>
    <definedName name="sample_mgmt_cl01_cluster_sddc_id">'Configure Management Domain'!$C$445</definedName>
    <definedName name="sample_mgmt_cl01_nfs_server_ip">'Deploy Management Domain'!$K$195</definedName>
    <definedName name="sample_mgmt_cl01_nfs_share">'Deploy Management Domain'!$K$194</definedName>
    <definedName name="sample_mgmt_cl01_vds01_lag_name">'Deploy Management Domain'!$K$209</definedName>
    <definedName name="sample_mgmt_cl01_vds01_mtu">'Deploy Management Domain'!$K$207</definedName>
    <definedName name="sample_mgmt_cl01_vds01_name">'Deploy Management Domain'!$K$206</definedName>
    <definedName name="sample_mgmt_cl01_vds01_uplink_count">'Deploy Management Domain'!$K$213</definedName>
    <definedName name="sample_mgmt_cl01_vds01_uplink1">'Deploy Management Domain'!$K$214</definedName>
    <definedName name="sample_mgmt_cl01_vds01_uplink2">'Deploy Management Domain'!$K$215</definedName>
    <definedName name="sample_mgmt_cl01_vds02_lag_name">'Deploy Management Domain'!$K$220</definedName>
    <definedName name="sample_mgmt_cl01_vds02_mtu">'Deploy Management Domain'!$K$218</definedName>
    <definedName name="sample_mgmt_cl01_vds02_name">'Deploy Management Domain'!$K$217</definedName>
    <definedName name="sample_mgmt_cl01_vds02_uplink_count">'Deploy Management Domain'!$K$224</definedName>
    <definedName name="sample_mgmt_cl01_vds02_uplink1">'Deploy Management Domain'!$K$225</definedName>
    <definedName name="sample_mgmt_cl01_vds02_uplink2">'Deploy Management Domain'!$K$226</definedName>
    <definedName name="sample_mgmt_cl01_vds03_lag_name">'Deploy Management Domain'!$K$231</definedName>
    <definedName name="sample_mgmt_cl01_vds03_mtu">'Deploy Management Domain'!$K$229</definedName>
    <definedName name="sample_mgmt_cl01_vds03_name">'Deploy Management Domain'!$K$228</definedName>
    <definedName name="sample_mgmt_cl01_vds03_uplink_count">'Deploy Management Domain'!$K$235</definedName>
    <definedName name="sample_mgmt_cl01_vds03_uplink1">'Deploy Management Domain'!$K$236</definedName>
    <definedName name="sample_mgmt_cl01_vds03_uplink2">'Deploy Management Domain'!$K$237</definedName>
    <definedName name="sample_mgmt_cl01_vsan_datastore">'Deploy Management Domain'!$K$190</definedName>
    <definedName name="sample_mgmt_cross_instance_linked_t0_name">'Configure Management Domain'!$C$594</definedName>
    <definedName name="sample_mgmt_datacenter">'Deploy Management Domain'!$K$182</definedName>
    <definedName name="sample_mgmt_depot_activation_code">'Deploy Management Domain'!$K$13</definedName>
    <definedName name="sample_mgmt_ec_mtu">'Configure Management Domain'!$C$96</definedName>
    <definedName name="sample_mgmt_ec_name">'Configure Management Domain'!$C$95</definedName>
    <definedName name="sample_mgmt_ec_rp_name">'Configure Management Domain'!$C$101</definedName>
    <definedName name="sample_mgmt_ec01_en01_host_group_affinity_rule_name">'Configure Management Domain'!$C$103</definedName>
    <definedName name="sample_mgmt_ec01_en02_host_group_affinity_rule_name">'Configure Management Domain'!$C$132</definedName>
    <definedName name="sample_mgmt_en_asn">'Configure Management Domain'!$C$159</definedName>
    <definedName name="sample_mgmt_existing_active_nsx_gm">'Configure Management Domain'!$C$602</definedName>
    <definedName name="sample_mgmt_existing_cross_instance_t0_name">'Configure Management Domain'!$C$603</definedName>
    <definedName name="sample_mgmt_host_overlay_transportzone">Arkham!$X$5</definedName>
    <definedName name="sample_mgmt_internet_proxy_address">'Deploy Management Domain'!$K$16</definedName>
    <definedName name="sample_mgmt_internet_proxy_email">'Deploy Management Domain'!$K$19</definedName>
    <definedName name="sample_mgmt_internet_proxy_password">'Deploy Management Domain'!$K$20</definedName>
    <definedName name="sample_mgmt_internet_proxy_port">'Deploy Management Domain'!$K$17</definedName>
    <definedName name="sample_mgmt_nsxt_en_admin_password">'Configure Management Domain'!$C$154</definedName>
    <definedName name="sample_mgmt_nsxt_en_root_password">'Configure Management Domain'!$C$153</definedName>
    <definedName name="sample_mgmt_nsxt_federation_global_manager_name">'Configure Management Domain'!$C$569</definedName>
    <definedName name="sample_mgmt_nsxt_federation_location_name">'Configure Management Domain'!$C$583</definedName>
    <definedName name="sample_mgmt_nsxt_global_mgr_anti_affinity_rule_name">'Configure Management Domain'!$C$540</definedName>
    <definedName name="sample_mgmt_nsxt_global_mgr_certificate_id">'Configure Management Domain'!$C$552</definedName>
    <definedName name="sample_mgmt_nsxt_global_mgr_cluster_id">'Configure Management Domain'!$C$524</definedName>
    <definedName name="sample_mgmt_nsxt_global_mgr_vmca_signed_thumbprint">'Configure Management Domain'!$C$525</definedName>
    <definedName name="sample_mgmt_nsxt_global_mgra_fqdn">'Configure Management Domain'!$C$480</definedName>
    <definedName name="sample_mgmt_nsxt_global_mgra_hostname">'Configure Management Domain'!$C$471</definedName>
    <definedName name="sample_mgmt_nsxt_global_mgra_ip">'Configure Management Domain'!$C$481</definedName>
    <definedName name="sample_mgmt_nsxt_global_mgrb_fqdn">'Configure Management Domain'!$C$497</definedName>
    <definedName name="sample_mgmt_nsxt_global_mgrb_hostname">'Configure Management Domain'!$C$488</definedName>
    <definedName name="sample_mgmt_nsxt_global_mgrb_ip">'Configure Management Domain'!$C$498</definedName>
    <definedName name="sample_mgmt_nsxt_global_mgrc_fqdn">'Configure Management Domain'!$C$514</definedName>
    <definedName name="sample_mgmt_nsxt_global_mgrc_hostname">'Configure Management Domain'!$C$505</definedName>
    <definedName name="sample_mgmt_nsxt_global_mgrc_ip">'Configure Management Domain'!$C$515</definedName>
    <definedName name="sample_mgmt_nsxt_gm_fingerprint">'Configure Management Domain'!$C$572</definedName>
    <definedName name="sample_mgmt_nsxt_gm_vip_fqdn">'Configure Management Domain'!$C$521</definedName>
    <definedName name="sample_mgmt_nsxt_gm_vip_ip">'Configure Management Domain'!$C$546</definedName>
    <definedName name="sample_mgmt_nsxt_lm_fingerprint">'Configure Management Domain'!$C$581</definedName>
    <definedName name="sample_mgmt_nsxt_mgra_fqdn">'Deploy Management Domain'!$K$279</definedName>
    <definedName name="sample_mgmt_nsxt_mgra_ip">'Deploy Management Domain'!$K$391</definedName>
    <definedName name="sample_mgmt_nsxt_mgrb_fqdn">'Deploy Management Domain'!$K$280</definedName>
    <definedName name="sample_mgmt_nsxt_mgrb_ip">'Deploy Management Domain'!$K$392</definedName>
    <definedName name="sample_mgmt_nsxt_mgrc_fqdn">'Deploy Management Domain'!$K$281</definedName>
    <definedName name="sample_mgmt_nsxt_mgrc_ip">'Deploy Management Domain'!$K$393</definedName>
    <definedName name="sample_mgmt_nsxt_vip_fqdn">'Deploy Management Domain'!$K$278</definedName>
    <definedName name="sample_mgmt_nsxt_vip_ip">'Deploy Management Domain'!$K$390</definedName>
    <definedName name="sample_mgmt_nsxt_xreg_t1_name">'Configure Management Domain'!$C$593</definedName>
    <definedName name="sample_mgmt_offline_depot_fqdn">'Deploy Management Domain'!$K$10</definedName>
    <definedName name="sample_mgmt_offline_depot_port">'Deploy Management Domain'!$K$11</definedName>
    <definedName name="sample_mgmt_recovery_lb_creation_method">'Dumping Ground'!$C$53</definedName>
    <definedName name="sample_mgmt_rtep_overlay_pool_end_ip">'Configure Management Domain'!$C$564</definedName>
    <definedName name="sample_mgmt_rtep_overlay_pool_start_ip">'Configure Management Domain'!$C$563</definedName>
    <definedName name="sample_mgmt_rwr_recovery_site_az1_mgmt_cidr">'On-Premises Ransomware Recovery'!$C$101</definedName>
    <definedName name="sample_mgmt_rwr_vc_fqdn">'On-Premises Ransomware Recovery'!$C$9</definedName>
    <definedName name="sample_mgmt_sddc_domain">'Deploy Management Domain'!$K$68</definedName>
    <definedName name="sample_mgmt_srm_admin_email">'Dumping Ground'!$C$41</definedName>
    <definedName name="sample_mgmt_srm_admin_password">'Dumping Ground'!$C$38</definedName>
    <definedName name="sample_mgmt_srm_database_password">'Dumping Ground'!$C$39</definedName>
    <definedName name="sample_mgmt_srm_days">'Site Protection &amp; DR'!$C$255</definedName>
    <definedName name="sample_mgmt_srm_instances_per_day">'Site Protection &amp; DR'!$C$254</definedName>
    <definedName name="sample_mgmt_srm_ip">'Dumping Ground'!$F$6</definedName>
    <definedName name="sample_mgmt_srm_logs_pg">'Site Protection &amp; DR'!$C$282</definedName>
    <definedName name="sample_mgmt_srm_logs_rp">'Site Protection &amp; DR'!$C$283</definedName>
    <definedName name="sample_mgmt_srm_net_pg">'Site Protection &amp; DR'!$C$307</definedName>
    <definedName name="sample_mgmt_srm_net_rp">'Site Protection &amp; DR'!$C$308</definedName>
    <definedName name="sample_mgmt_srm_p12_password">'Dumping Ground'!$C$42</definedName>
    <definedName name="sample_mgmt_srm_recovery_cluster">'Site Protection &amp; DR'!$C$324</definedName>
    <definedName name="sample_mgmt_srm_recovery_datastore">'Site Protection &amp; DR'!$C$252</definedName>
    <definedName name="sample_mgmt_srm_recovery_gateway">'Site Protection &amp; DR'!$C$382</definedName>
    <definedName name="sample_mgmt_srm_recovery_mask">'Site Protection &amp; DR'!$C$383</definedName>
    <definedName name="sample_mgmt_srm_recovery_nsx_ec_name">'Dumping Ground'!$C$60</definedName>
    <definedName name="sample_mgmt_srm_recovery_nsx_location">'Dumping Ground'!$C$59</definedName>
    <definedName name="sample_mgmt_srm_recovery_pg">'Site Protection &amp; DR'!$C$376</definedName>
    <definedName name="sample_mgmt_srm_recovery_sddc_manager_domain">'Dumping Ground'!$C$58</definedName>
    <definedName name="sample_mgmt_srm_recovery_sddc_manager_fqdn">'Dumping Ground'!$C$17</definedName>
    <definedName name="sample_mgmt_srm_recovery_sddc_manager_password">'Dumping Ground'!$C$19</definedName>
    <definedName name="sample_mgmt_srm_recovery_sddc_manager_username">'Dumping Ground'!$C$18</definedName>
    <definedName name="sample_mgmt_srm_recovery_t1_si_ip">'Dumping Ground'!$F$7</definedName>
    <definedName name="sample_mgmt_srm_recovery_vcenter_fqdn">'Site Protection &amp; DR'!$C$217</definedName>
    <definedName name="sample_mgmt_srm_recovery_vcenter_password">'Site Protection &amp; DR'!$C$219</definedName>
    <definedName name="sample_mgmt_srm_recovery_vcenter_username">'Site Protection &amp; DR'!$C$218</definedName>
    <definedName name="sample_mgmt_srm_root_password">'Dumping Ground'!$C$37</definedName>
    <definedName name="sample_mgmt_srm_rpo">'Site Protection &amp; DR'!$C$253</definedName>
    <definedName name="sample_mgmt_srm_site_name">'Dumping Ground'!$C$40</definedName>
    <definedName name="sample_mgmt_srm_sso_domain_membership">'Dumping Ground'!$C$64</definedName>
    <definedName name="sample_mgmt_srm_vm_folder">'Dumping Ground'!$C$36</definedName>
    <definedName name="sample_mgmt_srm_vra_pg">'Dumping Ground'!$C$50</definedName>
    <definedName name="sample_mgmt_srm_vra_rp">'Dumping Ground'!$C$51</definedName>
    <definedName name="sample_mgmt_srm_vrops_pg">'Site Protection &amp; DR'!$C$256</definedName>
    <definedName name="sample_mgmt_srm_vrops_rp">'Site Protection &amp; DR'!$C$257</definedName>
    <definedName name="sample_mgmt_srm_vrslcm_wsa_pg">'Dumping Ground'!$C$46</definedName>
    <definedName name="sample_mgmt_srm_vrslcm_wsa_rp">'Dumping Ground'!$C$47</definedName>
    <definedName name="sample_mgmt_sso_domain">'Deploy Management Domain'!$K$184</definedName>
    <definedName name="sample_mgmt_sso_domain_username">'Deploy Management Domain'!$K$185</definedName>
    <definedName name="sample_mgmt_supvr_api_server_fqdn">'Configure Management Domain'!$C$273</definedName>
    <definedName name="sample_mgmt_supvr_cp_storage_policy">'Configure Management Domain'!$C$250</definedName>
    <definedName name="sample_mgmt_supvr_ed_storage_policy">'Configure Management Domain'!$C$251</definedName>
    <definedName name="sample_mgmt_supvr_ic_storage_policy">'Configure Management Domain'!$C$252</definedName>
    <definedName name="sample_mgmt_supvr_ip_address_range">'Configure Management Domain'!$C$256</definedName>
    <definedName name="sample_mgmt_supvr_mgmt_dns_server">'Configure Management Domain'!$C$259</definedName>
    <definedName name="sample_mgmt_supvr_mgmt_dns_zones">'Configure Management Domain'!$C$260</definedName>
    <definedName name="sample_mgmt_supvr_mgmt_ntp_server">'Configure Management Domain'!$C$261</definedName>
    <definedName name="sample_mgmt_supvr_name">'Configure Management Domain'!$C$245</definedName>
    <definedName name="sample_mgmt_supvr_nsx_project">'Configure Management Domain'!$C$263</definedName>
    <definedName name="sample_mgmt_supvr_vpc_connectivity_profile">'Configure Management Domain'!$C$264</definedName>
    <definedName name="sample_mgmt_supvr_vpc_ext_ip_blocks_name">'Configure Management Domain'!$C$265</definedName>
    <definedName name="sample_mgmt_supvr_vpc_priv_cidr">'Configure Management Domain'!$C$267</definedName>
    <definedName name="sample_mgmt_supvr_vpc_priv_ip_blocks_name">'Configure Management Domain'!$C$266</definedName>
    <definedName name="sample_mgmt_supvr_vpc_service_cidr">'Configure Management Domain'!$C$268</definedName>
    <definedName name="sample_mgmt_supvr_wld_dns_server">'Configure Management Domain'!$C$269</definedName>
    <definedName name="sample_mgmt_supvr_wld_ntp_server">'Configure Management Domain'!$C$270</definedName>
    <definedName name="sample_mgmt_supvr_zone_name">'Configure Management Domain'!$C$248</definedName>
    <definedName name="sample_mgmt_tier0_name">'Configure Management Domain'!$C$156</definedName>
    <definedName name="sample_mgmt_tier1_name">'Value Reference Tables'!$T$208</definedName>
    <definedName name="sample_mgmt_vc_fqdn">'Deploy Management Domain'!$K$181</definedName>
    <definedName name="sample_mgmt_vc_ip">'Deploy Management Domain'!$K$388</definedName>
    <definedName name="sample_mgmt_vna_rp_name">'Configure Management Domain'!$C$210</definedName>
    <definedName name="sample_mgmt_vnaa_cidr">'Configure Management Domain'!$C$214</definedName>
    <definedName name="sample_mgmt_vnaa_fqdn">'Configure Management Domain'!$C$208</definedName>
    <definedName name="sample_mgmt_vnab_cidr">'Configure Management Domain'!$C$224</definedName>
    <definedName name="sample_mgmt_vnab_fqdn">'Configure Management Domain'!$C$218</definedName>
    <definedName name="sample_mgmt_vpc_ext_ip_blocks_cidr">'Configure Management Domain'!$C$196</definedName>
    <definedName name="sample_mgmt_vpc_ext_ip_blocks_excluded_ips">'Configure Management Domain'!$C$197</definedName>
    <definedName name="sample_mgmt_vpc_ext_ip_blocks_name">'Configure Management Domain'!$C$194</definedName>
    <definedName name="sample_mgmt_vpc_ext_ip_blocks_reserved">'Configure Management Domain'!$C$198</definedName>
    <definedName name="sample_mgmt_vpc_ext_ip_blocks_visability">'Configure Management Domain'!$C$195</definedName>
    <definedName name="sample_mgmt_vpc_priv_ip_blocks_excluded_ips">'Configure Management Domain'!$C$202</definedName>
    <definedName name="sample_mgmt_vpc_priv_ip_blocks_name">'Configure Management Domain'!$C$199</definedName>
    <definedName name="sample_mgmt_vpc_priv_ip_blocks_reserved">'Configure Management Domain'!$C$203</definedName>
    <definedName name="sample_mgmt_vpc_priv_ip_blocks_visability">'Configure Management Domain'!$C$200</definedName>
    <definedName name="sample_mgmt_vpc_transit_gateway_ip_blocks_cidr">'Configure Management Domain'!$C$201</definedName>
    <definedName name="sample_mgmt_vpc_vna_cluster_name">'Configure Management Domain'!$C$205</definedName>
    <definedName name="sample_mgmt_vpc_vna_cluster_size_chosen">'Configure Management Domain'!$C$206</definedName>
    <definedName name="sample_mgmt_vrms_admin_email">'Site Protection &amp; DR'!$C$153</definedName>
    <definedName name="sample_mgmt_vrms_admin_password">'Dumping Ground'!$C$30</definedName>
    <definedName name="sample_mgmt_vrms_hostname">'Dumping Ground'!$D$4</definedName>
    <definedName name="sample_mgmt_vrms_mgmt_ip">'Site Protection &amp; DR'!$C$113</definedName>
    <definedName name="sample_mgmt_vrms_p12_password">'Dumping Ground'!$C$34</definedName>
    <definedName name="sample_mgmt_vrms_pg">'Site Protection &amp; DR'!$C$162</definedName>
    <definedName name="sample_mgmt_vrms_recovery_replication_cidr">'Dumping Ground'!$C$63</definedName>
    <definedName name="sample_mgmt_vrms_root_password">'Dumping Ground'!$C$29</definedName>
    <definedName name="sample_mgmt_vrms_site_name">'Site Protection &amp; DR'!$C$152</definedName>
    <definedName name="sample_mgmt_vrms_vm_folder">'Dumping Ground'!$C$28</definedName>
    <definedName name="sample_mgmt_vrms_vrms_ip">'Dumping Ground'!$F$5</definedName>
    <definedName name="sample_mgmt_vsan_dit_rekey_custom_interval">'Deploy Management Domain'!$K$193</definedName>
    <definedName name="sample_mgmt_vsan_dit_rekey_default_interval">'Deploy Management Domain'!$K$192</definedName>
    <definedName name="sample_mgmt_witness_cluster">'Configure Management Domain'!$C$384</definedName>
    <definedName name="sample_mgmt_witness_dns1_ip">'Configure Management Domain'!$C$395</definedName>
    <definedName name="sample_mgmt_witness_dns2_ip">'Configure Management Domain'!$C$396</definedName>
    <definedName name="sample_mgmt_witness_fqdn">'Configure Management Domain'!$C$442</definedName>
    <definedName name="sample_mgmt_witness_hostname">'Configure Management Domain'!$C$383</definedName>
    <definedName name="sample_mgmt_witness_ip">'Configure Management Domain'!$C$390</definedName>
    <definedName name="sample_mgmt_witness_mgmt_pg">'Configure Management Domain'!$C$387</definedName>
    <definedName name="sample_mgmt_witness_ntp1_server">'Configure Management Domain'!$C$397</definedName>
    <definedName name="sample_mgmt_witness_ntp2_server">'Configure Management Domain'!$C$398</definedName>
    <definedName name="sample_mgmt_witness_root_password">'Configure Management Domain'!$C$389</definedName>
    <definedName name="sample_mgmt_witness_vm_folder">'Configure Management Domain'!$C$385</definedName>
    <definedName name="sample_mgmt_witness_vsan_datastore">'Configure Management Domain'!$C$386</definedName>
    <definedName name="sample_mgmt_witness_zone_vc_fqdn">'Configure Management Domain'!$C$381</definedName>
    <definedName name="sample_mgmt_witness_zone_vc_ip">'Configure Management Domain'!$C$382</definedName>
    <definedName name="sample_mgmt_witnessaz_mgmt_cidr">'Configure Management Domain'!$C$378</definedName>
    <definedName name="sample_mgmt_witnessaz_mgmt_gateway_ip">'Configure Management Domain'!$C$377</definedName>
    <definedName name="sample_mgmt_witnessaz_mgmt_mtu">'Configure Management Domain'!$C$379</definedName>
    <definedName name="sample_mgmt_witnessaz_mgmt_vlan">'Configure Management Domain'!$C$376</definedName>
    <definedName name="sample_nsxt_gm_admin_password">'Configure Management Domain'!$C$478</definedName>
    <definedName name="sample_nsxt_gm_audit_password">'Configure Management Domain'!$C$479</definedName>
    <definedName name="sample_nsxt_gm_root_password">'Configure Management Domain'!$C$477</definedName>
    <definedName name="sample_nsxt_lm_admin_password">'Deploy Management Domain'!$K$311</definedName>
    <definedName name="sample_nsxt_lm_audit_password">'Deploy Management Domain'!$K$313</definedName>
    <definedName name="sample_nsxt_lm_root_password">'Deploy Management Domain'!$K$312</definedName>
    <definedName name="sample_parent_ad_groups_ou">'Active Directory Inputs'!$D$10</definedName>
    <definedName name="sample_parent_ad_users_ou">'Active Directory Inputs'!$F$10</definedName>
    <definedName name="sample_parent_dns_zone">'Deploy Management Domain'!$K$71</definedName>
    <definedName name="sample_parent_gg_wsa_admins_group">'Active Directory Inputs'!$D$59</definedName>
    <definedName name="sample_parent_gg_wsa_directory_admins_group">'Active Directory Inputs'!$D$60</definedName>
    <definedName name="sample_parent_gg_wsa_read_only_group">'Active Directory Inputs'!$D$61</definedName>
    <definedName name="sample_region_ad_child_fqdn">'Value Reference Tables'!$C$10</definedName>
    <definedName name="sample_region_ad_child_netbios">'Active Directory Inputs'!$F$9</definedName>
    <definedName name="sample_region_ad_parent_fqdn">'Value Reference Tables'!$C$9</definedName>
    <definedName name="sample_region_ad_parent_netbios">'Active Directory Inputs'!$F$8</definedName>
    <definedName name="sample_region_dns1_ip">'Deploy Management Domain'!$K$72</definedName>
    <definedName name="sample_region_dns2_ip">'Deploy Management Domain'!$K$73</definedName>
    <definedName name="sample_region_ntp1_server">'Deploy Management Domain'!$K$75</definedName>
    <definedName name="sample_region_ntp2_server">'Deploy Management Domain'!$K$76</definedName>
    <definedName name="sample_rwr_cert_country_code">'On-Premises Ransomware Recovery'!$C$34</definedName>
    <definedName name="sample_rwr_cert_file">'On-Premises Ransomware Recovery'!$C$37</definedName>
    <definedName name="sample_rwr_cert_locality">'On-Premises Ransomware Recovery'!$C$32</definedName>
    <definedName name="sample_rwr_cert_organisation">'On-Premises Ransomware Recovery'!$C$30</definedName>
    <definedName name="sample_rwr_cert_ou">'On-Premises Ransomware Recovery'!$C$31</definedName>
    <definedName name="sample_rwr_cert_state">'On-Premises Ransomware Recovery'!$C$33</definedName>
    <definedName name="sample_rwr_child_dns_zone">'On-Premises Ransomware Recovery'!$C$20</definedName>
    <definedName name="sample_rwr_datacenter">'On-Premises Ransomware Recovery'!$C$143</definedName>
    <definedName name="sample_rwr_sso_domain_name">'On-Premises Ransomware Recovery'!$C$43</definedName>
    <definedName name="sample_rwr_vlr_replication_password">'On-Premises Ransomware Recovery'!$C$45</definedName>
    <definedName name="sample_rwr_vrms_pg">'On-Premises Ransomware Recovery'!$C$71</definedName>
    <definedName name="sample_sddc_mgr_admin_local_password">'Deploy Management Domain'!$K$317</definedName>
    <definedName name="sample_sddc_mgr_fqdn">'Deploy Management Domain'!$K$292</definedName>
    <definedName name="sample_sddc_mgr_ip">'Deploy Management Domain'!$K$387</definedName>
    <definedName name="sample_sddc_mgr_root_password">'Deploy Management Domain'!$K$315</definedName>
    <definedName name="sample_sddc_mgr_vcf_password">'Deploy Management Domain'!$K$316</definedName>
    <definedName name="sample_sftp_server">'Configure Management Domain'!$C$22</definedName>
    <definedName name="sample_sftp_server_backup_dir">'Configure Management Domain'!$C$27</definedName>
    <definedName name="sample_sftp_server_passphrase">'Configure Management Domain'!$C$29</definedName>
    <definedName name="sample_sftp_server_port">'Configure Management Domain'!$C$23</definedName>
    <definedName name="sample_sftp_server_protocol">'Configure Management Domain'!$C$24</definedName>
    <definedName name="sample_sftp_server_sshfingerprint">'Configure Management Domain'!$C$28</definedName>
    <definedName name="sample_smtp_server">Arkham!$B$16</definedName>
    <definedName name="sample_smtp_server_port">Arkham!$B$17</definedName>
    <definedName name="sample_svc_cbr_vcdr_vsphere_password">'Cloud-Based Ransomware Recovery'!$C$16</definedName>
    <definedName name="sample_svc_cbr_vcdr_vsphere_user">'Cloud-Based Ransomware Recovery'!$C$15</definedName>
    <definedName name="sample_svc_ccm_hcx_nsx_password">'Active Directory Inputs'!$F$49</definedName>
    <definedName name="sample_svc_ccm_hcx_nsx_user">'Active Directory Inputs'!$D$49</definedName>
    <definedName name="sample_svc_ccm_hcx_vsphere_password">'Active Directory Inputs'!$F$48</definedName>
    <definedName name="sample_svc_ccm_hcx_vsphere_user">'Active Directory Inputs'!$D$48</definedName>
    <definedName name="sample_svc_hrm_vcf_password">'Active Directory Inputs'!$F$44</definedName>
    <definedName name="sample_svc_ila_ad_password">'Active Directory Inputs'!$F$24</definedName>
    <definedName name="sample_svc_ila_ad_user">'Active Directory Inputs'!$D$24</definedName>
    <definedName name="sample_svc_inv_ad_password">'Active Directory Inputs'!$F$32</definedName>
    <definedName name="sample_svc_inv_ad_user">'Active Directory Inputs'!$D$32</definedName>
    <definedName name="sample_svc_inv_vrops_password">'Active Directory Inputs'!$F$34</definedName>
    <definedName name="sample_svc_inv_vrops_user">'Active Directory Inputs'!$D$34</definedName>
    <definedName name="sample_svc_inv_vsphere_password">'Active Directory Inputs'!$F$33</definedName>
    <definedName name="sample_svc_inv_vsphere_user">'Active Directory Inputs'!$D$33</definedName>
    <definedName name="sample_svc_iom_vcf_password">'Active Directory Inputs'!$F$27</definedName>
    <definedName name="sample_svc_iom_vcf_user">'Active Directory Inputs'!$D$27</definedName>
    <definedName name="sample_svc_iom_vsphere_password">'Active Directory Inputs'!$F$28</definedName>
    <definedName name="sample_svc_iom_vsphere_user">'Active Directory Inputs'!$D$28</definedName>
    <definedName name="sample_svc_my_vmware_password">'Deploy Management Domain'!$K$12</definedName>
    <definedName name="sample_svc_vcf_bck_password">'Configure Management Domain'!$C$26</definedName>
    <definedName name="sample_svc_vcf_bck_user">'Configure Management Domain'!$C$25</definedName>
    <definedName name="sample_svc_vcf_ca_vcf_password">'Configure Management Domain'!$C$56</definedName>
    <definedName name="sample_svc_vcf_ca_vcf_user">'Configure Management Domain'!$C$51</definedName>
    <definedName name="sample_svc_vra_nsx_password">'Active Directory Inputs'!$F$38</definedName>
    <definedName name="sample_svc_vra_nsx_user">'Active Directory Inputs'!$D$38</definedName>
    <definedName name="sample_svc_vra_vcf_password">'Active Directory Inputs'!$F$39</definedName>
    <definedName name="sample_svc_vra_vcf_user">'Active Directory Inputs'!$D$39</definedName>
    <definedName name="sample_svc_vra_vrops_password">'Active Directory Inputs'!$F$41</definedName>
    <definedName name="sample_svc_vra_vrops_user">'Active Directory Inputs'!$D$41</definedName>
    <definedName name="sample_svc_vra_vsphere_password">'Active Directory Inputs'!$F$37</definedName>
    <definedName name="sample_svc_vra_vsphere_user">'Active Directory Inputs'!$D$37</definedName>
    <definedName name="sample_svc_vro_vsphere_password">'Active Directory Inputs'!$F$40</definedName>
    <definedName name="sample_svc_vro_vsphere_user">'Active Directory Inputs'!$D$40</definedName>
    <definedName name="sample_svc_vrops_vra_password">'Active Directory Inputs'!$F$29</definedName>
    <definedName name="sample_svc_vrops_vra_user">'Active Directory Inputs'!$D$29</definedName>
    <definedName name="sample_vcenter_root_password">'Deploy Management Domain'!$K$309</definedName>
    <definedName name="sample_vcf_automation_additional_vips">Arkham!$X$56</definedName>
    <definedName name="sample_vcf_automation_admin_password">'Deploy Fleet Management Day-N'!$C$80</definedName>
    <definedName name="sample_vcf_automation_admin_password_alias">Arkham!$X$41</definedName>
    <definedName name="sample_vcf_automation_admin_password_description">Arkham!$X$42</definedName>
    <definedName name="sample_vcf_automation_admin_username">Arkham!$X$43</definedName>
    <definedName name="sample_vcf_automation_cert_alias">Arkham!$X$15</definedName>
    <definedName name="sample_vcf_automation_cert_common_name">Arkham!$X$17</definedName>
    <definedName name="sample_vcf_automation_cert_country_code">Arkham!$X$20</definedName>
    <definedName name="sample_vcf_automation_cert_file">Arkham!$X$16</definedName>
    <definedName name="sample_vcf_automation_cert_locality">Arkham!$X$21</definedName>
    <definedName name="sample_vcf_automation_cert_organisation">Arkham!$X$18</definedName>
    <definedName name="sample_vcf_automation_cert_state">Arkham!$X$22</definedName>
    <definedName name="sample_vcf_automation_folder">Arkham!$X$28</definedName>
    <definedName name="sample_vcf_automation_gateway_ip">Arkham!$X$38</definedName>
    <definedName name="sample_vcf_automation_mask">Arkham!$X$39</definedName>
    <definedName name="sample_vcf_automation_node_pool_end_ip">'Deploy Fleet Management Day-N'!$C$87</definedName>
    <definedName name="sample_vcf_automation_node_pool_start_ip">'Deploy Fleet Management Day-N'!$C$86</definedName>
    <definedName name="sample_vcf_automation_nodea_ip">Arkham!$X$57</definedName>
    <definedName name="sample_vcf_automation_nodeb_ip">Arkham!$X$58</definedName>
    <definedName name="sample_vcf_automation_nodec_ip">Arkham!$X$59</definedName>
    <definedName name="sample_vcf_automation_noded_ip">Arkham!$X$60</definedName>
    <definedName name="sample_vcf_automation_nodee_ip">Arkham!$X$61</definedName>
    <definedName name="sample_vcf_automation_nodeef_ip">Arkham!$X$62</definedName>
    <definedName name="sample_vcf_automation_ou_cert">Arkham!$X$19</definedName>
    <definedName name="sample_vcf_automation_portgroup">Arkham!$X$30</definedName>
    <definedName name="sample_vcf_automation_resource_pool">Arkham!$X$29</definedName>
    <definedName name="sample_vcf_automation_root_password">Arkham!$X$45</definedName>
    <definedName name="sample_vcf_automation_root_password_alias">Arkham!$X$44</definedName>
    <definedName name="sample_vcf_automation_root_password_description">Arkham!$X$46</definedName>
    <definedName name="sample_vcf_automation_root_username">Arkham!$X$47</definedName>
    <definedName name="sample_vcf_automation_runtime_cidr">'Deploy Fleet Management Day-N'!$C$77</definedName>
    <definedName name="sample_vcf_automation_sr_fqdn">'Deploy Fleet Management Day-N'!$C$79</definedName>
    <definedName name="sample_vcf_automation_sr_ip">'Deploy Fleet Management Day-N'!$C$83</definedName>
    <definedName name="sample_vcf_automation_version">'Deploy Fleet Management Day-N'!$C$75</definedName>
    <definedName name="sample_vcf_automation_vip_fqdn">'Deploy Fleet Management Day-N'!$C$78</definedName>
    <definedName name="sample_vcf_automation_vip_ip">'Deploy Fleet Management Day-N'!$C$82</definedName>
    <definedName name="sample_vcf_installer_fqdn">'Value Reference Tables'!$C$8</definedName>
    <definedName name="sample_vcf_installer_ip">'Deploy Management Domain'!$K$386</definedName>
    <definedName name="sample_vcf_instance_name">'Deploy Management Domain'!$K$67</definedName>
    <definedName name="sample_vcfms_system_password">'Deploy Management Domain'!$K$303</definedName>
    <definedName name="sample_vrslcm_xreg_vm_folder">'Dumping Ground'!$C$98</definedName>
    <definedName name="sample_vvs_dr_dns1_ip">'Site Protection &amp; DR'!$C$69</definedName>
    <definedName name="sample_vvs_dr_dns2_ip">'Site Protection &amp; DR'!$C$70</definedName>
    <definedName name="sample_vvs_dr_flt_auto_fqdn">'Site Protection &amp; DR'!$C$67</definedName>
    <definedName name="sample_vvs_dr_flt_fleet_manager_fqdn">'Site Protection &amp; DR'!$C$13</definedName>
    <definedName name="sample_vvs_dr_flt_fleet_manager_hostname">'Site Protection &amp; DR'!$C$248</definedName>
    <definedName name="sample_vvs_dr_flt_logs_nodea_fqdn">'Site Protection &amp; DR'!$C$35</definedName>
    <definedName name="sample_vvs_dr_flt_logs_nodeb_fqdn">'Site Protection &amp; DR'!$C$36</definedName>
    <definedName name="sample_vvs_dr_flt_logs_nodec_fqdn">'Site Protection &amp; DR'!$C$37</definedName>
    <definedName name="sample_vvs_dr_flt_net_nodea_fqdn">'Site Protection &amp; DR'!$C$38</definedName>
    <definedName name="sample_vvs_dr_flt_net_nodeb_fqdn">'Site Protection &amp; DR'!$C$39</definedName>
    <definedName name="sample_vvs_dr_flt_net_nodec_fqdn">'Site Protection &amp; DR'!$C$40</definedName>
    <definedName name="sample_vvs_dr_flt_ops_nodea_fqdn">'Site Protection &amp; DR'!$C$21</definedName>
    <definedName name="sample_vvs_dr_flt_ops_nodea_hostname">'Site Protection &amp; DR'!$C$249</definedName>
    <definedName name="sample_vvs_dr_flt_ops_nodeb_fqdn">'Site Protection &amp; DR'!$C$33</definedName>
    <definedName name="sample_vvs_dr_flt_ops_nodeb_hostname">'Site Protection &amp; DR'!$C$250</definedName>
    <definedName name="sample_vvs_dr_flt_ops_nodec_fqdn">'Site Protection &amp; DR'!$C$34</definedName>
    <definedName name="sample_vvs_dr_flt_ops_nodec_hostname">'Site Protection &amp; DR'!$C$251</definedName>
    <definedName name="sample_vvs_dr_mgmt_az1_mgmt_vm_pg">'Site Protection &amp; DR'!$C$104</definedName>
    <definedName name="sample_vvs_dr_mgmt_cl01_cluster">'Site Protection &amp; DR'!$C$100</definedName>
    <definedName name="sample_vvs_dr_mgmt_cl01_datastore">'Site Protection &amp; DR'!$C$103</definedName>
    <definedName name="sample_vvs_dr_mgmt_vc_fqdn">'Site Protection &amp; DR'!$C$99</definedName>
    <definedName name="sample_vvs_dr_ntp1_server">'Site Protection &amp; DR'!$C$23</definedName>
    <definedName name="sample_vvs_dr_parent_dns_zone">'Site Protection &amp; DR'!$C$17</definedName>
    <definedName name="sample_vvs_dr_sso_domain">'Site Protection &amp; DR'!$C$133</definedName>
    <definedName name="sample_vvs_dr_vr_password">'Site Protection &amp; DR'!$C$135</definedName>
    <definedName name="sample_vvs_dr_vr_username">'Site Protection &amp; DR'!$C$134</definedName>
    <definedName name="sample_vvs_mgmt_dr_vlr_fqdn">'Site Protection &amp; DR'!$C$105</definedName>
    <definedName name="sample_vvs_mgmt_dr_vlr_hostname">'Site Protection &amp; DR'!$C$101</definedName>
    <definedName name="sample_witness_dns_zone">Arkham!$B$12</definedName>
    <definedName name="sample_wld_administrator_vsphere_local_password">'Deploy Workload Domain'!$C$359</definedName>
    <definedName name="sample_wld_avilb_cluster_name">'Configure Workload Domain'!$C$232</definedName>
    <definedName name="sample_wld_avilb_cluster_version">'Configure Workload Domain'!$C$222</definedName>
    <definedName name="sample_wld_avilb_fqdn">'Configure Workload Domain'!$C$231</definedName>
    <definedName name="sample_wld_avilb_ip">'Configure Workload Domain'!$C$230</definedName>
    <definedName name="sample_wld_avilb_mgra_ip">'Configure Workload Domain'!$C$227</definedName>
    <definedName name="sample_wld_avilb_mgrb_ip">'Configure Workload Domain'!$C$228</definedName>
    <definedName name="sample_wld_avilb_mgrc_ip">'Configure Workload Domain'!$C$229</definedName>
    <definedName name="sample_wld_az1_dtgw_gateway_cidr">'Configure Workload Domain'!$C$135</definedName>
    <definedName name="sample_wld_az1_dtgw_vlan">'Configure Workload Domain'!$C$134</definedName>
    <definedName name="sample_wld_az1_edge_overlay_cidr">'Configure Workload Domain'!$C$67</definedName>
    <definedName name="sample_wld_az1_edge_overlay_gateway_ip">'Configure Workload Domain'!$C$68</definedName>
    <definedName name="sample_wld_az1_edge_overlay_mask">'Configure Workload Domain'!$C$69</definedName>
    <definedName name="sample_wld_az1_edge_overlay_network_pool_name">'Configure Workload Domain'!$C$62</definedName>
    <definedName name="sample_wld_az1_edge_overlay_pool_end_ip">'Configure Workload Domain'!$C$64</definedName>
    <definedName name="sample_wld_az1_edge_overlay_pool_start_ip">'Configure Workload Domain'!$C$63</definedName>
    <definedName name="sample_wld_az1_edge_overlay_vlan">'Workload Domain As Built'!$C$22</definedName>
    <definedName name="sample_wld_az1_en1_edge_overlay_interface_ip_1_ip">'Configure Workload Domain'!$C$65</definedName>
    <definedName name="sample_wld_az1_en1_edge_overlay_interface_ip_2_ip">'Configure Workload Domain'!$C$66</definedName>
    <definedName name="sample_wld_az1_en1_eth0_uplink0">'Configure Workload Domain'!$C$55</definedName>
    <definedName name="sample_wld_az1_en1_eth0_uplink1">'Configure Workload Domain'!$C$56</definedName>
    <definedName name="sample_wld_az1_en1_eth1_uplink0">'Configure Workload Domain'!$C$57</definedName>
    <definedName name="sample_wld_az1_en1_eth1_uplink1">'Configure Workload Domain'!$C$58</definedName>
    <definedName name="sample_wld_az1_en1_fqdn">'Configure Workload Domain'!$C$42</definedName>
    <definedName name="sample_wld_az1_en1_hostname">'Configure Workload Domain'!$C$591</definedName>
    <definedName name="sample_wld_az1_en1_mgmt_cidr">'Configure Workload Domain'!$C$50</definedName>
    <definedName name="sample_wld_az1_en1_uplink01_interface_cidr">'Configure Workload Domain'!$C$105</definedName>
    <definedName name="sample_wld_az1_en1_uplink02_interface_cidr">'Configure Workload Domain'!$C$112</definedName>
    <definedName name="sample_wld_az1_en2_edge_overlay_interface_ip_1_ip">'Configure Workload Domain'!$C$90</definedName>
    <definedName name="sample_wld_az1_en2_edge_overlay_interface_ip_2_ip">'Configure Workload Domain'!$C$91</definedName>
    <definedName name="sample_wld_az1_en2_eth0_uplink0">'Configure Workload Domain'!$C$83</definedName>
    <definedName name="sample_wld_az1_en2_eth0_uplink1">'Configure Workload Domain'!$C$84</definedName>
    <definedName name="sample_wld_az1_en2_eth1_uplink0">'Configure Workload Domain'!$C$85</definedName>
    <definedName name="sample_wld_az1_en2_eth1_uplink1">'Configure Workload Domain'!$C$86</definedName>
    <definedName name="sample_wld_az1_en2_fqdn">'Configure Workload Domain'!$C$71</definedName>
    <definedName name="sample_wld_az1_en2_hostname">'Configure Workload Domain'!$C$603</definedName>
    <definedName name="sample_wld_az1_en2_mgmt_cidr">'Configure Workload Domain'!$C$79</definedName>
    <definedName name="sample_wld_az1_en2_uplink01_interface_cidr">'Configure Workload Domain'!$C$120</definedName>
    <definedName name="sample_wld_az1_en2_uplink02_interface_cidr">'Configure Workload Domain'!$C$127</definedName>
    <definedName name="sample_wld_az1_host_fqdns">'Deploy Workload Domain'!$C$131:$C$146</definedName>
    <definedName name="sample_wld_az1_host_mgmt_ips">'Deploy Workload Domain'!$C$62:$C$77</definedName>
    <definedName name="sample_wld_az1_host_overlay_cidr">'Deploy Workload Domain'!$C$323</definedName>
    <definedName name="sample_wld_az1_host_overlay_gateway_ip">'Deploy Workload Domain'!$C$326</definedName>
    <definedName name="sample_wld_az1_host_overlay_mtu">'Deploy Workload Domain'!$C$391</definedName>
    <definedName name="sample_wld_az1_host_overlay_network_pool_description">'Deploy Workload Domain'!$C$322</definedName>
    <definedName name="sample_wld_az1_host_overlay_network_pool_name">'Deploy Workload Domain'!$C$321</definedName>
    <definedName name="sample_wld_az1_host_overlay_pool_end_ip">'Deploy Workload Domain'!$C$325</definedName>
    <definedName name="sample_wld_az1_host_overlay_pool_start_ip">'Deploy Workload Domain'!$C$324</definedName>
    <definedName name="sample_wld_az1_host_overlay_uplink_profile_name">'Deploy Workload Domain'!$C$329</definedName>
    <definedName name="sample_wld_az1_host_overlay_vlan">'Deploy Workload Domain'!$C$318</definedName>
    <definedName name="sample_wld_az1_host1_fqdn">'Deploy Workload Domain'!$C$131</definedName>
    <definedName name="sample_wld_az1_host1_mgmt_ip">'Deploy Workload Domain'!$C$62</definedName>
    <definedName name="sample_wld_az1_host1_vrms_ip">'Dumping Ground'!$C$293</definedName>
    <definedName name="sample_wld_az1_host10_fqdn">'Deploy Workload Domain'!$C$140</definedName>
    <definedName name="sample_wld_az1_host10_mgmt_ip">'Deploy Workload Domain'!$C$71</definedName>
    <definedName name="sample_wld_az1_host10_vrms_ip">'Dumping Ground'!$C$302</definedName>
    <definedName name="sample_wld_az1_host11_fqdn">'Deploy Workload Domain'!$C$141</definedName>
    <definedName name="sample_wld_az1_host11_mgmt_ip">'Deploy Workload Domain'!$C$72</definedName>
    <definedName name="sample_wld_az1_host11_vrms_ip">'Dumping Ground'!$C$303</definedName>
    <definedName name="sample_wld_az1_host12_fqdn">'Deploy Workload Domain'!$C$142</definedName>
    <definedName name="sample_wld_az1_host12_mgmt_ip">'Deploy Workload Domain'!$C$73</definedName>
    <definedName name="sample_wld_az1_host12_vrms_ip">'Dumping Ground'!$C$304</definedName>
    <definedName name="sample_wld_az1_host13_fqdn">'Deploy Workload Domain'!$C$143</definedName>
    <definedName name="sample_wld_az1_host13_mgmt_ip">'Deploy Workload Domain'!$C$74</definedName>
    <definedName name="sample_wld_az1_host13_vrms_ip">'Dumping Ground'!$C$305</definedName>
    <definedName name="sample_wld_az1_host14_fqdn">'Deploy Workload Domain'!$C$144</definedName>
    <definedName name="sample_wld_az1_host14_mgmt_ip">'Deploy Workload Domain'!$C$75</definedName>
    <definedName name="sample_wld_az1_host14_vrms_ip">'Dumping Ground'!$C$306</definedName>
    <definedName name="sample_wld_az1_host15_fqdn">'Deploy Workload Domain'!$C$145</definedName>
    <definedName name="sample_wld_az1_host15_mgmt_ip">'Deploy Workload Domain'!$C$76</definedName>
    <definedName name="sample_wld_az1_host15_vrms_ip">'Dumping Ground'!$C$307</definedName>
    <definedName name="sample_wld_az1_host16_fqdn">'Deploy Workload Domain'!$C$146</definedName>
    <definedName name="sample_wld_az1_host16_mgmt_ip">'Deploy Workload Domain'!$C$77</definedName>
    <definedName name="sample_wld_az1_host16_vrms_ip">'Dumping Ground'!$C$308</definedName>
    <definedName name="sample_wld_az1_host2_fqdn">'Deploy Workload Domain'!$C$132</definedName>
    <definedName name="sample_wld_az1_host2_mgmt_ip">'Deploy Workload Domain'!$C$63</definedName>
    <definedName name="sample_wld_az1_host2_vrms_ip">'Dumping Ground'!$C$294</definedName>
    <definedName name="sample_wld_az1_host3_fqdn">'Deploy Workload Domain'!$C$133</definedName>
    <definedName name="sample_wld_az1_host3_mgmt_ip">'Deploy Workload Domain'!$C$64</definedName>
    <definedName name="sample_wld_az1_host3_vrms_ip">'Dumping Ground'!$C$295</definedName>
    <definedName name="sample_wld_az1_host4_fqdn">'Deploy Workload Domain'!$C$134</definedName>
    <definedName name="sample_wld_az1_host4_mgmt_ip">'Deploy Workload Domain'!$C$65</definedName>
    <definedName name="sample_wld_az1_host4_vrms_ip">'Dumping Ground'!$C$296</definedName>
    <definedName name="sample_wld_az1_host5_fqdn">'Deploy Workload Domain'!$C$135</definedName>
    <definedName name="sample_wld_az1_host5_mgmt_ip">'Deploy Workload Domain'!$C$66</definedName>
    <definedName name="sample_wld_az1_host5_vrms_ip">'Dumping Ground'!$C$297</definedName>
    <definedName name="sample_wld_az1_host6_fqdn">'Deploy Workload Domain'!$C$136</definedName>
    <definedName name="sample_wld_az1_host6_mgmt_ip">'Deploy Workload Domain'!$C$67</definedName>
    <definedName name="sample_wld_az1_host6_vrms_ip">'Dumping Ground'!$C$298</definedName>
    <definedName name="sample_wld_az1_host7_fqdn">'Deploy Workload Domain'!$C$137</definedName>
    <definedName name="sample_wld_az1_host7_mgmt_ip">'Deploy Workload Domain'!$C$68</definedName>
    <definedName name="sample_wld_az1_host7_vrms_ip">'Dumping Ground'!$C$299</definedName>
    <definedName name="sample_wld_az1_host8_fqdn">'Deploy Workload Domain'!$C$138</definedName>
    <definedName name="sample_wld_az1_host8_mgmt_ip">'Deploy Workload Domain'!$C$69</definedName>
    <definedName name="sample_wld_az1_host8_vrms_ip">'Dumping Ground'!$C$300</definedName>
    <definedName name="sample_wld_az1_host9_fqdn">'Deploy Workload Domain'!$C$139</definedName>
    <definedName name="sample_wld_az1_host9_mgmt_ip">'Deploy Workload Domain'!$C$70</definedName>
    <definedName name="sample_wld_az1_host9_vrms_ip">'Dumping Ground'!$C$301</definedName>
    <definedName name="sample_wld_az1_mgmt_gateway_cidr">'Deploy Workload Domain'!$C$60</definedName>
    <definedName name="sample_wld_az1_mgmt_mtu">'Deploy Workload Domain'!$C$59</definedName>
    <definedName name="sample_wld_az1_mgmt_vlan">'Deploy Workload Domain'!$C$58</definedName>
    <definedName name="sample_wld_az1_mgmt_vm_gateway_cidr">'Deploy Workload Domain'!$C$373</definedName>
    <definedName name="sample_wld_az1_mgmt_vm_mtu">'Deploy Workload Domain'!$C$374</definedName>
    <definedName name="sample_wld_az1_mgmt_vm_vlan">'Deploy Workload Domain'!$C$372</definedName>
    <definedName name="sample_wld_az1_pool_name">'Deploy Workload Domain'!$C$82</definedName>
    <definedName name="sample_wld_az1_principal_storage_gateway_cidr">'Deploy Workload Domain'!$C$99</definedName>
    <definedName name="sample_wld_az1_principal_storage_mtu">'Deploy Workload Domain'!$C$97</definedName>
    <definedName name="sample_wld_az1_principal_storage_pool_end_ip">'Deploy Workload Domain'!$C$102</definedName>
    <definedName name="sample_wld_az1_principal_storage_pool_start_ip">'Deploy Workload Domain'!$C$101</definedName>
    <definedName name="sample_wld_az1_principal_storage_vlan">'Deploy Workload Domain'!$C$96</definedName>
    <definedName name="sample_wld_az1_rack1_host_overlay_network_profile_name">'Deploy Workload Domain'!$C$333</definedName>
    <definedName name="sample_wld_az1_rack2_edge_overlay_gateway_ip">Arkham!$B$64</definedName>
    <definedName name="sample_wld_az1_rack2_edge_overlay_mask">Arkham!$B$67</definedName>
    <definedName name="sample_wld_az1_rack2_edge_overlay_mtu">Arkham!$B$70</definedName>
    <definedName name="sample_wld_az1_rack2_edge_overlay_network">Arkham!$B$61</definedName>
    <definedName name="sample_wld_az1_rack2_edge_overlay_network_pool_name">'Additional Racks'!$C$82</definedName>
    <definedName name="sample_wld_az1_rack2_edge_overlay_pool_end_ip">Arkham!$B$72</definedName>
    <definedName name="sample_wld_az1_rack2_edge_overlay_pool_start_ip">Arkham!$B$71</definedName>
    <definedName name="sample_wld_az1_rack2_edge_overlay_vlan">Arkham!$B$58</definedName>
    <definedName name="sample_wld_az1_rack2_host_hostnames">'Additional Racks'!$C$54:$C$69</definedName>
    <definedName name="sample_wld_az1_rack2_host_mgmt_ips">'Additional Racks'!$C$14:$C$29</definedName>
    <definedName name="sample_wld_az1_rack2_host_overlay_cidr">Arkham!$B$23</definedName>
    <definedName name="sample_wld_az1_rack2_host_overlay_gateway_ip">'Additional Racks'!$C$95</definedName>
    <definedName name="sample_wld_az1_rack2_host_overlay_mask">'Additional Racks'!$C$94</definedName>
    <definedName name="sample_wld_az1_rack2_host_overlay_mtu">'Additional Racks'!$C$92</definedName>
    <definedName name="sample_wld_az1_rack2_host_overlay_network">'Additional Racks'!$C$93</definedName>
    <definedName name="sample_wld_az1_rack2_host_overlay_network_pool_name">'Additional Racks'!$C$80</definedName>
    <definedName name="sample_wld_az1_rack2_host_overlay_network_profile_name">'Additional Racks'!$C$78</definedName>
    <definedName name="sample_wld_az1_rack2_host_overlay_pool_end_ip">'Additional Racks'!$C$97</definedName>
    <definedName name="sample_wld_az1_rack2_host_overlay_pool_start_ip">'Additional Racks'!$C$96</definedName>
    <definedName name="sample_wld_az1_rack2_host_overlay_uplink_profile_name">'Additional Racks'!$C$81</definedName>
    <definedName name="sample_wld_az1_rack2_host_overlay_vlan">'Additional Racks'!$C$91</definedName>
    <definedName name="sample_wld_az1_rack2_host1_fqdn">'Additional Racks'!$C$54</definedName>
    <definedName name="sample_wld_az1_rack2_host1_mgmt_ip">'Additional Racks'!$C$14</definedName>
    <definedName name="sample_wld_az1_rack2_host10_fqdn">'Additional Racks'!$C$63</definedName>
    <definedName name="sample_wld_az1_rack2_host10_mgmt_ip">'Additional Racks'!$C$23</definedName>
    <definedName name="sample_wld_az1_rack2_host11_fqdn">'Additional Racks'!$C$64</definedName>
    <definedName name="sample_wld_az1_rack2_host11_mgmt_ip">'Additional Racks'!$C$24</definedName>
    <definedName name="sample_wld_az1_rack2_host12_fqdn">'Additional Racks'!$C$65</definedName>
    <definedName name="sample_wld_az1_rack2_host12_mgmt_ip">'Additional Racks'!$C$25</definedName>
    <definedName name="sample_wld_az1_rack2_host13_fqdn">'Additional Racks'!$C$66</definedName>
    <definedName name="sample_wld_az1_rack2_host13_mgmt_ip">'Additional Racks'!$C$26</definedName>
    <definedName name="sample_wld_az1_rack2_host14_fqdn">'Additional Racks'!$C$67</definedName>
    <definedName name="sample_wld_az1_rack2_host14_mgmt_ip">'Additional Racks'!$C$27</definedName>
    <definedName name="sample_wld_az1_rack2_host15_fqdn">'Additional Racks'!$C$68</definedName>
    <definedName name="sample_wld_az1_rack2_host15_mgmt_ip">'Additional Racks'!$C$28</definedName>
    <definedName name="sample_wld_az1_rack2_host16_fqdn">'Additional Racks'!$C$69</definedName>
    <definedName name="sample_wld_az1_rack2_host16_mgmt_ip">'Additional Racks'!$C$29</definedName>
    <definedName name="sample_wld_az1_rack2_host2_fqdn">'Additional Racks'!$C$55</definedName>
    <definedName name="sample_wld_az1_rack2_host2_mgmt_ip">'Additional Racks'!$C$15</definedName>
    <definedName name="sample_wld_az1_rack2_host3_fqdn">'Additional Racks'!$C$56</definedName>
    <definedName name="sample_wld_az1_rack2_host3_mgmt_ip">'Additional Racks'!$C$16</definedName>
    <definedName name="sample_wld_az1_rack2_host4_fqdn">'Additional Racks'!$C$57</definedName>
    <definedName name="sample_wld_az1_rack2_host4_mgmt_ip">'Additional Racks'!$C$17</definedName>
    <definedName name="sample_wld_az1_rack2_host5_fqdn">'Additional Racks'!$C$58</definedName>
    <definedName name="sample_wld_az1_rack2_host5_mgmt_ip">'Additional Racks'!$C$18</definedName>
    <definedName name="sample_wld_az1_rack2_host6_fqdn">'Additional Racks'!$C$59</definedName>
    <definedName name="sample_wld_az1_rack2_host6_mgmt_ip">'Additional Racks'!$C$19</definedName>
    <definedName name="sample_wld_az1_rack2_host7_fqdn">'Additional Racks'!$C$60</definedName>
    <definedName name="sample_wld_az1_rack2_host7_mgmt_ip">'Additional Racks'!$C$20</definedName>
    <definedName name="sample_wld_az1_rack2_host8_fqdn">'Additional Racks'!$C$61</definedName>
    <definedName name="sample_wld_az1_rack2_host8_mgmt_ip">'Additional Racks'!$C$21</definedName>
    <definedName name="sample_wld_az1_rack2_host9_fqdn">'Additional Racks'!$C$62</definedName>
    <definedName name="sample_wld_az1_rack2_host9_mgmt_ip">'Additional Racks'!$C$22</definedName>
    <definedName name="sample_wld_az1_rack2_mgmt_cidr">'Additional Racks'!$C$11</definedName>
    <definedName name="sample_wld_az1_rack2_mgmt_gateway_ip">'Additional Racks'!$C$10</definedName>
    <definedName name="sample_wld_az1_rack2_mgmt_mtu">'Additional Racks'!$C$12</definedName>
    <definedName name="sample_wld_az1_rack2_mgmt_vlan">'Additional Racks'!$C$9</definedName>
    <definedName name="sample_wld_az1_rack2_mgmt_vm_cidr">'Value Reference Tables - MR'!$M$270</definedName>
    <definedName name="sample_wld_az1_rack2_mgmt_vm_gateway_ip">'Value Reference Tables - MR'!$O$275</definedName>
    <definedName name="sample_wld_az1_rack2_mgmt_vm_mtu">'Value Reference Tables - MR'!$Q$275</definedName>
    <definedName name="sample_wld_az1_rack2_mgmt_vm_vlan">'Value Reference Tables - MR'!$K$275</definedName>
    <definedName name="sample_wld_az1_rack2_pool_name">'Additional Racks'!$C$34</definedName>
    <definedName name="sample_wld_az1_rack2_principal_storage_cidr">Arkham!$B$21</definedName>
    <definedName name="sample_wld_az1_rack2_principal_storage_gateway_ip">'Additional Racks'!$C$48</definedName>
    <definedName name="sample_wld_az1_rack2_principal_storage_mask">'Additional Racks'!$C$47</definedName>
    <definedName name="sample_wld_az1_rack2_principal_storage_mtu">'Additional Racks'!$C$45</definedName>
    <definedName name="sample_wld_az1_rack2_principal_storage_network">'Additional Racks'!$C$46</definedName>
    <definedName name="sample_wld_az1_rack2_principal_storage_pool_end_ip">'Additional Racks'!$C$50</definedName>
    <definedName name="sample_wld_az1_rack2_principal_storage_pool_start_ip">'Additional Racks'!$C$49</definedName>
    <definedName name="sample_wld_az1_rack2_principal_storage_vlan">'Additional Racks'!$C$44</definedName>
    <definedName name="sample_wld_az1_rack2_rtep_ip_pool_name">'Additional Racks'!$C$83</definedName>
    <definedName name="sample_wld_az1_rack2_secondary_storage_cidr">Arkham!$B$22</definedName>
    <definedName name="sample_wld_az1_rack2_secondary_storage_gateway_ip">'Dumping Ground'!$C$512</definedName>
    <definedName name="sample_wld_az1_rack2_secondary_storage_mask">'Dumping Ground'!$C$511</definedName>
    <definedName name="sample_wld_az1_rack2_secondary_storage_mtu">'Dumping Ground'!$C$509</definedName>
    <definedName name="sample_wld_az1_rack2_secondary_storage_network">'Dumping Ground'!$C$510</definedName>
    <definedName name="sample_wld_az1_rack2_secondary_storage_pool_end_ip">'Dumping Ground'!$C$514</definedName>
    <definedName name="sample_wld_az1_rack2_secondary_storage_pool_start_ip">'Dumping Ground'!$C$513</definedName>
    <definedName name="sample_wld_az1_rack2_secondary_storage_vlan">'Dumping Ground'!$C$508</definedName>
    <definedName name="sample_wld_az1_rack2_tor1_peer_asn">Arkham!$B$75</definedName>
    <definedName name="sample_wld_az1_rack2_tor1_peer_bgp_password">Arkham!$B$76</definedName>
    <definedName name="sample_wld_az1_rack2_tor1_peer_ip">Arkham!$B$74</definedName>
    <definedName name="sample_wld_az1_rack2_tor2_peer_asn">Arkham!$B$78</definedName>
    <definedName name="sample_wld_az1_rack2_tor2_peer_bgp_password">Arkham!$B$79</definedName>
    <definedName name="sample_wld_az1_rack2_tor2_peer_ip">Arkham!$B$77</definedName>
    <definedName name="sample_wld_az1_rack2_uplink01_gateway_ip">Arkham!$B$62</definedName>
    <definedName name="sample_wld_az1_rack2_uplink01_mask">Arkham!$B$65</definedName>
    <definedName name="sample_wld_az1_rack2_uplink01_mtu">Arkham!$B$68</definedName>
    <definedName name="sample_wld_az1_rack2_uplink01_network">Arkham!$B$59</definedName>
    <definedName name="sample_wld_az1_rack2_uplink01_vlan">Arkham!$B$56</definedName>
    <definedName name="sample_wld_az1_rack2_uplink02_gateway_ip">Arkham!$B$63</definedName>
    <definedName name="sample_wld_az1_rack2_uplink02_mask">Arkham!$B$66</definedName>
    <definedName name="sample_wld_az1_rack2_uplink02_mtu">Arkham!$B$69</definedName>
    <definedName name="sample_wld_az1_rack2_uplink02_network">Arkham!$B$60</definedName>
    <definedName name="sample_wld_az1_rack2_uplink02_vlan">Arkham!$B$57</definedName>
    <definedName name="sample_wld_az1_rack2_vmotion_cidr">Arkham!$B$20</definedName>
    <definedName name="sample_wld_az1_rack2_vmotion_gateway_ip">'Additional Racks'!$C$40</definedName>
    <definedName name="sample_wld_az1_rack2_vmotion_mask">'Additional Racks'!$C$39</definedName>
    <definedName name="sample_wld_az1_rack2_vmotion_mtu">'Additional Racks'!$C$37</definedName>
    <definedName name="sample_wld_az1_rack2_vmotion_network">'Additional Racks'!$C$38</definedName>
    <definedName name="sample_wld_az1_rack2_vmotion_pool_end_ip">'Additional Racks'!$C$42</definedName>
    <definedName name="sample_wld_az1_rack2_vmotion_pool_start_ip">'Additional Racks'!$C$41</definedName>
    <definedName name="sample_wld_az1_rack2_vmotion_vlan">'Additional Racks'!$C$36</definedName>
    <definedName name="sample_wld_az1_rack2_vsan_fault_domain">'Additional Racks'!$C$86</definedName>
    <definedName name="sample_wld_az1_rack3_edge_overlay_gateway_ip">Arkham!$E$64</definedName>
    <definedName name="sample_wld_az1_rack3_edge_overlay_mask">Arkham!$E$67</definedName>
    <definedName name="sample_wld_az1_rack3_edge_overlay_mtu">Arkham!$E$70</definedName>
    <definedName name="sample_wld_az1_rack3_edge_overlay_network">Arkham!$E$61</definedName>
    <definedName name="sample_wld_az1_rack3_edge_overlay_network_pool_name">'Additional Racks'!$C$175</definedName>
    <definedName name="sample_wld_az1_rack3_edge_overlay_pool_end_ip">Arkham!$E$72</definedName>
    <definedName name="sample_wld_az1_rack3_edge_overlay_pool_start_ip">Arkham!$E$71</definedName>
    <definedName name="sample_wld_az1_rack3_edge_overlay_vlan">Arkham!$E$58</definedName>
    <definedName name="sample_wld_az1_rack3_host_hostnames">'Additional Racks'!$C$147:$C$162</definedName>
    <definedName name="sample_wld_az1_rack3_host_mgmt_ips">'Additional Racks'!$C$107:$C$122</definedName>
    <definedName name="sample_wld_az1_rack3_host_overlay_cidr">Arkham!$B$27</definedName>
    <definedName name="sample_wld_az1_rack3_host_overlay_gateway_ip">'Additional Racks'!$C$188</definedName>
    <definedName name="sample_wld_az1_rack3_host_overlay_mask">'Additional Racks'!$C$187</definedName>
    <definedName name="sample_wld_az1_rack3_host_overlay_mtu">'Additional Racks'!$C$185</definedName>
    <definedName name="sample_wld_az1_rack3_host_overlay_network">'Additional Racks'!$C$186</definedName>
    <definedName name="sample_wld_az1_rack3_host_overlay_network_pool_name">'Additional Racks'!$C$173</definedName>
    <definedName name="sample_wld_az1_rack3_host_overlay_network_profile_name">'Additional Racks'!$C$171</definedName>
    <definedName name="sample_wld_az1_rack3_host_overlay_pool_end_ip">'Additional Racks'!$C$190</definedName>
    <definedName name="sample_wld_az1_rack3_host_overlay_pool_start_ip">'Additional Racks'!$C$189</definedName>
    <definedName name="sample_wld_az1_rack3_host_overlay_uplink_profile_name">'Additional Racks'!$C$174</definedName>
    <definedName name="sample_wld_az1_rack3_host_overlay_vlan">'Additional Racks'!$C$184</definedName>
    <definedName name="sample_wld_az1_rack3_host1_fqdn">'Additional Racks'!$C$147</definedName>
    <definedName name="sample_wld_az1_rack3_host1_mgmt_ip">'Additional Racks'!$C$107</definedName>
    <definedName name="sample_wld_az1_rack3_host10_fqdn">'Additional Racks'!$C$156</definedName>
    <definedName name="sample_wld_az1_rack3_host10_mgmt_ip">'Additional Racks'!$C$116</definedName>
    <definedName name="sample_wld_az1_rack3_host11_fqdn">'Additional Racks'!$C$157</definedName>
    <definedName name="sample_wld_az1_rack3_host11_mgmt_ip">'Additional Racks'!$C$117</definedName>
    <definedName name="sample_wld_az1_rack3_host12_fqdn">'Additional Racks'!$C$158</definedName>
    <definedName name="sample_wld_az1_rack3_host12_mgmt_ip">'Additional Racks'!$C$118</definedName>
    <definedName name="sample_wld_az1_rack3_host13_fqdn">'Additional Racks'!$C$159</definedName>
    <definedName name="sample_wld_az1_rack3_host13_mgmt_ip">'Additional Racks'!$C$119</definedName>
    <definedName name="sample_wld_az1_rack3_host14_fqdn">'Additional Racks'!$C$160</definedName>
    <definedName name="sample_wld_az1_rack3_host14_mgmt_ip">'Additional Racks'!$C$120</definedName>
    <definedName name="sample_wld_az1_rack3_host15_fqdn">'Additional Racks'!$C$161</definedName>
    <definedName name="sample_wld_az1_rack3_host15_mgmt_ip">'Additional Racks'!$C$121</definedName>
    <definedName name="sample_wld_az1_rack3_host16_fqdn">'Additional Racks'!$C$162</definedName>
    <definedName name="sample_wld_az1_rack3_host16_mgmt_ip">'Additional Racks'!$C$122</definedName>
    <definedName name="sample_wld_az1_rack3_host2_fqdn">'Additional Racks'!$C$148</definedName>
    <definedName name="sample_wld_az1_rack3_host2_mgmt_ip">'Additional Racks'!$C$108</definedName>
    <definedName name="sample_wld_az1_rack3_host3_fqdn">'Additional Racks'!$C$149</definedName>
    <definedName name="sample_wld_az1_rack3_host3_mgmt_ip">'Additional Racks'!$C$109</definedName>
    <definedName name="sample_wld_az1_rack3_host4_fqdn">'Additional Racks'!$C$150</definedName>
    <definedName name="sample_wld_az1_rack3_host4_mgmt_ip">'Additional Racks'!$C$110</definedName>
    <definedName name="sample_wld_az1_rack3_host5_fqdn">'Additional Racks'!$C$151</definedName>
    <definedName name="sample_wld_az1_rack3_host5_mgmt_ip">'Additional Racks'!$C$111</definedName>
    <definedName name="sample_wld_az1_rack3_host6_fqdn">'Additional Racks'!$C$152</definedName>
    <definedName name="sample_wld_az1_rack3_host6_mgmt_ip">'Additional Racks'!$C$112</definedName>
    <definedName name="sample_wld_az1_rack3_host7_fqdn">'Additional Racks'!$C$153</definedName>
    <definedName name="sample_wld_az1_rack3_host7_mgmt_ip">'Additional Racks'!$C$113</definedName>
    <definedName name="sample_wld_az1_rack3_host8_fqdn">'Additional Racks'!$C$154</definedName>
    <definedName name="sample_wld_az1_rack3_host8_mgmt_ip">'Additional Racks'!$C$114</definedName>
    <definedName name="sample_wld_az1_rack3_host9_fqdn">'Additional Racks'!$C$155</definedName>
    <definedName name="sample_wld_az1_rack3_host9_mgmt_ip">'Additional Racks'!$C$115</definedName>
    <definedName name="sample_wld_az1_rack3_mgmt_cidr">'Additional Racks'!$C$104</definedName>
    <definedName name="sample_wld_az1_rack3_mgmt_gateway_ip">'Additional Racks'!$C$103</definedName>
    <definedName name="sample_wld_az1_rack3_mgmt_mtu">'Additional Racks'!$C$105</definedName>
    <definedName name="sample_wld_az1_rack3_mgmt_vlan">'Additional Racks'!$C$102</definedName>
    <definedName name="sample_wld_az1_rack3_mgmt_vm_cidr">'Value Reference Tables - MR'!$M$271</definedName>
    <definedName name="sample_wld_az1_rack3_mgmt_vm_gateway_ip">'Value Reference Tables - MR'!$O$276</definedName>
    <definedName name="sample_wld_az1_rack3_mgmt_vm_mtu">'Value Reference Tables - MR'!$Q$276</definedName>
    <definedName name="sample_wld_az1_rack3_mgmt_vm_vlan">'Value Reference Tables - MR'!$K$276</definedName>
    <definedName name="sample_wld_az1_rack3_pool_name">'Additional Racks'!$C$127</definedName>
    <definedName name="sample_wld_az1_rack3_principal_storage_cidr">Arkham!$B$25</definedName>
    <definedName name="sample_wld_az1_rack3_principal_storage_gateway_ip">'Additional Racks'!$C$141</definedName>
    <definedName name="sample_wld_az1_rack3_principal_storage_mask">'Additional Racks'!$C$140</definedName>
    <definedName name="sample_wld_az1_rack3_principal_storage_mtu">'Additional Racks'!$C$138</definedName>
    <definedName name="sample_wld_az1_rack3_principal_storage_network">'Additional Racks'!$C$139</definedName>
    <definedName name="sample_wld_az1_rack3_principal_storage_pool_end_ip">'Additional Racks'!$C$143</definedName>
    <definedName name="sample_wld_az1_rack3_principal_storage_pool_start_ip">'Additional Racks'!$C$142</definedName>
    <definedName name="sample_wld_az1_rack3_principal_storage_vlan">'Additional Racks'!$C$137</definedName>
    <definedName name="sample_wld_az1_rack3_rtep_ip_pool_name">'Additional Racks'!$C$176</definedName>
    <definedName name="sample_wld_az1_rack3_secondary_storage_cidr">Arkham!$B$26</definedName>
    <definedName name="sample_wld_az1_rack3_secondary_storage_gateway_ip">'Dumping Ground'!$C$520</definedName>
    <definedName name="sample_wld_az1_rack3_secondary_storage_mask">'Dumping Ground'!$C$519</definedName>
    <definedName name="sample_wld_az1_rack3_secondary_storage_mtu">'Dumping Ground'!$C$517</definedName>
    <definedName name="sample_wld_az1_rack3_secondary_storage_network">'Dumping Ground'!$C$518</definedName>
    <definedName name="sample_wld_az1_rack3_secondary_storage_pool_end_ip">'Dumping Ground'!$C$522</definedName>
    <definedName name="sample_wld_az1_rack3_secondary_storage_pool_start_ip">'Dumping Ground'!$C$521</definedName>
    <definedName name="sample_wld_az1_rack3_secondary_storage_vlan">'Dumping Ground'!$C$516</definedName>
    <definedName name="sample_wld_az1_rack3_tor1_peer_asn">Arkham!$E$75</definedName>
    <definedName name="sample_wld_az1_rack3_tor1_peer_bgp_password">Arkham!$E$76</definedName>
    <definedName name="sample_wld_az1_rack3_tor1_peer_ip">Arkham!$E$74</definedName>
    <definedName name="sample_wld_az1_rack3_tor2_peer_asn">Arkham!$E$78</definedName>
    <definedName name="sample_wld_az1_rack3_tor2_peer_bgp_password">Arkham!$E$79</definedName>
    <definedName name="sample_wld_az1_rack3_tor2_peer_ip">Arkham!$E$77</definedName>
    <definedName name="sample_wld_az1_rack3_uplink01_gateway_ip">Arkham!$E$62</definedName>
    <definedName name="sample_wld_az1_rack3_uplink01_mask">Arkham!$E$65</definedName>
    <definedName name="sample_wld_az1_rack3_uplink01_mtu">Arkham!$E$68</definedName>
    <definedName name="sample_wld_az1_rack3_uplink01_network">Arkham!$E$59</definedName>
    <definedName name="sample_wld_az1_rack3_uplink01_vlan">Arkham!$E$56</definedName>
    <definedName name="sample_wld_az1_rack3_uplink02_gateway_ip">Arkham!$E$63</definedName>
    <definedName name="sample_wld_az1_rack3_uplink02_mask">Arkham!$E$66</definedName>
    <definedName name="sample_wld_az1_rack3_uplink02_mtu">Arkham!$E$69</definedName>
    <definedName name="sample_wld_az1_rack3_uplink02_network">Arkham!$E$60</definedName>
    <definedName name="sample_wld_az1_rack3_uplink02_vlan">Arkham!$E$57</definedName>
    <definedName name="sample_wld_az1_rack3_vmotion_cidr">Arkham!$B$24</definedName>
    <definedName name="sample_wld_az1_rack3_vmotion_gateway_ip">'Additional Racks'!$C$133</definedName>
    <definedName name="sample_wld_az1_rack3_vmotion_mask">'Additional Racks'!$C$132</definedName>
    <definedName name="sample_wld_az1_rack3_vmotion_mtu">'Additional Racks'!$C$130</definedName>
    <definedName name="sample_wld_az1_rack3_vmotion_network">'Additional Racks'!$C$131</definedName>
    <definedName name="sample_wld_az1_rack3_vmotion_pool_end_ip">'Additional Racks'!$C$135</definedName>
    <definedName name="sample_wld_az1_rack3_vmotion_pool_start_ip">'Additional Racks'!$C$134</definedName>
    <definedName name="sample_wld_az1_rack3_vmotion_vlan">'Additional Racks'!$C$129</definedName>
    <definedName name="sample_wld_az1_rack3_vsan_fault_domain">'Additional Racks'!$C$179</definedName>
    <definedName name="sample_wld_az1_rack4_edge_overlay_gateway_ip">Arkham!$H$64</definedName>
    <definedName name="sample_wld_az1_rack4_edge_overlay_mask">Arkham!$H$67</definedName>
    <definedName name="sample_wld_az1_rack4_edge_overlay_mtu">Arkham!$H$70</definedName>
    <definedName name="sample_wld_az1_rack4_edge_overlay_network">Arkham!$H$61</definedName>
    <definedName name="sample_wld_az1_rack4_edge_overlay_network_pool_name">'Additional Racks'!$C$268</definedName>
    <definedName name="sample_wld_az1_rack4_edge_overlay_pool_end_ip">Arkham!$H$72</definedName>
    <definedName name="sample_wld_az1_rack4_edge_overlay_pool_start_ip">Arkham!$H$71</definedName>
    <definedName name="sample_wld_az1_rack4_edge_overlay_vlan">Arkham!$H$58</definedName>
    <definedName name="sample_wld_az1_rack4_host_hostnames">'Additional Racks'!$C$240:$C$255</definedName>
    <definedName name="sample_wld_az1_rack4_host_mgmt_ips">'Additional Racks'!$C$200:$C$215</definedName>
    <definedName name="sample_wld_az1_rack4_host_overlay_cidr">Arkham!$B$31</definedName>
    <definedName name="sample_wld_az1_rack4_host_overlay_gateway_ip">'Additional Racks'!$C$281</definedName>
    <definedName name="sample_wld_az1_rack4_host_overlay_mask">'Additional Racks'!$C$280</definedName>
    <definedName name="sample_wld_az1_rack4_host_overlay_mtu">'Additional Racks'!$C$278</definedName>
    <definedName name="sample_wld_az1_rack4_host_overlay_network">'Additional Racks'!$C$279</definedName>
    <definedName name="sample_wld_az1_rack4_host_overlay_network_pool_name">'Additional Racks'!$C$266</definedName>
    <definedName name="sample_wld_az1_rack4_host_overlay_network_profile_name">'Additional Racks'!$C$264</definedName>
    <definedName name="sample_wld_az1_rack4_host_overlay_pool_end_ip">'Additional Racks'!$C$283</definedName>
    <definedName name="sample_wld_az1_rack4_host_overlay_pool_start_ip">'Additional Racks'!$C$282</definedName>
    <definedName name="sample_wld_az1_rack4_host_overlay_uplink_profile_name">'Additional Racks'!$C$267</definedName>
    <definedName name="sample_wld_az1_rack4_host_overlay_vlan">'Additional Racks'!$C$277</definedName>
    <definedName name="sample_wld_az1_rack4_host1_fqdn">'Additional Racks'!$C$240</definedName>
    <definedName name="sample_wld_az1_rack4_host1_mgmt_ip">'Additional Racks'!$C$200</definedName>
    <definedName name="sample_wld_az1_rack4_host10_fqdn">'Additional Racks'!$C$249</definedName>
    <definedName name="sample_wld_az1_rack4_host10_mgmt_ip">'Additional Racks'!$C$209</definedName>
    <definedName name="sample_wld_az1_rack4_host11_fqdn">'Additional Racks'!$C$250</definedName>
    <definedName name="sample_wld_az1_rack4_host11_mgmt_ip">'Additional Racks'!$C$210</definedName>
    <definedName name="sample_wld_az1_rack4_host12_fqdn">'Additional Racks'!$C$251</definedName>
    <definedName name="sample_wld_az1_rack4_host12_mgmt_ip">'Additional Racks'!$C$211</definedName>
    <definedName name="sample_wld_az1_rack4_host13_fqdn">'Additional Racks'!$C$252</definedName>
    <definedName name="sample_wld_az1_rack4_host13_mgmt_ip">'Additional Racks'!$C$212</definedName>
    <definedName name="sample_wld_az1_rack4_host14_fqdn">'Additional Racks'!$C$253</definedName>
    <definedName name="sample_wld_az1_rack4_host14_mgmt_ip">'Additional Racks'!$C$213</definedName>
    <definedName name="sample_wld_az1_rack4_host15_fqdn">'Additional Racks'!$C$254</definedName>
    <definedName name="sample_wld_az1_rack4_host15_mgmt_ip">'Additional Racks'!$C$214</definedName>
    <definedName name="sample_wld_az1_rack4_host16_fqdn">'Additional Racks'!$C$255</definedName>
    <definedName name="sample_wld_az1_rack4_host16_mgmt_ip">'Additional Racks'!$C$215</definedName>
    <definedName name="sample_wld_az1_rack4_host2_fqdn">'Additional Racks'!$C$241</definedName>
    <definedName name="sample_wld_az1_rack4_host2_mgmt_ip">'Additional Racks'!$C$201</definedName>
    <definedName name="sample_wld_az1_rack4_host3_fqdn">'Additional Racks'!$C$242</definedName>
    <definedName name="sample_wld_az1_rack4_host3_mgmt_ip">'Additional Racks'!$C$202</definedName>
    <definedName name="sample_wld_az1_rack4_host4_fqdn">'Additional Racks'!$C$243</definedName>
    <definedName name="sample_wld_az1_rack4_host4_mgmt_ip">'Additional Racks'!$C$203</definedName>
    <definedName name="sample_wld_az1_rack4_host5_fqdn">'Additional Racks'!$C$244</definedName>
    <definedName name="sample_wld_az1_rack4_host5_mgmt_ip">'Additional Racks'!$C$204</definedName>
    <definedName name="sample_wld_az1_rack4_host6_fqdn">'Additional Racks'!$C$245</definedName>
    <definedName name="sample_wld_az1_rack4_host6_mgmt_ip">'Additional Racks'!$C$205</definedName>
    <definedName name="sample_wld_az1_rack4_host7_fqdn">'Additional Racks'!$C$246</definedName>
    <definedName name="sample_wld_az1_rack4_host7_mgmt_ip">'Additional Racks'!$C$206</definedName>
    <definedName name="sample_wld_az1_rack4_host8_fqdn">'Additional Racks'!$C$247</definedName>
    <definedName name="sample_wld_az1_rack4_host8_mgmt_ip">'Additional Racks'!$C$207</definedName>
    <definedName name="sample_wld_az1_rack4_host9_fqdn">'Additional Racks'!$C$248</definedName>
    <definedName name="sample_wld_az1_rack4_host9_mgmt_ip">'Additional Racks'!$C$208</definedName>
    <definedName name="sample_wld_az1_rack4_mgmt_cidr">'Additional Racks'!$C$197</definedName>
    <definedName name="sample_wld_az1_rack4_mgmt_gateway_ip">'Additional Racks'!$C$196</definedName>
    <definedName name="sample_wld_az1_rack4_mgmt_mtu">'Additional Racks'!$C$198</definedName>
    <definedName name="sample_wld_az1_rack4_mgmt_vlan">'Additional Racks'!$C$195</definedName>
    <definedName name="sample_wld_az1_rack4_mgmt_vm_cidr">'Value Reference Tables - MR'!$M$272</definedName>
    <definedName name="sample_wld_az1_rack4_mgmt_vm_gateway_ip">'Value Reference Tables - MR'!$O$277</definedName>
    <definedName name="sample_wld_az1_rack4_mgmt_vm_mtu">'Value Reference Tables - MR'!$Q$277</definedName>
    <definedName name="sample_wld_az1_rack4_mgmt_vm_vlan">'Value Reference Tables - MR'!$K$277</definedName>
    <definedName name="sample_wld_az1_rack4_pool_name">'Additional Racks'!$C$220</definedName>
    <definedName name="sample_wld_az1_rack4_principal_storage_cidr">Arkham!$B$29</definedName>
    <definedName name="sample_wld_az1_rack4_principal_storage_gateway_ip">'Additional Racks'!$C$234</definedName>
    <definedName name="sample_wld_az1_rack4_principal_storage_mask">'Additional Racks'!$C$233</definedName>
    <definedName name="sample_wld_az1_rack4_principal_storage_mtu">'Additional Racks'!$C$231</definedName>
    <definedName name="sample_wld_az1_rack4_principal_storage_network">'Additional Racks'!$C$232</definedName>
    <definedName name="sample_wld_az1_rack4_principal_storage_pool_end_ip">'Additional Racks'!$C$236</definedName>
    <definedName name="sample_wld_az1_rack4_principal_storage_pool_start_ip">'Additional Racks'!$C$235</definedName>
    <definedName name="sample_wld_az1_rack4_principal_storage_vlan">'Additional Racks'!$C$230</definedName>
    <definedName name="sample_wld_az1_rack4_rtep_ip_pool_name">'Additional Racks'!$C$269</definedName>
    <definedName name="sample_wld_az1_rack4_secondary_storage_cidr">Arkham!$B$30</definedName>
    <definedName name="sample_wld_az1_rack4_secondary_storage_gateway_ip">'Dumping Ground'!$C$528</definedName>
    <definedName name="sample_wld_az1_rack4_secondary_storage_mask">'Dumping Ground'!$C$527</definedName>
    <definedName name="sample_wld_az1_rack4_secondary_storage_mtu">'Dumping Ground'!$C$525</definedName>
    <definedName name="sample_wld_az1_rack4_secondary_storage_network">'Dumping Ground'!$C$526</definedName>
    <definedName name="sample_wld_az1_rack4_secondary_storage_pool_end_ip">'Dumping Ground'!$C$530</definedName>
    <definedName name="sample_wld_az1_rack4_secondary_storage_pool_start_ip">'Dumping Ground'!$C$529</definedName>
    <definedName name="sample_wld_az1_rack4_secondary_storage_vlan">'Dumping Ground'!$C$524</definedName>
    <definedName name="sample_wld_az1_rack4_tor1_peer_asn">Arkham!$H$75</definedName>
    <definedName name="sample_wld_az1_rack4_tor1_peer_bgp_password">Arkham!$H$76</definedName>
    <definedName name="sample_wld_az1_rack4_tor1_peer_ip">Arkham!$H$74</definedName>
    <definedName name="sample_wld_az1_rack4_tor2_peer_asn">Arkham!$H$78</definedName>
    <definedName name="sample_wld_az1_rack4_tor2_peer_bgp_password">Arkham!$H$79</definedName>
    <definedName name="sample_wld_az1_rack4_tor2_peer_ip">Arkham!$H$77</definedName>
    <definedName name="sample_wld_az1_rack4_uplink01_gateway_ip">Arkham!$H$62</definedName>
    <definedName name="sample_wld_az1_rack4_uplink01_mask">Arkham!$H$65</definedName>
    <definedName name="sample_wld_az1_rack4_uplink01_mtu">Arkham!$H$68</definedName>
    <definedName name="sample_wld_az1_rack4_uplink01_network">Arkham!$H$59</definedName>
    <definedName name="sample_wld_az1_rack4_uplink01_vlan">Arkham!$H$56</definedName>
    <definedName name="sample_wld_az1_rack4_uplink02_gateway_ip">Arkham!$H$63</definedName>
    <definedName name="sample_wld_az1_rack4_uplink02_mask">Arkham!$H$66</definedName>
    <definedName name="sample_wld_az1_rack4_uplink02_mtu">Arkham!$H$69</definedName>
    <definedName name="sample_wld_az1_rack4_uplink02_network">Arkham!$H$60</definedName>
    <definedName name="sample_wld_az1_rack4_uplink02_vlan">Arkham!$H$57</definedName>
    <definedName name="sample_wld_az1_rack4_vmotion_cidr">Arkham!$B$28</definedName>
    <definedName name="sample_wld_az1_rack4_vmotion_gateway_ip">'Additional Racks'!$C$226</definedName>
    <definedName name="sample_wld_az1_rack4_vmotion_mask">'Additional Racks'!$C$225</definedName>
    <definedName name="sample_wld_az1_rack4_vmotion_mtu">'Additional Racks'!$C$223</definedName>
    <definedName name="sample_wld_az1_rack4_vmotion_network">'Additional Racks'!$C$224</definedName>
    <definedName name="sample_wld_az1_rack4_vmotion_pool_end_ip">'Additional Racks'!$C$228</definedName>
    <definedName name="sample_wld_az1_rack4_vmotion_pool_start_ip">'Additional Racks'!$C$227</definedName>
    <definedName name="sample_wld_az1_rack4_vmotion_vlan">'Additional Racks'!$C$222</definedName>
    <definedName name="sample_wld_az1_rack4_vsan_fault_domain">'Additional Racks'!$C$272</definedName>
    <definedName name="sample_wld_az1_rack5_edge_overlay_gateway_ip">Arkham!$K$64</definedName>
    <definedName name="sample_wld_az1_rack5_edge_overlay_mask">Arkham!$K$67</definedName>
    <definedName name="sample_wld_az1_rack5_edge_overlay_mtu">Arkham!$K$70</definedName>
    <definedName name="sample_wld_az1_rack5_edge_overlay_network">Arkham!$K$61</definedName>
    <definedName name="sample_wld_az1_rack5_edge_overlay_network_pool_name">'Additional Racks'!$C$361</definedName>
    <definedName name="sample_wld_az1_rack5_edge_overlay_pool_end_ip">Arkham!$K$72</definedName>
    <definedName name="sample_wld_az1_rack5_edge_overlay_pool_start_ip">Arkham!$K$71</definedName>
    <definedName name="sample_wld_az1_rack5_edge_overlay_vlan">Arkham!$K$58</definedName>
    <definedName name="sample_wld_az1_rack5_host_hostnames">'Additional Racks'!$C$333:$C$348</definedName>
    <definedName name="sample_wld_az1_rack5_host_mgmt_ips">'Additional Racks'!$C$293:$C$308</definedName>
    <definedName name="sample_wld_az1_rack5_host_overlay_cidr">Arkham!$B$35</definedName>
    <definedName name="sample_wld_az1_rack5_host_overlay_gateway_ip">'Additional Racks'!$C$374</definedName>
    <definedName name="sample_wld_az1_rack5_host_overlay_mask">'Additional Racks'!$C$373</definedName>
    <definedName name="sample_wld_az1_rack5_host_overlay_mtu">'Additional Racks'!$C$371</definedName>
    <definedName name="sample_wld_az1_rack5_host_overlay_network">'Additional Racks'!$C$372</definedName>
    <definedName name="sample_wld_az1_rack5_host_overlay_network_pool_name">'Additional Racks'!$C$359</definedName>
    <definedName name="sample_wld_az1_rack5_host_overlay_network_profile_name">'Additional Racks'!$C$357</definedName>
    <definedName name="sample_wld_az1_rack5_host_overlay_pool_end_ip">'Additional Racks'!$C$376</definedName>
    <definedName name="sample_wld_az1_rack5_host_overlay_pool_start_ip">'Additional Racks'!$C$375</definedName>
    <definedName name="sample_wld_az1_rack5_host_overlay_uplink_profile_name">'Additional Racks'!$C$360</definedName>
    <definedName name="sample_wld_az1_rack5_host_overlay_vlan">'Additional Racks'!$C$370</definedName>
    <definedName name="sample_wld_az1_rack5_host1_fqdn">'Additional Racks'!$C$333</definedName>
    <definedName name="sample_wld_az1_rack5_host1_mgmt_ip">'Additional Racks'!$C$293</definedName>
    <definedName name="sample_wld_az1_rack5_host10_fqdn">'Additional Racks'!$C$342</definedName>
    <definedName name="sample_wld_az1_rack5_host10_mgmt_ip">'Additional Racks'!$C$302</definedName>
    <definedName name="sample_wld_az1_rack5_host11_fqdn">'Additional Racks'!$C$343</definedName>
    <definedName name="sample_wld_az1_rack5_host11_mgmt_ip">'Additional Racks'!$C$303</definedName>
    <definedName name="sample_wld_az1_rack5_host12_fqdn">'Additional Racks'!$C$344</definedName>
    <definedName name="sample_wld_az1_rack5_host12_mgmt_ip">'Additional Racks'!$C$304</definedName>
    <definedName name="sample_wld_az1_rack5_host13_fqdn">'Additional Racks'!$C$345</definedName>
    <definedName name="sample_wld_az1_rack5_host13_mgmt_ip">'Additional Racks'!$C$305</definedName>
    <definedName name="sample_wld_az1_rack5_host14_fqdn">'Additional Racks'!$C$346</definedName>
    <definedName name="sample_wld_az1_rack5_host14_mgmt_ip">'Additional Racks'!$C$306</definedName>
    <definedName name="sample_wld_az1_rack5_host15_fqdn">'Additional Racks'!$C$347</definedName>
    <definedName name="sample_wld_az1_rack5_host15_mgmt_ip">'Additional Racks'!$C$307</definedName>
    <definedName name="sample_wld_az1_rack5_host16_fqdn">'Additional Racks'!$C$348</definedName>
    <definedName name="sample_wld_az1_rack5_host16_mgmt_ip">'Additional Racks'!$C$308</definedName>
    <definedName name="sample_wld_az1_rack5_host2_fqdn">'Additional Racks'!$C$334</definedName>
    <definedName name="sample_wld_az1_rack5_host2_mgmt_ip">'Additional Racks'!$C$294</definedName>
    <definedName name="sample_wld_az1_rack5_host3_fqdn">'Additional Racks'!$C$335</definedName>
    <definedName name="sample_wld_az1_rack5_host3_mgmt_ip">'Additional Racks'!$C$295</definedName>
    <definedName name="sample_wld_az1_rack5_host4_fqdn">'Additional Racks'!$C$336</definedName>
    <definedName name="sample_wld_az1_rack5_host4_mgmt_ip">'Additional Racks'!$C$296</definedName>
    <definedName name="sample_wld_az1_rack5_host5_fqdn">'Additional Racks'!$C$337</definedName>
    <definedName name="sample_wld_az1_rack5_host5_mgmt_ip">'Additional Racks'!$C$297</definedName>
    <definedName name="sample_wld_az1_rack5_host6_fqdn">'Additional Racks'!$C$338</definedName>
    <definedName name="sample_wld_az1_rack5_host6_mgmt_ip">'Additional Racks'!$C$298</definedName>
    <definedName name="sample_wld_az1_rack5_host7_fqdn">'Additional Racks'!$C$339</definedName>
    <definedName name="sample_wld_az1_rack5_host7_mgmt_ip">'Additional Racks'!$C$299</definedName>
    <definedName name="sample_wld_az1_rack5_host8_fqdn">'Additional Racks'!$C$340</definedName>
    <definedName name="sample_wld_az1_rack5_host8_mgmt_ip">'Additional Racks'!$C$300</definedName>
    <definedName name="sample_wld_az1_rack5_host9_fqdn">'Additional Racks'!$C$341</definedName>
    <definedName name="sample_wld_az1_rack5_host9_mgmt_ip">'Additional Racks'!$C$301</definedName>
    <definedName name="sample_wld_az1_rack5_mgmt_cidr">'Additional Racks'!$C$290</definedName>
    <definedName name="sample_wld_az1_rack5_mgmt_gateway_ip">'Additional Racks'!$C$289</definedName>
    <definedName name="sample_wld_az1_rack5_mgmt_mtu">'Additional Racks'!$C$291</definedName>
    <definedName name="sample_wld_az1_rack5_mgmt_vlan">'Additional Racks'!$C$288</definedName>
    <definedName name="sample_wld_az1_rack5_mgmt_vm_cidr">'Value Reference Tables - MR'!$M$273</definedName>
    <definedName name="sample_wld_az1_rack5_mgmt_vm_gateway_ip">'Value Reference Tables - MR'!$O$278</definedName>
    <definedName name="sample_wld_az1_rack5_mgmt_vm_mtu">'Value Reference Tables - MR'!$Q$278</definedName>
    <definedName name="sample_wld_az1_rack5_mgmt_vm_vlan">'Value Reference Tables - MR'!$K$278</definedName>
    <definedName name="sample_wld_az1_rack5_pool_name">'Additional Racks'!$C$313</definedName>
    <definedName name="sample_wld_az1_rack5_principal_storage_cidr">Arkham!$B$33</definedName>
    <definedName name="sample_wld_az1_rack5_principal_storage_gateway_ip">'Additional Racks'!$C$327</definedName>
    <definedName name="sample_wld_az1_rack5_principal_storage_mask">'Additional Racks'!$C$326</definedName>
    <definedName name="sample_wld_az1_rack5_principal_storage_mtu">'Additional Racks'!$C$324</definedName>
    <definedName name="sample_wld_az1_rack5_principal_storage_network">'Additional Racks'!$C$325</definedName>
    <definedName name="sample_wld_az1_rack5_principal_storage_pool_end_ip">'Additional Racks'!$C$329</definedName>
    <definedName name="sample_wld_az1_rack5_principal_storage_pool_start_ip">'Additional Racks'!$C$328</definedName>
    <definedName name="sample_wld_az1_rack5_principal_storage_vlan">'Additional Racks'!$C$323</definedName>
    <definedName name="sample_wld_az1_rack5_rtep_ip_pool_name">'Additional Racks'!$C$362</definedName>
    <definedName name="sample_wld_az1_rack5_secondary_storage_cidr">Arkham!$B$34</definedName>
    <definedName name="sample_wld_az1_rack5_secondary_storage_gateway_ip">'Dumping Ground'!$C$536</definedName>
    <definedName name="sample_wld_az1_rack5_secondary_storage_mask">'Dumping Ground'!$C$535</definedName>
    <definedName name="sample_wld_az1_rack5_secondary_storage_mtu">'Dumping Ground'!$C$533</definedName>
    <definedName name="sample_wld_az1_rack5_secondary_storage_network">'Dumping Ground'!$C$534</definedName>
    <definedName name="sample_wld_az1_rack5_secondary_storage_pool_end_ip">'Dumping Ground'!$C$538</definedName>
    <definedName name="sample_wld_az1_rack5_secondary_storage_pool_start_ip">'Dumping Ground'!$C$537</definedName>
    <definedName name="sample_wld_az1_rack5_secondary_storage_vlan">'Dumping Ground'!$C$532</definedName>
    <definedName name="sample_wld_az1_rack5_tor1_peer_asn">Arkham!$K$75</definedName>
    <definedName name="sample_wld_az1_rack5_tor1_peer_bgp_password">Arkham!$K$76</definedName>
    <definedName name="sample_wld_az1_rack5_tor1_peer_ip">Arkham!$K$74</definedName>
    <definedName name="sample_wld_az1_rack5_tor2_peer_asn">Arkham!$K$78</definedName>
    <definedName name="sample_wld_az1_rack5_tor2_peer_bgp_password">Arkham!$K$79</definedName>
    <definedName name="sample_wld_az1_rack5_tor2_peer_ip">Arkham!$K$77</definedName>
    <definedName name="sample_wld_az1_rack5_uplink01_gateway_ip">Arkham!$K$62</definedName>
    <definedName name="sample_wld_az1_rack5_uplink01_mask">Arkham!$K$65</definedName>
    <definedName name="sample_wld_az1_rack5_uplink01_mtu">Arkham!$K$68</definedName>
    <definedName name="sample_wld_az1_rack5_uplink01_network">Arkham!$K$59</definedName>
    <definedName name="sample_wld_az1_rack5_uplink01_vlan">Arkham!$K$56</definedName>
    <definedName name="sample_wld_az1_rack5_uplink02_gateway_ip">Arkham!$K$63</definedName>
    <definedName name="sample_wld_az1_rack5_uplink02_mask">Arkham!$K$66</definedName>
    <definedName name="sample_wld_az1_rack5_uplink02_mtu">Arkham!$K$69</definedName>
    <definedName name="sample_wld_az1_rack5_uplink02_network">Arkham!$K$60</definedName>
    <definedName name="sample_wld_az1_rack5_uplink02_vlan">Arkham!$K$57</definedName>
    <definedName name="sample_wld_az1_rack5_vmotion_cidr">Arkham!$B$32</definedName>
    <definedName name="sample_wld_az1_rack5_vmotion_gateway_ip">'Additional Racks'!$C$319</definedName>
    <definedName name="sample_wld_az1_rack5_vmotion_mask">'Additional Racks'!$C$318</definedName>
    <definedName name="sample_wld_az1_rack5_vmotion_mtu">'Additional Racks'!$C$316</definedName>
    <definedName name="sample_wld_az1_rack5_vmotion_network">'Additional Racks'!$C$317</definedName>
    <definedName name="sample_wld_az1_rack5_vmotion_pool_end_ip">'Additional Racks'!$C$321</definedName>
    <definedName name="sample_wld_az1_rack5_vmotion_pool_start_ip">'Additional Racks'!$C$320</definedName>
    <definedName name="sample_wld_az1_rack5_vmotion_vlan">'Additional Racks'!$C$315</definedName>
    <definedName name="sample_wld_az1_rack5_vsan_fault_domain">'Additional Racks'!$C$365</definedName>
    <definedName name="sample_wld_az1_rack6_edge_overlay_gateway_ip">Arkham!$N$64</definedName>
    <definedName name="sample_wld_az1_rack6_edge_overlay_mask">Arkham!$N$67</definedName>
    <definedName name="sample_wld_az1_rack6_edge_overlay_mtu">Arkham!$N$70</definedName>
    <definedName name="sample_wld_az1_rack6_edge_overlay_network">Arkham!$N$61</definedName>
    <definedName name="sample_wld_az1_rack6_edge_overlay_network_pool_name">'Additional Racks'!$C$454</definedName>
    <definedName name="sample_wld_az1_rack6_edge_overlay_pool_end_ip">Arkham!$N$72</definedName>
    <definedName name="sample_wld_az1_rack6_edge_overlay_pool_start_ip">Arkham!$N$71</definedName>
    <definedName name="sample_wld_az1_rack6_edge_overlay_vlan">Arkham!$N$58</definedName>
    <definedName name="sample_wld_az1_rack6_host_hostnames">'Additional Racks'!$C$426:$C$441</definedName>
    <definedName name="sample_wld_az1_rack6_host_mgmt_ips">'Additional Racks'!$C$386:$C$401</definedName>
    <definedName name="sample_wld_az1_rack6_host_overlay_cidr">Arkham!$B$39</definedName>
    <definedName name="sample_wld_az1_rack6_host_overlay_gateway_ip">'Additional Racks'!$C$467</definedName>
    <definedName name="sample_wld_az1_rack6_host_overlay_mask">'Additional Racks'!$C$466</definedName>
    <definedName name="sample_wld_az1_rack6_host_overlay_mtu">'Additional Racks'!$C$464</definedName>
    <definedName name="sample_wld_az1_rack6_host_overlay_network">'Additional Racks'!$C$465</definedName>
    <definedName name="sample_wld_az1_rack6_host_overlay_network_pool_name">'Additional Racks'!$C$452</definedName>
    <definedName name="sample_wld_az1_rack6_host_overlay_network_profile_name">'Additional Racks'!$C$450</definedName>
    <definedName name="sample_wld_az1_rack6_host_overlay_pool_end_ip">'Additional Racks'!$C$469</definedName>
    <definedName name="sample_wld_az1_rack6_host_overlay_pool_start_ip">'Additional Racks'!$C$468</definedName>
    <definedName name="sample_wld_az1_rack6_host_overlay_uplink_profile_name">'Additional Racks'!$C$453</definedName>
    <definedName name="sample_wld_az1_rack6_host_overlay_vlan">'Additional Racks'!$C$463</definedName>
    <definedName name="sample_wld_az1_rack6_host1_fqdn">'Additional Racks'!$C$426</definedName>
    <definedName name="sample_wld_az1_rack6_host1_mgmt_ip">'Additional Racks'!$C$386</definedName>
    <definedName name="sample_wld_az1_rack6_host10_fqdn">'Additional Racks'!$C$435</definedName>
    <definedName name="sample_wld_az1_rack6_host10_mgmt_ip">'Additional Racks'!$C$395</definedName>
    <definedName name="sample_wld_az1_rack6_host11_fqdn">'Additional Racks'!$C$436</definedName>
    <definedName name="sample_wld_az1_rack6_host11_mgmt_ip">'Additional Racks'!$C$396</definedName>
    <definedName name="sample_wld_az1_rack6_host12_fqdn">'Additional Racks'!$C$437</definedName>
    <definedName name="sample_wld_az1_rack6_host12_mgmt_ip">'Additional Racks'!$C$397</definedName>
    <definedName name="sample_wld_az1_rack6_host13_fqdn">'Additional Racks'!$C$438</definedName>
    <definedName name="sample_wld_az1_rack6_host13_mgmt_ip">'Additional Racks'!$C$398</definedName>
    <definedName name="sample_wld_az1_rack6_host14_fqdn">'Additional Racks'!$C$439</definedName>
    <definedName name="sample_wld_az1_rack6_host14_mgmt_ip">'Additional Racks'!$C$399</definedName>
    <definedName name="sample_wld_az1_rack6_host15_fqdn">'Additional Racks'!$C$440</definedName>
    <definedName name="sample_wld_az1_rack6_host15_mgmt_ip">'Additional Racks'!$C$400</definedName>
    <definedName name="sample_wld_az1_rack6_host16_fqdn">'Additional Racks'!$C$441</definedName>
    <definedName name="sample_wld_az1_rack6_host16_mgmt_ip">'Additional Racks'!$C$401</definedName>
    <definedName name="sample_wld_az1_rack6_host2_fqdn">'Additional Racks'!$C$427</definedName>
    <definedName name="sample_wld_az1_rack6_host2_mgmt_ip">'Additional Racks'!$C$387</definedName>
    <definedName name="sample_wld_az1_rack6_host3_fqdn">'Additional Racks'!$C$428</definedName>
    <definedName name="sample_wld_az1_rack6_host3_mgmt_ip">'Additional Racks'!$C$388</definedName>
    <definedName name="sample_wld_az1_rack6_host4_fqdn">'Additional Racks'!$C$429</definedName>
    <definedName name="sample_wld_az1_rack6_host4_mgmt_ip">'Additional Racks'!$C$389</definedName>
    <definedName name="sample_wld_az1_rack6_host5_fqdn">'Additional Racks'!$C$430</definedName>
    <definedName name="sample_wld_az1_rack6_host5_mgmt_ip">'Additional Racks'!$C$390</definedName>
    <definedName name="sample_wld_az1_rack6_host6_fqdn">'Additional Racks'!$C$431</definedName>
    <definedName name="sample_wld_az1_rack6_host6_mgmt_ip">'Additional Racks'!$C$391</definedName>
    <definedName name="sample_wld_az1_rack6_host7_fqdn">'Additional Racks'!$C$432</definedName>
    <definedName name="sample_wld_az1_rack6_host7_mgmt_ip">'Additional Racks'!$C$392</definedName>
    <definedName name="sample_wld_az1_rack6_host8_fqdn">'Additional Racks'!$C$433</definedName>
    <definedName name="sample_wld_az1_rack6_host8_mgmt_ip">'Additional Racks'!$C$393</definedName>
    <definedName name="sample_wld_az1_rack6_host9_fqdn">'Additional Racks'!$C$434</definedName>
    <definedName name="sample_wld_az1_rack6_host9_mgmt_ip">'Additional Racks'!$C$394</definedName>
    <definedName name="sample_wld_az1_rack6_mgmt_cidr">'Additional Racks'!$C$383</definedName>
    <definedName name="sample_wld_az1_rack6_mgmt_gateway_ip">'Additional Racks'!$C$382</definedName>
    <definedName name="sample_wld_az1_rack6_mgmt_mtu">'Additional Racks'!$C$384</definedName>
    <definedName name="sample_wld_az1_rack6_mgmt_vlan">'Additional Racks'!$C$381</definedName>
    <definedName name="sample_wld_az1_rack6_mgmt_vm_cidr">'Value Reference Tables - MR'!$M$274</definedName>
    <definedName name="sample_wld_az1_rack6_mgmt_vm_gateway_ip">'Value Reference Tables - MR'!$O$279</definedName>
    <definedName name="sample_wld_az1_rack6_mgmt_vm_mtu">'Value Reference Tables - MR'!$Q$279</definedName>
    <definedName name="sample_wld_az1_rack6_mgmt_vm_vlan">'Value Reference Tables - MR'!$K$279</definedName>
    <definedName name="sample_wld_az1_rack6_pool_name">'Additional Racks'!$C$406</definedName>
    <definedName name="sample_wld_az1_rack6_principal_storage_cidr">Arkham!$B$37</definedName>
    <definedName name="sample_wld_az1_rack6_principal_storage_gateway_ip">'Additional Racks'!$C$420</definedName>
    <definedName name="sample_wld_az1_rack6_principal_storage_mask">'Additional Racks'!$C$419</definedName>
    <definedName name="sample_wld_az1_rack6_principal_storage_mtu">'Additional Racks'!$C$417</definedName>
    <definedName name="sample_wld_az1_rack6_principal_storage_network">'Additional Racks'!$C$418</definedName>
    <definedName name="sample_wld_az1_rack6_principal_storage_pool_end_ip">'Additional Racks'!$C$422</definedName>
    <definedName name="sample_wld_az1_rack6_principal_storage_pool_start_ip">'Additional Racks'!$C$421</definedName>
    <definedName name="sample_wld_az1_rack6_principal_storage_vlan">'Additional Racks'!$C$416</definedName>
    <definedName name="sample_wld_az1_rack6_rtep_ip_pool_name">'Additional Racks'!$C$455</definedName>
    <definedName name="sample_wld_az1_rack6_secondary_storage_cidr">Arkham!$B$38</definedName>
    <definedName name="sample_wld_az1_rack6_secondary_storage_gateway_ip">'Dumping Ground'!$C$544</definedName>
    <definedName name="sample_wld_az1_rack6_secondary_storage_mask">'Dumping Ground'!$C$543</definedName>
    <definedName name="sample_wld_az1_rack6_secondary_storage_mtu">'Dumping Ground'!$C$541</definedName>
    <definedName name="sample_wld_az1_rack6_secondary_storage_network">'Dumping Ground'!$C$542</definedName>
    <definedName name="sample_wld_az1_rack6_secondary_storage_pool_end_ip">'Dumping Ground'!$C$546</definedName>
    <definedName name="sample_wld_az1_rack6_secondary_storage_pool_start_ip">'Dumping Ground'!$C$545</definedName>
    <definedName name="sample_wld_az1_rack6_secondary_storage_vlan">'Dumping Ground'!$C$540</definedName>
    <definedName name="sample_wld_az1_rack6_tor1_peer_asn">Arkham!$N$75</definedName>
    <definedName name="sample_wld_az1_rack6_tor1_peer_bgp_password">Arkham!$N$76</definedName>
    <definedName name="sample_wld_az1_rack6_tor1_peer_ip">Arkham!$N$74</definedName>
    <definedName name="sample_wld_az1_rack6_tor2_peer_asn">Arkham!$N$78</definedName>
    <definedName name="sample_wld_az1_rack6_tor2_peer_bgp_password">Arkham!$N$79</definedName>
    <definedName name="sample_wld_az1_rack6_tor2_peer_ip">Arkham!$N$77</definedName>
    <definedName name="sample_wld_az1_rack6_uplink01_gateway_ip">Arkham!$N$62</definedName>
    <definedName name="sample_wld_az1_rack6_uplink01_mask">Arkham!$N$65</definedName>
    <definedName name="sample_wld_az1_rack6_uplink01_mtu">Arkham!$N$68</definedName>
    <definedName name="sample_wld_az1_rack6_uplink01_network">Arkham!$N$59</definedName>
    <definedName name="sample_wld_az1_rack6_uplink01_vlan">Arkham!$N$56</definedName>
    <definedName name="sample_wld_az1_rack6_uplink02_gateway_ip">Arkham!$N$63</definedName>
    <definedName name="sample_wld_az1_rack6_uplink02_mask">Arkham!$N$66</definedName>
    <definedName name="sample_wld_az1_rack6_uplink02_mtu">Arkham!$N$69</definedName>
    <definedName name="sample_wld_az1_rack6_uplink02_network">Arkham!$N$60</definedName>
    <definedName name="sample_wld_az1_rack6_uplink02_vlan">Arkham!$N$57</definedName>
    <definedName name="sample_wld_az1_rack6_vmotion_cidr">Arkham!$B$36</definedName>
    <definedName name="sample_wld_az1_rack6_vmotion_gateway_ip">'Additional Racks'!$C$412</definedName>
    <definedName name="sample_wld_az1_rack6_vmotion_mask">'Additional Racks'!$C$411</definedName>
    <definedName name="sample_wld_az1_rack6_vmotion_mtu">'Additional Racks'!$C$409</definedName>
    <definedName name="sample_wld_az1_rack6_vmotion_network">'Additional Racks'!$C$410</definedName>
    <definedName name="sample_wld_az1_rack6_vmotion_pool_end_ip">'Additional Racks'!$C$414</definedName>
    <definedName name="sample_wld_az1_rack6_vmotion_pool_start_ip">'Additional Racks'!$C$413</definedName>
    <definedName name="sample_wld_az1_rack6_vmotion_vlan">'Additional Racks'!$C$408</definedName>
    <definedName name="sample_wld_az1_rack6_vsan_fault_domain">'Additional Racks'!$C$458</definedName>
    <definedName name="sample_wld_az1_rack7_edge_overlay_gateway_ip">Arkham!$Q$64</definedName>
    <definedName name="sample_wld_az1_rack7_edge_overlay_mask">Arkham!$Q$67</definedName>
    <definedName name="sample_wld_az1_rack7_edge_overlay_mtu">Arkham!$Q$70</definedName>
    <definedName name="sample_wld_az1_rack7_edge_overlay_network">Arkham!$Q$61</definedName>
    <definedName name="sample_wld_az1_rack7_edge_overlay_network_pool_name">'Additional Racks'!$C$547</definedName>
    <definedName name="sample_wld_az1_rack7_edge_overlay_pool_end_ip">Arkham!$Q$72</definedName>
    <definedName name="sample_wld_az1_rack7_edge_overlay_pool_start_ip">Arkham!$Q$71</definedName>
    <definedName name="sample_wld_az1_rack7_edge_overlay_vlan">Arkham!$Q$58</definedName>
    <definedName name="sample_wld_az1_rack7_host_hostnames">'Additional Racks'!$C$519:$C$534</definedName>
    <definedName name="sample_wld_az1_rack7_host_mgmt_ips">'Additional Racks'!$C$479:$C$494</definedName>
    <definedName name="sample_wld_az1_rack7_host_overlay_cidr">Arkham!$B$43</definedName>
    <definedName name="sample_wld_az1_rack7_host_overlay_gateway_ip">'Additional Racks'!$C$560</definedName>
    <definedName name="sample_wld_az1_rack7_host_overlay_mask">'Additional Racks'!$C$559</definedName>
    <definedName name="sample_wld_az1_rack7_host_overlay_mtu">'Additional Racks'!$C$557</definedName>
    <definedName name="sample_wld_az1_rack7_host_overlay_network">'Additional Racks'!$C$558</definedName>
    <definedName name="sample_wld_az1_rack7_host_overlay_network_pool_name">'Additional Racks'!$C$545</definedName>
    <definedName name="sample_wld_az1_rack7_host_overlay_network_profile_name">'Additional Racks'!$C$543</definedName>
    <definedName name="sample_wld_az1_rack7_host_overlay_pool_end_ip">'Additional Racks'!$C$562</definedName>
    <definedName name="sample_wld_az1_rack7_host_overlay_pool_start_ip">'Additional Racks'!$C$561</definedName>
    <definedName name="sample_wld_az1_rack7_host_overlay_uplink_profile_name">'Additional Racks'!$C$546</definedName>
    <definedName name="sample_wld_az1_rack7_host_overlay_vlan">'Additional Racks'!$C$556</definedName>
    <definedName name="sample_wld_az1_rack7_host1_fqdn">'Additional Racks'!$C$519</definedName>
    <definedName name="sample_wld_az1_rack7_host1_mgmt_ip">'Additional Racks'!$C$479</definedName>
    <definedName name="sample_wld_az1_rack7_host10_fqdn">'Additional Racks'!$C$528</definedName>
    <definedName name="sample_wld_az1_rack7_host10_mgmt_ip">'Additional Racks'!$C$488</definedName>
    <definedName name="sample_wld_az1_rack7_host11_fqdn">'Additional Racks'!$C$529</definedName>
    <definedName name="sample_wld_az1_rack7_host11_mgmt_ip">'Additional Racks'!$C$489</definedName>
    <definedName name="sample_wld_az1_rack7_host12_fqdn">'Additional Racks'!$C$530</definedName>
    <definedName name="sample_wld_az1_rack7_host12_mgmt_ip">'Additional Racks'!$C$490</definedName>
    <definedName name="sample_wld_az1_rack7_host13_fqdn">'Additional Racks'!$C$531</definedName>
    <definedName name="sample_wld_az1_rack7_host13_mgmt_ip">'Additional Racks'!$C$491</definedName>
    <definedName name="sample_wld_az1_rack7_host14_fqdn">'Additional Racks'!$C$532</definedName>
    <definedName name="sample_wld_az1_rack7_host14_mgmt_ip">'Additional Racks'!$C$492</definedName>
    <definedName name="sample_wld_az1_rack7_host15_fqdn">'Additional Racks'!$C$533</definedName>
    <definedName name="sample_wld_az1_rack7_host15_mgmt_ip">'Additional Racks'!$C$493</definedName>
    <definedName name="sample_wld_az1_rack7_host16_fqdn">'Additional Racks'!$C$534</definedName>
    <definedName name="sample_wld_az1_rack7_host16_mgmt_ip">'Additional Racks'!$C$494</definedName>
    <definedName name="sample_wld_az1_rack7_host2_fqdn">'Additional Racks'!$C$520</definedName>
    <definedName name="sample_wld_az1_rack7_host2_mgmt_ip">'Additional Racks'!$C$480</definedName>
    <definedName name="sample_wld_az1_rack7_host3_fqdn">'Additional Racks'!$C$521</definedName>
    <definedName name="sample_wld_az1_rack7_host3_mgmt_ip">'Additional Racks'!$C$481</definedName>
    <definedName name="sample_wld_az1_rack7_host4_fqdn">'Additional Racks'!$C$522</definedName>
    <definedName name="sample_wld_az1_rack7_host4_mgmt_ip">'Additional Racks'!$C$482</definedName>
    <definedName name="sample_wld_az1_rack7_host5_fqdn">'Additional Racks'!$C$523</definedName>
    <definedName name="sample_wld_az1_rack7_host5_mgmt_ip">'Additional Racks'!$C$483</definedName>
    <definedName name="sample_wld_az1_rack7_host6_fqdn">'Additional Racks'!$C$524</definedName>
    <definedName name="sample_wld_az1_rack7_host6_mgmt_ip">'Additional Racks'!$C$484</definedName>
    <definedName name="sample_wld_az1_rack7_host7_fqdn">'Additional Racks'!$C$525</definedName>
    <definedName name="sample_wld_az1_rack7_host7_mgmt_ip">'Additional Racks'!$C$485</definedName>
    <definedName name="sample_wld_az1_rack7_host8_fqdn">'Additional Racks'!$C$526</definedName>
    <definedName name="sample_wld_az1_rack7_host8_mgmt_ip">'Additional Racks'!$C$486</definedName>
    <definedName name="sample_wld_az1_rack7_host9_fqdn">'Additional Racks'!$C$527</definedName>
    <definedName name="sample_wld_az1_rack7_host9_mgmt_ip">'Additional Racks'!$C$487</definedName>
    <definedName name="sample_wld_az1_rack7_mgmt_cidr">'Additional Racks'!$C$476</definedName>
    <definedName name="sample_wld_az1_rack7_mgmt_gateway_ip">'Additional Racks'!$C$475</definedName>
    <definedName name="sample_wld_az1_rack7_mgmt_mtu">'Additional Racks'!$C$477</definedName>
    <definedName name="sample_wld_az1_rack7_mgmt_vlan">'Additional Racks'!$C$474</definedName>
    <definedName name="sample_wld_az1_rack7_mgmt_vm_cidr">'Value Reference Tables - MR'!$M$275</definedName>
    <definedName name="sample_wld_az1_rack7_mgmt_vm_gateway_ip">'Value Reference Tables - MR'!$O$280</definedName>
    <definedName name="sample_wld_az1_rack7_mgmt_vm_mtu">'Value Reference Tables - MR'!$Q$280</definedName>
    <definedName name="sample_wld_az1_rack7_mgmt_vm_vlan">'Value Reference Tables - MR'!$K$280</definedName>
    <definedName name="sample_wld_az1_rack7_pool_name">'Additional Racks'!$C$499</definedName>
    <definedName name="sample_wld_az1_rack7_principal_storage_cidr">Arkham!$B$41</definedName>
    <definedName name="sample_wld_az1_rack7_principal_storage_gateway_ip">'Additional Racks'!$C$513</definedName>
    <definedName name="sample_wld_az1_rack7_principal_storage_mask">'Additional Racks'!$C$512</definedName>
    <definedName name="sample_wld_az1_rack7_principal_storage_mtu">'Additional Racks'!$C$510</definedName>
    <definedName name="sample_wld_az1_rack7_principal_storage_network">'Additional Racks'!$C$511</definedName>
    <definedName name="sample_wld_az1_rack7_principal_storage_pool_end_ip">'Additional Racks'!$C$515</definedName>
    <definedName name="sample_wld_az1_rack7_principal_storage_pool_start_ip">'Additional Racks'!$C$514</definedName>
    <definedName name="sample_wld_az1_rack7_principal_storage_vlan">'Additional Racks'!$C$509</definedName>
    <definedName name="sample_wld_az1_rack7_rtep_ip_pool_name">'Additional Racks'!$C$548</definedName>
    <definedName name="sample_wld_az1_rack7_secondary_storage_cidr">Arkham!$B$42</definedName>
    <definedName name="sample_wld_az1_rack7_secondary_storage_gateway_ip">'Dumping Ground'!$C$552</definedName>
    <definedName name="sample_wld_az1_rack7_secondary_storage_mask">'Dumping Ground'!$C$551</definedName>
    <definedName name="sample_wld_az1_rack7_secondary_storage_mtu">'Dumping Ground'!$C$549</definedName>
    <definedName name="sample_wld_az1_rack7_secondary_storage_network">'Dumping Ground'!$C$550</definedName>
    <definedName name="sample_wld_az1_rack7_secondary_storage_pool_end_ip">'Dumping Ground'!$C$554</definedName>
    <definedName name="sample_wld_az1_rack7_secondary_storage_pool_start_ip">'Dumping Ground'!$C$553</definedName>
    <definedName name="sample_wld_az1_rack7_secondary_storage_vlan">'Dumping Ground'!$C$548</definedName>
    <definedName name="sample_wld_az1_rack7_tor1_peer_asn">Arkham!$Q$75</definedName>
    <definedName name="sample_wld_az1_rack7_tor1_peer_bgp_password">Arkham!$Q$76</definedName>
    <definedName name="sample_wld_az1_rack7_tor1_peer_ip">Arkham!$Q$74</definedName>
    <definedName name="sample_wld_az1_rack7_tor2_peer_asn">Arkham!$Q$78</definedName>
    <definedName name="sample_wld_az1_rack7_tor2_peer_bgp_password">Arkham!$Q$79</definedName>
    <definedName name="sample_wld_az1_rack7_tor2_peer_ip">Arkham!$Q$77</definedName>
    <definedName name="sample_wld_az1_rack7_uplink01_gateway_ip">Arkham!$Q$62</definedName>
    <definedName name="sample_wld_az1_rack7_uplink01_mask">Arkham!$Q$65</definedName>
    <definedName name="sample_wld_az1_rack7_uplink01_mtu">Arkham!$Q$68</definedName>
    <definedName name="sample_wld_az1_rack7_uplink01_network">Arkham!$Q$59</definedName>
    <definedName name="sample_wld_az1_rack7_uplink01_vlan">Arkham!$Q$56</definedName>
    <definedName name="sample_wld_az1_rack7_uplink02_gateway_ip">Arkham!$Q$63</definedName>
    <definedName name="sample_wld_az1_rack7_uplink02_mask">Arkham!$Q$66</definedName>
    <definedName name="sample_wld_az1_rack7_uplink02_mtu">Arkham!$Q$69</definedName>
    <definedName name="sample_wld_az1_rack7_uplink02_network">Arkham!$Q$60</definedName>
    <definedName name="sample_wld_az1_rack7_uplink02_vlan">Arkham!$Q$57</definedName>
    <definedName name="sample_wld_az1_rack7_vmotion_cidr">Arkham!$B$40</definedName>
    <definedName name="sample_wld_az1_rack7_vmotion_gateway_ip">'Additional Racks'!$C$505</definedName>
    <definedName name="sample_wld_az1_rack7_vmotion_mask">'Additional Racks'!$C$504</definedName>
    <definedName name="sample_wld_az1_rack7_vmotion_mtu">'Additional Racks'!$C$502</definedName>
    <definedName name="sample_wld_az1_rack7_vmotion_network">'Additional Racks'!$C$503</definedName>
    <definedName name="sample_wld_az1_rack7_vmotion_pool_end_ip">'Additional Racks'!$C$507</definedName>
    <definedName name="sample_wld_az1_rack7_vmotion_pool_start_ip">'Additional Racks'!$C$506</definedName>
    <definedName name="sample_wld_az1_rack7_vmotion_vlan">'Additional Racks'!$C$501</definedName>
    <definedName name="sample_wld_az1_rack7_vsan_fault_domain">'Additional Racks'!$C$551</definedName>
    <definedName name="sample_wld_az1_rack8_edge_overlay_gateway_ip">Arkham!$T$64</definedName>
    <definedName name="sample_wld_az1_rack8_edge_overlay_mask">Arkham!$T$67</definedName>
    <definedName name="sample_wld_az1_rack8_edge_overlay_mtu">Arkham!$T$70</definedName>
    <definedName name="sample_wld_az1_rack8_edge_overlay_network">Arkham!$T$61</definedName>
    <definedName name="sample_wld_az1_rack8_edge_overlay_network_pool_name">'Additional Racks'!$C$640</definedName>
    <definedName name="sample_wld_az1_rack8_edge_overlay_pool_end_ip">Arkham!$T$72</definedName>
    <definedName name="sample_wld_az1_rack8_edge_overlay_pool_start_ip">Arkham!$T$71</definedName>
    <definedName name="sample_wld_az1_rack8_edge_overlay_vlan">Arkham!$T$58</definedName>
    <definedName name="sample_wld_az1_rack8_host_hostnames">'Additional Racks'!$C$612:$C$627</definedName>
    <definedName name="sample_wld_az1_rack8_host_mgmt_ips">'Additional Racks'!$C$572:$C$587</definedName>
    <definedName name="sample_wld_az1_rack8_host_overlay_cidr">Arkham!$B$47</definedName>
    <definedName name="sample_wld_az1_rack8_host_overlay_gateway_ip">'Additional Racks'!$C$653</definedName>
    <definedName name="sample_wld_az1_rack8_host_overlay_mask">'Additional Racks'!$C$652</definedName>
    <definedName name="sample_wld_az1_rack8_host_overlay_mtu">'Additional Racks'!$C$650</definedName>
    <definedName name="sample_wld_az1_rack8_host_overlay_network">'Additional Racks'!$C$651</definedName>
    <definedName name="sample_wld_az1_rack8_host_overlay_network_pool_name">'Additional Racks'!$C$638</definedName>
    <definedName name="sample_wld_az1_rack8_host_overlay_network_profile_name">'Additional Racks'!$C$636</definedName>
    <definedName name="sample_wld_az1_rack8_host_overlay_pool_end_ip">'Additional Racks'!$C$655</definedName>
    <definedName name="sample_wld_az1_rack8_host_overlay_pool_start_ip">'Additional Racks'!$C$654</definedName>
    <definedName name="sample_wld_az1_rack8_host_overlay_uplink_profile_name">'Additional Racks'!$C$639</definedName>
    <definedName name="sample_wld_az1_rack8_host_overlay_vlan">'Additional Racks'!$C$649</definedName>
    <definedName name="sample_wld_az1_rack8_host1_fqdn">'Additional Racks'!$C$612</definedName>
    <definedName name="sample_wld_az1_rack8_host1_mgmt_ip">'Additional Racks'!$C$572</definedName>
    <definedName name="sample_wld_az1_rack8_host10_fqdn">'Additional Racks'!$C$621</definedName>
    <definedName name="sample_wld_az1_rack8_host10_mgmt_ip">'Additional Racks'!$C$581</definedName>
    <definedName name="sample_wld_az1_rack8_host11_fqdn">'Additional Racks'!$C$622</definedName>
    <definedName name="sample_wld_az1_rack8_host11_mgmt_ip">'Additional Racks'!$C$582</definedName>
    <definedName name="sample_wld_az1_rack8_host12_fqdn">'Additional Racks'!$C$623</definedName>
    <definedName name="sample_wld_az1_rack8_host12_mgmt_ip">'Additional Racks'!$C$583</definedName>
    <definedName name="sample_wld_az1_rack8_host13_fqdn">'Additional Racks'!$C$624</definedName>
    <definedName name="sample_wld_az1_rack8_host13_mgmt_ip">'Additional Racks'!$C$584</definedName>
    <definedName name="sample_wld_az1_rack8_host14_fqdn">'Additional Racks'!$C$625</definedName>
    <definedName name="sample_wld_az1_rack8_host14_mgmt_ip">'Additional Racks'!$C$585</definedName>
    <definedName name="sample_wld_az1_rack8_host15_fqdn">'Additional Racks'!$C$626</definedName>
    <definedName name="sample_wld_az1_rack8_host15_mgmt_ip">'Additional Racks'!$C$586</definedName>
    <definedName name="sample_wld_az1_rack8_host16_fqdn">'Additional Racks'!$C$627</definedName>
    <definedName name="sample_wld_az1_rack8_host16_mgmt_ip">'Additional Racks'!$C$587</definedName>
    <definedName name="sample_wld_az1_rack8_host2_fqdn">'Additional Racks'!$C$613</definedName>
    <definedName name="sample_wld_az1_rack8_host2_mgmt_ip">'Additional Racks'!$C$573</definedName>
    <definedName name="sample_wld_az1_rack8_host3_fqdn">'Additional Racks'!$C$614</definedName>
    <definedName name="sample_wld_az1_rack8_host3_mgmt_ip">'Additional Racks'!$C$574</definedName>
    <definedName name="sample_wld_az1_rack8_host4_fqdn">'Additional Racks'!$C$615</definedName>
    <definedName name="sample_wld_az1_rack8_host4_mgmt_ip">'Additional Racks'!$C$575</definedName>
    <definedName name="sample_wld_az1_rack8_host5_fqdn">'Additional Racks'!$C$616</definedName>
    <definedName name="sample_wld_az1_rack8_host5_mgmt_ip">'Additional Racks'!$C$576</definedName>
    <definedName name="sample_wld_az1_rack8_host6_fqdn">'Additional Racks'!$C$617</definedName>
    <definedName name="sample_wld_az1_rack8_host6_mgmt_ip">'Additional Racks'!$C$577</definedName>
    <definedName name="sample_wld_az1_rack8_host7_fqdn">'Additional Racks'!$C$618</definedName>
    <definedName name="sample_wld_az1_rack8_host7_mgmt_ip">'Additional Racks'!$C$578</definedName>
    <definedName name="sample_wld_az1_rack8_host8_fqdn">'Additional Racks'!$C$619</definedName>
    <definedName name="sample_wld_az1_rack8_host8_mgmt_ip">'Additional Racks'!$C$579</definedName>
    <definedName name="sample_wld_az1_rack8_host9_fqdn">'Additional Racks'!$C$620</definedName>
    <definedName name="sample_wld_az1_rack8_host9_mgmt_ip">'Additional Racks'!$C$580</definedName>
    <definedName name="sample_wld_az1_rack8_mgmt_cidr">'Additional Racks'!$C$569</definedName>
    <definedName name="sample_wld_az1_rack8_mgmt_gateway_ip">'Additional Racks'!$C$568</definedName>
    <definedName name="sample_wld_az1_rack8_mgmt_mtu">'Additional Racks'!$C$570</definedName>
    <definedName name="sample_wld_az1_rack8_mgmt_vlan">'Additional Racks'!$C$567</definedName>
    <definedName name="sample_wld_az1_rack8_mgmt_vm_cidr">'Value Reference Tables - MR'!$M$276</definedName>
    <definedName name="sample_wld_az1_rack8_mgmt_vm_gateway_ip">'Value Reference Tables - MR'!$O$281</definedName>
    <definedName name="sample_wld_az1_rack8_mgmt_vm_mtu">'Value Reference Tables - MR'!$Q$281</definedName>
    <definedName name="sample_wld_az1_rack8_mgmt_vm_vlan">'Value Reference Tables - MR'!$K$281</definedName>
    <definedName name="sample_wld_az1_rack8_pool_name">'Additional Racks'!$C$592</definedName>
    <definedName name="sample_wld_az1_rack8_principal_storage_cidr">Arkham!$B$45</definedName>
    <definedName name="sample_wld_az1_rack8_principal_storage_gateway_ip">'Additional Racks'!$C$606</definedName>
    <definedName name="sample_wld_az1_rack8_principal_storage_mask">'Additional Racks'!$C$605</definedName>
    <definedName name="sample_wld_az1_rack8_principal_storage_mtu">'Additional Racks'!$C$603</definedName>
    <definedName name="sample_wld_az1_rack8_principal_storage_network">'Additional Racks'!$C$604</definedName>
    <definedName name="sample_wld_az1_rack8_principal_storage_pool_end_ip">'Additional Racks'!$C$608</definedName>
    <definedName name="sample_wld_az1_rack8_principal_storage_pool_start_ip">'Additional Racks'!$C$607</definedName>
    <definedName name="sample_wld_az1_rack8_principal_storage_vlan">'Additional Racks'!$C$602</definedName>
    <definedName name="sample_wld_az1_rack8_rtep_ip_pool_name">'Additional Racks'!$C$641</definedName>
    <definedName name="sample_wld_az1_rack8_secondary_storage_cidr">Arkham!$B$46</definedName>
    <definedName name="sample_wld_az1_rack8_secondary_storage_gateway_ip">'Dumping Ground'!$C$560</definedName>
    <definedName name="sample_wld_az1_rack8_secondary_storage_mask">'Dumping Ground'!$C$559</definedName>
    <definedName name="sample_wld_az1_rack8_secondary_storage_mtu">'Dumping Ground'!$C$557</definedName>
    <definedName name="sample_wld_az1_rack8_secondary_storage_network">'Dumping Ground'!$C$558</definedName>
    <definedName name="sample_wld_az1_rack8_secondary_storage_pool_end_ip">'Dumping Ground'!$C$562</definedName>
    <definedName name="sample_wld_az1_rack8_secondary_storage_pool_start_ip">'Dumping Ground'!$C$561</definedName>
    <definedName name="sample_wld_az1_rack8_secondary_storage_vlan">'Dumping Ground'!$C$556</definedName>
    <definedName name="sample_wld_az1_rack8_tor1_peer_asn">Arkham!$T$75</definedName>
    <definedName name="sample_wld_az1_rack8_tor1_peer_bgp_password">Arkham!$T$76</definedName>
    <definedName name="sample_wld_az1_rack8_tor1_peer_ip">Arkham!$T$74</definedName>
    <definedName name="sample_wld_az1_rack8_tor2_peer_asn">Arkham!$T$78</definedName>
    <definedName name="sample_wld_az1_rack8_tor2_peer_bgp_password">Arkham!$T$79</definedName>
    <definedName name="sample_wld_az1_rack8_tor2_peer_ip">Arkham!$T$77</definedName>
    <definedName name="sample_wld_az1_rack8_uplink01_gateway_ip">Arkham!$T$62</definedName>
    <definedName name="sample_wld_az1_rack8_uplink01_mask">Arkham!$T$65</definedName>
    <definedName name="sample_wld_az1_rack8_uplink01_mtu">Arkham!$T$68</definedName>
    <definedName name="sample_wld_az1_rack8_uplink01_network">Arkham!$T$59</definedName>
    <definedName name="sample_wld_az1_rack8_uplink01_vlan">Arkham!$T$56</definedName>
    <definedName name="sample_wld_az1_rack8_uplink02_gateway_ip">Arkham!$T$63</definedName>
    <definedName name="sample_wld_az1_rack8_uplink02_mask">Arkham!$T$66</definedName>
    <definedName name="sample_wld_az1_rack8_uplink02_mtu">Arkham!$T$69</definedName>
    <definedName name="sample_wld_az1_rack8_uplink02_network">Arkham!$T$60</definedName>
    <definedName name="sample_wld_az1_rack8_uplink02_vlan">Arkham!$T$57</definedName>
    <definedName name="sample_wld_az1_rack8_vmotion_cidr">Arkham!$B$44</definedName>
    <definedName name="sample_wld_az1_rack8_vmotion_gateway_ip">'Additional Racks'!$C$598</definedName>
    <definedName name="sample_wld_az1_rack8_vmotion_mask">'Additional Racks'!$C$597</definedName>
    <definedName name="sample_wld_az1_rack8_vmotion_mtu">'Additional Racks'!$C$595</definedName>
    <definedName name="sample_wld_az1_rack8_vmotion_network">'Additional Racks'!$C$596</definedName>
    <definedName name="sample_wld_az1_rack8_vmotion_pool_end_ip">'Additional Racks'!$C$600</definedName>
    <definedName name="sample_wld_az1_rack8_vmotion_pool_start_ip">'Additional Racks'!$C$599</definedName>
    <definedName name="sample_wld_az1_rack8_vmotion_vlan">'Additional Racks'!$C$594</definedName>
    <definedName name="sample_wld_az1_rack8_vsan_fault_domain">'Additional Racks'!$C$644</definedName>
    <definedName name="sample_wld_az1_rtep_ip_pool_name">'Configure Workload Domain'!$C$537</definedName>
    <definedName name="sample_wld_az1_rtep_overlay_cidr">'Configure Workload Domain'!$C$540</definedName>
    <definedName name="sample_wld_az1_rtep_overlay_gateway_ip">'Configure Workload Domain'!$C$541</definedName>
    <definedName name="sample_wld_az1_rtep_overlay_vlan">'Configure Workload Domain'!$C$570</definedName>
    <definedName name="sample_wld_az1_secondary_storage_gateway_cidr">'Deploy Workload Domain'!$C$110</definedName>
    <definedName name="sample_wld_az1_secondary_storage_mtu">'Deploy Workload Domain'!$C$108</definedName>
    <definedName name="sample_wld_az1_secondary_storage_pool_end_ip">'Deploy Workload Domain'!$C$113</definedName>
    <definedName name="sample_wld_az1_secondary_storage_pool_start_ip">'Deploy Workload Domain'!$C$112</definedName>
    <definedName name="sample_wld_az1_secondary_storage_vlan">'Deploy Workload Domain'!$C$107</definedName>
    <definedName name="sample_wld_az1_storage_cluster_gateway_cidr">'Deploy Workload Domain'!$C$121</definedName>
    <definedName name="sample_wld_az1_storage_cluster_mtu">'Deploy Workload Domain'!$C$119</definedName>
    <definedName name="sample_wld_az1_storage_cluster_pool_end_ip">'Deploy Workload Domain'!$C$124</definedName>
    <definedName name="sample_wld_az1_storage_cluster_pool_start_ip">'Deploy Workload Domain'!$C$123</definedName>
    <definedName name="sample_wld_az1_storage_cluster_vlan">'Deploy Workload Domain'!$C$118</definedName>
    <definedName name="sample_wld_az1_tor1_peer_asn">'Configure Workload Domain'!$C$109</definedName>
    <definedName name="sample_wld_az1_tor1_peer_bgp_password">'Configure Workload Domain'!$C$110</definedName>
    <definedName name="sample_wld_az1_tor1_peer_ip">'Configure Workload Domain'!$C$106</definedName>
    <definedName name="sample_wld_az1_tor2_peer_asn">'Configure Workload Domain'!$C$116</definedName>
    <definedName name="sample_wld_az1_tor2_peer_bgp_password">'Configure Workload Domain'!$C$117</definedName>
    <definedName name="sample_wld_az1_tor2_peer_ip">'Configure Workload Domain'!$C$113</definedName>
    <definedName name="sample_wld_az1_uplink01_cidr">'Configure Workload Domain'!$C$175</definedName>
    <definedName name="sample_wld_az1_uplink01_gateway_ip">'Configure Workload Domain'!$C$174</definedName>
    <definedName name="sample_wld_az1_uplink01_mtu">'Configure Workload Domain'!$C$108</definedName>
    <definedName name="sample_wld_az1_uplink01_vlan">'Configure Workload Domain'!$C$104</definedName>
    <definedName name="sample_wld_az1_uplink02_cidr">'Configure Workload Domain'!$C$179</definedName>
    <definedName name="sample_wld_az1_uplink02_gateway_ip">'Configure Workload Domain'!$C$178</definedName>
    <definedName name="sample_wld_az1_uplink02_mtu">'Configure Workload Domain'!$C$115</definedName>
    <definedName name="sample_wld_az1_uplink02_vlan">'Configure Workload Domain'!$C$111</definedName>
    <definedName name="sample_wld_az1_vmotion_gateway_cidr">'Deploy Workload Domain'!$C$88</definedName>
    <definedName name="sample_wld_az1_vmotion_mtu">'Deploy Workload Domain'!$C$86</definedName>
    <definedName name="sample_wld_az1_vmotion_pool_end_ip">'Deploy Workload Domain'!$C$91</definedName>
    <definedName name="sample_wld_az1_vmotion_pool_start_ip">'Deploy Workload Domain'!$C$90</definedName>
    <definedName name="sample_wld_az1_vmotion_vlan">'Deploy Workload Domain'!$C$85</definedName>
    <definedName name="sample_wld_az1_vrms_cidr">'Dumping Ground'!$C$270</definedName>
    <definedName name="sample_wld_az1_vrms_gateway_ip">'Dumping Ground'!$C$269</definedName>
    <definedName name="sample_wld_az1_vrms_mask">'Dumping Ground'!$E$269</definedName>
    <definedName name="sample_wld_az1_vrms_mtu">'Dumping Ground'!$C$271</definedName>
    <definedName name="sample_wld_az1_vrms_vlan">'On-Premises Ransomware Recovery'!$C$72</definedName>
    <definedName name="sample_wld_az2_host_overlay_cidr">'Configure Workload Domain'!$C$396</definedName>
    <definedName name="sample_wld_az2_host_overlay_gateway_ip">'Configure Workload Domain'!$C$395</definedName>
    <definedName name="sample_wld_az2_host_overlay_mtu">'Configure Workload Domain'!$C$397</definedName>
    <definedName name="sample_wld_az2_host_overlay_network_pool_name">'Configure Workload Domain'!$C$392</definedName>
    <definedName name="sample_wld_az2_host_overlay_network_profile_name">'Configure Workload Domain'!$C$390</definedName>
    <definedName name="sample_wld_az2_host_overlay_pool_end_ip">'Configure Workload Domain'!$C$399</definedName>
    <definedName name="sample_wld_az2_host_overlay_pool_start_ip">'Configure Workload Domain'!$C$398</definedName>
    <definedName name="sample_wld_az2_host_overlay_uplink_profile_name">'Configure Workload Domain'!$C$393</definedName>
    <definedName name="sample_wld_az2_host_overlay_vlan">'Configure Workload Domain'!$C$394</definedName>
    <definedName name="sample_wld_az2_host1_fqdn">'Configure Workload Domain'!$C$303</definedName>
    <definedName name="sample_wld_az2_host1_mgmt_ip">'Configure Workload Domain'!$C$245</definedName>
    <definedName name="sample_wld_az2_host1_sddc_id">'Configure Workload Domain'!$C$374</definedName>
    <definedName name="sample_wld_az2_host1_vrms_ip">'Dumping Ground'!$C$310</definedName>
    <definedName name="sample_wld_az2_host10_fqdn">'Configure Workload Domain'!$C$312</definedName>
    <definedName name="sample_wld_az2_host10_mgmt_ip">'Configure Workload Domain'!$C$254</definedName>
    <definedName name="sample_wld_az2_host10_vrms_ip">'Dumping Ground'!$C$319</definedName>
    <definedName name="sample_wld_az2_host11_fqdn">'Configure Workload Domain'!$C$313</definedName>
    <definedName name="sample_wld_az2_host11_mgmt_ip">'Configure Workload Domain'!$C$255</definedName>
    <definedName name="sample_wld_az2_host11_vrms_ip">'Dumping Ground'!$C$320</definedName>
    <definedName name="sample_wld_az2_host12_fqdn">'Configure Workload Domain'!$C$314</definedName>
    <definedName name="sample_wld_az2_host12_mgmt_ip">'Configure Workload Domain'!$C$256</definedName>
    <definedName name="sample_wld_az2_host12_vrms_ip">'Dumping Ground'!$C$321</definedName>
    <definedName name="sample_wld_az2_host13_fqdn">'Configure Workload Domain'!$C$315</definedName>
    <definedName name="sample_wld_az2_host13_mgmt_ip">'Configure Workload Domain'!$C$257</definedName>
    <definedName name="sample_wld_az2_host13_vrms_ip">'Dumping Ground'!$C$322</definedName>
    <definedName name="sample_wld_az2_host14_fqdn">'Configure Workload Domain'!$C$316</definedName>
    <definedName name="sample_wld_az2_host14_mgmt_ip">'Configure Workload Domain'!$C$258</definedName>
    <definedName name="sample_wld_az2_host14_vrms_ip">'Dumping Ground'!$C$323</definedName>
    <definedName name="sample_wld_az2_host15_fqdn">'Configure Workload Domain'!$C$317</definedName>
    <definedName name="sample_wld_az2_host15_mgmt_ip">'Configure Workload Domain'!$C$259</definedName>
    <definedName name="sample_wld_az2_host15_vrms_ip">'Dumping Ground'!$C$324</definedName>
    <definedName name="sample_wld_az2_host16_fqdn">'Configure Workload Domain'!$C$318</definedName>
    <definedName name="sample_wld_az2_host16_mgmt_ip">'Configure Workload Domain'!$C$260</definedName>
    <definedName name="sample_wld_az2_host16_vrms_ip">'Dumping Ground'!$C$325</definedName>
    <definedName name="sample_wld_az2_host2_fqdn">'Configure Workload Domain'!$C$304</definedName>
    <definedName name="sample_wld_az2_host2_mgmt_ip">'Configure Workload Domain'!$C$246</definedName>
    <definedName name="sample_wld_az2_host2_sddc_id">'Configure Workload Domain'!$C$375</definedName>
    <definedName name="sample_wld_az2_host2_vrms_ip">'Dumping Ground'!$C$311</definedName>
    <definedName name="sample_wld_az2_host3_fqdn">'Configure Workload Domain'!$C$305</definedName>
    <definedName name="sample_wld_az2_host3_mgmt_ip">'Configure Workload Domain'!$C$247</definedName>
    <definedName name="sample_wld_az2_host3_sddc_id">'Configure Workload Domain'!$C$376</definedName>
    <definedName name="sample_wld_az2_host3_vrms_ip">'Dumping Ground'!$C$312</definedName>
    <definedName name="sample_wld_az2_host4_fqdn">'Configure Workload Domain'!$C$306</definedName>
    <definedName name="sample_wld_az2_host4_mgmt_ip">'Configure Workload Domain'!$C$248</definedName>
    <definedName name="sample_wld_az2_host4_sddc_id">'Configure Workload Domain'!$C$377</definedName>
    <definedName name="sample_wld_az2_host4_vrms_ip">'Dumping Ground'!$C$313</definedName>
    <definedName name="sample_wld_az2_host5_fqdn">'Configure Workload Domain'!$C$307</definedName>
    <definedName name="sample_wld_az2_host5_mgmt_ip">'Configure Workload Domain'!$C$249</definedName>
    <definedName name="sample_wld_az2_host5_vrms_ip">'Dumping Ground'!$C$314</definedName>
    <definedName name="sample_wld_az2_host6_fqdn">'Configure Workload Domain'!$C$308</definedName>
    <definedName name="sample_wld_az2_host6_mgmt_ip">'Configure Workload Domain'!$C$250</definedName>
    <definedName name="sample_wld_az2_host6_vrms_ip">'Dumping Ground'!$C$315</definedName>
    <definedName name="sample_wld_az2_host7_fqdn">'Configure Workload Domain'!$C$309</definedName>
    <definedName name="sample_wld_az2_host7_mgmt_ip">'Configure Workload Domain'!$C$251</definedName>
    <definedName name="sample_wld_az2_host7_vrms_ip">'Dumping Ground'!$C$316</definedName>
    <definedName name="sample_wld_az2_host8_fqdn">'Configure Workload Domain'!$C$310</definedName>
    <definedName name="sample_wld_az2_host8_mgmt_ip">'Configure Workload Domain'!$C$252</definedName>
    <definedName name="sample_wld_az2_host8_vrms_ip">'Dumping Ground'!$C$317</definedName>
    <definedName name="sample_wld_az2_host9_fqdn">'Configure Workload Domain'!$C$311</definedName>
    <definedName name="sample_wld_az2_host9_mgmt_ip">'Configure Workload Domain'!$C$253</definedName>
    <definedName name="sample_wld_az2_host9_vrms_ip">'Dumping Ground'!$C$318</definedName>
    <definedName name="sample_wld_az2_mgmt_cidr">'Configure Workload Domain'!$C$242</definedName>
    <definedName name="sample_wld_az2_mgmt_gateway_ip">'Configure Workload Domain'!$C$241</definedName>
    <definedName name="sample_wld_az2_mgmt_mtu">'Configure Workload Domain'!$C$243</definedName>
    <definedName name="sample_wld_az2_mgmt_vlan">'Configure Workload Domain'!$C$240</definedName>
    <definedName name="sample_wld_az2_pool_name">'Configure Workload Domain'!$C$266</definedName>
    <definedName name="sample_wld_az2_principal_storage_gateway_ip">'Configure Workload Domain'!$C$280</definedName>
    <definedName name="sample_wld_az2_principal_storage_mask">'Configure Workload Domain'!$C$279</definedName>
    <definedName name="sample_wld_az2_principal_storage_mtu">'Configure Workload Domain'!$C$277</definedName>
    <definedName name="sample_wld_az2_principal_storage_network">'Configure Workload Domain'!$C$278</definedName>
    <definedName name="sample_wld_az2_principal_storage_pool_end_ip">'Configure Workload Domain'!$C$282</definedName>
    <definedName name="sample_wld_az2_principal_storage_pool_start_ip">'Configure Workload Domain'!$C$281</definedName>
    <definedName name="sample_wld_az2_principal_storage_vlan">'Configure Workload Domain'!$C$276</definedName>
    <definedName name="sample_wld_az2_secondary_storage_gateway_ip">'Configure Workload Domain'!$C$288</definedName>
    <definedName name="sample_wld_az2_secondary_storage_mask">'Configure Workload Domain'!$C$287</definedName>
    <definedName name="sample_wld_az2_secondary_storage_mtu">'Configure Workload Domain'!$C$285</definedName>
    <definedName name="sample_wld_az2_secondary_storage_network">'Configure Workload Domain'!$C$286</definedName>
    <definedName name="sample_wld_az2_secondary_storage_pool_end_ip">'Configure Workload Domain'!$C$290</definedName>
    <definedName name="sample_wld_az2_secondary_storage_pool_start_ip">'Configure Workload Domain'!$C$289</definedName>
    <definedName name="sample_wld_az2_secondary_storage_vlan">'Configure Workload Domain'!$C$284</definedName>
    <definedName name="sample_wld_az2_storage_cluster_gateway_ip">'Configure Workload Domain'!$C$296</definedName>
    <definedName name="sample_wld_az2_storage_cluster_mask">'Configure Workload Domain'!$C$295</definedName>
    <definedName name="sample_wld_az2_storage_cluster_mtu">'Configure Workload Domain'!$C$293</definedName>
    <definedName name="sample_wld_az2_storage_cluster_network">'Configure Workload Domain'!$C$294</definedName>
    <definedName name="sample_wld_az2_storage_cluster_pool_end_ip">'Configure Workload Domain'!$C$298</definedName>
    <definedName name="sample_wld_az2_storage_cluster_pool_start_ip">'Configure Workload Domain'!$C$297</definedName>
    <definedName name="sample_wld_az2_storage_cluster_vlan">'Configure Workload Domain'!$C$292</definedName>
    <definedName name="sample_wld_az2_tor1_peer_asn">'Configure Workload Domain'!$C$417</definedName>
    <definedName name="sample_wld_az2_tor1_peer_bgp_password">'Configure Workload Domain'!$C$420</definedName>
    <definedName name="sample_wld_az2_tor1_peer_ip">'Configure Workload Domain'!$C$416</definedName>
    <definedName name="sample_wld_az2_tor2_peer_asn">'Configure Workload Domain'!$C$422</definedName>
    <definedName name="sample_wld_az2_tor2_peer_bgp_password">'Configure Workload Domain'!$C$425</definedName>
    <definedName name="sample_wld_az2_tor2_peer_ip">'Configure Workload Domain'!$C$421</definedName>
    <definedName name="sample_wld_az2_vmotion_gateway_ip">'Configure Workload Domain'!$C$272</definedName>
    <definedName name="sample_wld_az2_vmotion_mask">'Configure Workload Domain'!$C$271</definedName>
    <definedName name="sample_wld_az2_vmotion_mtu">'Configure Workload Domain'!$C$269</definedName>
    <definedName name="sample_wld_az2_vmotion_network">'Configure Workload Domain'!$C$270</definedName>
    <definedName name="sample_wld_az2_vmotion_pool_end_ip">'Configure Workload Domain'!$C$274</definedName>
    <definedName name="sample_wld_az2_vmotion_pool_start_ip">'Configure Workload Domain'!$C$273</definedName>
    <definedName name="sample_wld_az2_vmotion_vlan">'Configure Workload Domain'!$C$268</definedName>
    <definedName name="sample_wld_bf_nsxt_admin_password">'Deploy Workload Domain'!$C$48</definedName>
    <definedName name="sample_wld_bf_nsxt_audit_password">'Deploy Workload Domain'!$C$50</definedName>
    <definedName name="sample_wld_bf_nsxt_mgra_fqdn">'Deploy Workload Domain'!$C$41</definedName>
    <definedName name="sample_wld_bf_nsxt_mgrb_fqdn">'Deploy Workload Domain'!$C$42</definedName>
    <definedName name="sample_wld_bf_nsxt_mgrc_fqdn">'Deploy Workload Domain'!$C$43</definedName>
    <definedName name="sample_wld_bf_nsxt_root_password">'Deploy Workload Domain'!$C$49</definedName>
    <definedName name="sample_wld_bf_nsxt_vip_fqdn">'Deploy Workload Domain'!$C$44</definedName>
    <definedName name="sample_wld_bf_sddc_domain">'Deploy Workload Domain'!$C$23</definedName>
    <definedName name="sample_wld_bf_vc_fqdn">'Deploy Workload Domain'!$C$29</definedName>
    <definedName name="sample_wld_bf_vc_root_password">'Deploy Workload Domain'!$C$30</definedName>
    <definedName name="sample_wld_bf_vc_sso_password">'Deploy Workload Domain'!$C$32</definedName>
    <definedName name="sample_wld_bf_vc_sso_username">'Deploy Workload Domain'!$C$31</definedName>
    <definedName name="sample_wld_cl01_az1_mgmt_pg">'Deploy Workload Domain'!$C$287</definedName>
    <definedName name="sample_wld_cl01_az1_mgmt_vm_pg">'Deploy Workload Domain'!$C$292</definedName>
    <definedName name="sample_wld_cl01_az1_nsx_uplink_count">'Deploy Workload Domain'!$C$330</definedName>
    <definedName name="sample_wld_cl01_az1_principal_storage_pg">'Deploy Workload Domain'!$C$302</definedName>
    <definedName name="sample_wld_cl01_az1_uplink01_pg">'Configure Workload Domain'!$C$173</definedName>
    <definedName name="sample_wld_cl01_az1_uplink02_pg">'Configure Workload Domain'!$C$177</definedName>
    <definedName name="sample_wld_cl01_az1_vmotion_pg">'Deploy Workload Domain'!$C$297</definedName>
    <definedName name="sample_wld_cl01_az1_vsan_storage_client_pg">'Deploy Workload Domain'!$C$307</definedName>
    <definedName name="sample_wld_cl01_cluster">'Deploy Workload Domain'!$C$173</definedName>
    <definedName name="sample_wld_cl01_cluster_sddc_id">'Configure Workload Domain'!$C$403</definedName>
    <definedName name="sample_wld_cl01_cluster_zn_name">'Deploy Workload Domain'!$C$174</definedName>
    <definedName name="sample_wld_cl01_evc_mode">'Dumping Ground'!$R$7</definedName>
    <definedName name="sample_wld_cl01_image_name">'Deploy Workload Domain'!$C$178</definedName>
    <definedName name="sample_wld_cl01_nfs_datastore_name">'Deploy Workload Domain'!$C$221</definedName>
    <definedName name="sample_wld_cl01_nfs_server_address">'Deploy Workload Domain'!$C$223</definedName>
    <definedName name="sample_wld_cl01_nfs_share_path">'Deploy Workload Domain'!$C$222</definedName>
    <definedName name="sample_wld_cl01_supervisor_control_plane_ip_range">'Deploy Workload Domain'!$C$344</definedName>
    <definedName name="sample_wld_cl01_supervisor_dns">'Deploy Workload Domain'!$C$352</definedName>
    <definedName name="sample_wld_cl01_supervisor_name">'Deploy Workload Domain'!$C$341</definedName>
    <definedName name="sample_wld_cl01_supervisor_nsx_project">'Deploy Workload Domain'!$C$349</definedName>
    <definedName name="sample_wld_cl01_supervisor_ntp">'Deploy Workload Domain'!$C$353</definedName>
    <definedName name="sample_wld_cl01_supervisor_private_transit_gateway_cidr">'Deploy Workload Domain'!$C$351</definedName>
    <definedName name="sample_wld_cl01_supervisor_service_cidr">'Deploy Workload Domain'!$C$342</definedName>
    <definedName name="sample_wld_cl01_supervisor_vpc_profile">'Deploy Workload Domain'!$C$350</definedName>
    <definedName name="sample_wld_cl01_vds01_lag_name">'Deploy Workload Domain'!$C$257</definedName>
    <definedName name="sample_wld_cl01_vds01_mtu">'Deploy Workload Domain'!$C$255</definedName>
    <definedName name="sample_wld_cl01_vds01_name">'Deploy Workload Domain'!$C$254</definedName>
    <definedName name="sample_wld_cl01_vds01_pnics">'Deploy Workload Domain'!$C$262</definedName>
    <definedName name="sample_wld_cl01_vds01_uplink_count">'Deploy Workload Domain'!$C$261</definedName>
    <definedName name="sample_wld_cl01_vds02_lag_name">'Deploy Workload Domain'!$C$268</definedName>
    <definedName name="sample_wld_cl01_vds02_mtu">'Deploy Workload Domain'!$C$266</definedName>
    <definedName name="sample_wld_cl01_vds02_name">'Deploy Workload Domain'!$C$265</definedName>
    <definedName name="sample_wld_cl01_vds02_pnics">'Deploy Workload Domain'!$C$273</definedName>
    <definedName name="sample_wld_cl01_vds02_uplink_count">'Deploy Workload Domain'!$C$272</definedName>
    <definedName name="sample_wld_cl01_vds03_lag_name">'Deploy Workload Domain'!$C$279</definedName>
    <definedName name="sample_wld_cl01_vds03_mtu">'Deploy Workload Domain'!$C$277</definedName>
    <definedName name="sample_wld_cl01_vds03_name">'Deploy Workload Domain'!$C$276</definedName>
    <definedName name="sample_wld_cl01_vds03_pnics">'Deploy Workload Domain'!$C$284</definedName>
    <definedName name="sample_wld_cl01_vds03_uplink_count">'Deploy Workload Domain'!$C$283</definedName>
    <definedName name="sample_wld_cl01_vmfs_datastore_name">'Deploy Workload Domain'!$C$220</definedName>
    <definedName name="sample_wld_cl01_vsan_datastore">'Deploy Workload Domain'!$C$212</definedName>
    <definedName name="sample_wld_cl01_vsan_dit_rekey_custom_interval">'Deploy Workload Domain'!$C$218</definedName>
    <definedName name="sample_wld_cl01_vsan_dit_rekey_default_interval">'Deploy Workload Domain'!$C$217</definedName>
    <definedName name="sample_wld_datacenter">'Configure Workload Domain'!$C$357</definedName>
    <definedName name="sample_wld_day2_vnaa_cidr">'Configure Workload Domain'!$C$157</definedName>
    <definedName name="sample_wld_day2_vnaa_fqdn">'Configure Workload Domain'!$C$151</definedName>
    <definedName name="sample_wld_day2_vnab_cidr">'Configure Workload Domain'!$C$167</definedName>
    <definedName name="sample_wld_day2_vnab_fqdn">'Configure Workload Domain'!$C$161</definedName>
    <definedName name="sample_wld_ec_mtu">'Configure Workload Domain'!$C$39</definedName>
    <definedName name="sample_wld_ec_name">'Configure Workload Domain'!$C$38</definedName>
    <definedName name="sample_wld_ec_rp_name">'Configure Workload Domain'!$C$44</definedName>
    <definedName name="sample_wld_ec01_en01_host_group_affinity_rule_name">'Configure Workload Domain'!$C$46</definedName>
    <definedName name="sample_wld_ec01_en02_host_group_affinity_rule_name">'Configure Workload Domain'!$C$75</definedName>
    <definedName name="sample_wld_en_asn">'Configure Workload Domain'!$C$102</definedName>
    <definedName name="sample_wld_esx_root_password">'Deploy Workload Domain'!$C$152</definedName>
    <definedName name="sample_wld_esx_root_username">'Deploy Workload Domain'!$C$151</definedName>
    <definedName name="sample_wld_existing_active_nsx_gm">'Configure Workload Domain'!$C$583</definedName>
    <definedName name="sample_wld_existing_cross_instance_t0_name">'Configure Workload Domain'!$C$584</definedName>
    <definedName name="sample_wld_host_overlay_transportzone">'Deploy Workload Domain'!$C$317</definedName>
    <definedName name="sample_wld_nsx_vlan_transport_zone_name">'Deploy Workload Domain'!$C$327</definedName>
    <definedName name="sample_wld_nsxt_en_admin_password">'Configure Workload Domain'!$C$97</definedName>
    <definedName name="sample_wld_nsxt_en_root_password">'Configure Workload Domain'!$C$96</definedName>
    <definedName name="sample_wld_nsxt_federation_global_manager_name">'Configure Workload Domain'!$C$553</definedName>
    <definedName name="sample_wld_nsxt_federation_location_name">'Configure Workload Domain'!$C$564</definedName>
    <definedName name="sample_wld_nsxt_global_mgr_anti_affinity_rule_name">'Configure Workload Domain'!$C$505</definedName>
    <definedName name="sample_wld_nsxt_global_mgr_certificate_id">'Configure Workload Domain'!$C$523</definedName>
    <definedName name="sample_wld_nsxt_global_mgr_cluster_id">'Configure Workload Domain'!$C$487</definedName>
    <definedName name="sample_wld_nsxt_global_mgr_vmca_signed_thumbprint">'Configure Workload Domain'!$C$488</definedName>
    <definedName name="sample_wld_nsxt_global_mgra_fqdn">'Configure Workload Domain'!$C$441</definedName>
    <definedName name="sample_wld_nsxt_global_mgra_hostname">'Configure Workload Domain'!$C$432</definedName>
    <definedName name="sample_wld_nsxt_global_mgra_ip">'Configure Workload Domain'!$C$442</definedName>
    <definedName name="sample_wld_nsxt_global_mgrb_fqdn">'Configure Workload Domain'!$C$458</definedName>
    <definedName name="sample_wld_nsxt_global_mgrb_hostname">'Configure Workload Domain'!$C$449</definedName>
    <definedName name="sample_wld_nsxt_global_mgrb_ip">'Configure Workload Domain'!$C$459</definedName>
    <definedName name="sample_wld_nsxt_global_mgrc_fqdn">'Configure Workload Domain'!$C$475</definedName>
    <definedName name="sample_wld_nsxt_global_mgrc_hostname">'Configure Workload Domain'!$C$466</definedName>
    <definedName name="sample_wld_nsxt_global_mgrc_ip">'Configure Workload Domain'!$C$476</definedName>
    <definedName name="sample_wld_nsxt_gm_admin_password">'Configure Workload Domain'!$C$439</definedName>
    <definedName name="sample_wld_nsxt_gm_audit_password">'Configure Workload Domain'!$C$440</definedName>
    <definedName name="sample_wld_nsxt_gm_fingerprint">'Configure Workload Domain'!$C$551</definedName>
    <definedName name="sample_wld_nsxt_gm_root_password">'Configure Workload Domain'!$C$438</definedName>
    <definedName name="sample_wld_nsxt_gm_vip_fqdn">'Configure Workload Domain'!$C$514</definedName>
    <definedName name="sample_wld_nsxt_gm_vip_ip">'Configure Workload Domain'!$C$513</definedName>
    <definedName name="sample_wld_nsxt_lm_admin_password">'Deploy Workload Domain'!$C$362</definedName>
    <definedName name="sample_wld_nsxt_lm_audit_password">'Deploy Workload Domain'!$C$363</definedName>
    <definedName name="sample_wld_nsxt_lm_fingerprint">'Configure Workload Domain'!$C$562</definedName>
    <definedName name="sample_wld_nsxt_mgra_fqdn">'Deploy Workload Domain'!$C$188</definedName>
    <definedName name="sample_wld_nsxt_mgra_ip">'Deploy Workload Domain'!$C$189</definedName>
    <definedName name="sample_wld_nsxt_mgrb_fqdn">'Deploy Workload Domain'!$C$190</definedName>
    <definedName name="sample_wld_nsxt_mgrb_ip">'Deploy Workload Domain'!$C$191</definedName>
    <definedName name="sample_wld_nsxt_mgrc_fqdn">'Deploy Workload Domain'!$C$192</definedName>
    <definedName name="sample_wld_nsxt_mgrc_ip">'Deploy Workload Domain'!$C$193</definedName>
    <definedName name="sample_wld_nsxt_vip_fqdn">'Deploy Workload Domain'!$C$194</definedName>
    <definedName name="sample_wld_nsxt_vip_ip">'Deploy Workload Domain'!$C$195</definedName>
    <definedName name="sample_wld_nsxt_xreg_t1_name">'Configure Workload Domain'!$C$576</definedName>
    <definedName name="sample_wld_rack2_en_asn">Arkham!$B$73</definedName>
    <definedName name="sample_wld_rack3_en_asn">Arkham!$E$73</definedName>
    <definedName name="sample_wld_rack4_en_asn">Arkham!$H$73</definedName>
    <definedName name="sample_wld_rack5_en_asn">Arkham!$K$73</definedName>
    <definedName name="sample_wld_rack6_en_asn">Arkham!$N$73</definedName>
    <definedName name="sample_wld_rack7_en_asn">Arkham!$Q$73</definedName>
    <definedName name="sample_wld_rack8_en_asn">Arkham!$T$73</definedName>
    <definedName name="sample_wld_rtep_overlay_pool_end_ip">'Configure Workload Domain'!$C$539</definedName>
    <definedName name="sample_wld_rtep_overlay_pool_start_ip">'Configure Workload Domain'!$C$538</definedName>
    <definedName name="sample_wld_rwr_az1_vrms_gateway_ip">'On-Premises Ransomware Recovery'!$C$99</definedName>
    <definedName name="sample_wld_rwr_az1_vrms_gateway_mask">'On-Premises Ransomware Recovery'!$C$82</definedName>
    <definedName name="sample_wld_rwr_cl02_cluster">'On-Premises Ransomware Recovery'!$C$78</definedName>
    <definedName name="sample_wld_rwr_cl02_vds01">'On-Premises Ransomware Recovery'!$C$70</definedName>
    <definedName name="sample_wld_rwr_recovery_site_az1_vrms_cidr">'On-Premises Ransomware Recovery'!$C$100</definedName>
    <definedName name="sample_wld_rwr_recovery_site_nsx_ec_name">'On-Premises Ransomware Recovery'!$C$123</definedName>
    <definedName name="sample_wld_rwr_recovery_site_nsx_ec_t0_name">'On-Premises Ransomware Recovery'!$C$126</definedName>
    <definedName name="sample_wld_rwr_recovery_site_nsx_ec_t1_name">'On-Premises Ransomware Recovery'!$C$125</definedName>
    <definedName name="sample_wld_rwr_recovery_site_nsx_fqdn">'On-Premises Ransomware Recovery'!$C$118</definedName>
    <definedName name="sample_wld_rwr_recovery_site_vc_fqdn">'On-Premises Ransomware Recovery'!$C$153</definedName>
    <definedName name="sample_wld_rwr_recoverysite_fd">'On-Premises Ransomware Recovery'!$C$144</definedName>
    <definedName name="sample_wld_rwr_vc_fqdn">'On-Premises Ransomware Recovery'!$C$42</definedName>
    <definedName name="sample_wld_rwr_vcfops_vlsr_username">'On-Premises Ransomware Recovery'!$C$203</definedName>
    <definedName name="sample_wld_rwr_vcfops_vr_username">'On-Premises Ransomware Recovery'!$C$205</definedName>
    <definedName name="sample_wld_sddc_domain">'Deploy Workload Domain'!$C$159</definedName>
    <definedName name="sample_wld_srm_admin_email">'Dumping Ground'!$C$82</definedName>
    <definedName name="sample_wld_srm_admin_password">'Dumping Ground'!$C$79</definedName>
    <definedName name="sample_wld_srm_database_password">'Dumping Ground'!$C$80</definedName>
    <definedName name="sample_wld_srm_hostname">'Dumping Ground'!$D$12</definedName>
    <definedName name="sample_wld_srm_ip">'Dumping Ground'!$F$12</definedName>
    <definedName name="sample_wld_srm_p12_password">'Dumping Ground'!$C$83</definedName>
    <definedName name="sample_wld_srm_recovery_vcenter_fqdn">'Dumping Ground'!$C$85</definedName>
    <definedName name="sample_wld_srm_recovery_vcenter_password">'Dumping Ground'!$C$87</definedName>
    <definedName name="sample_wld_srm_recovery_vcenter_username">'Dumping Ground'!$C$86</definedName>
    <definedName name="sample_wld_srm_root_password">'Dumping Ground'!$C$78</definedName>
    <definedName name="sample_wld_srm_site_name">'Dumping Ground'!$C$81</definedName>
    <definedName name="sample_wld_srm_sso_domain_membership">'Dumping Ground'!$C$89</definedName>
    <definedName name="sample_wld_srm_vm_folder">'Dumping Ground'!$C$77</definedName>
    <definedName name="sample_wld_sso_domain_name">'Deploy Workload Domain'!$C$168</definedName>
    <definedName name="sample_wld_supvr_api_server_fqdn">'Configure Workload Domain'!$C$216</definedName>
    <definedName name="sample_wld_supvr_cp_storage_policy">'Configure Workload Domain'!$C$193</definedName>
    <definedName name="sample_wld_supvr_ed_storage_policy">'Configure Workload Domain'!$C$194</definedName>
    <definedName name="sample_wld_supvr_ic_storage_policy">'Configure Workload Domain'!$C$195</definedName>
    <definedName name="sample_wld_supvr_ip_address_range">'Configure Workload Domain'!$C$199</definedName>
    <definedName name="sample_wld_supvr_mgmt_dns_server">'Configure Workload Domain'!$C$202</definedName>
    <definedName name="sample_wld_supvr_mgmt_dns_zones">'Configure Workload Domain'!$C$203</definedName>
    <definedName name="sample_wld_supvr_mgmt_ntp_server">'Configure Workload Domain'!$C$204</definedName>
    <definedName name="sample_wld_supvr_name">'Configure Workload Domain'!$C$188</definedName>
    <definedName name="sample_wld_supvr_nsx_project">'Configure Workload Domain'!$C$206</definedName>
    <definedName name="sample_wld_supvr_vpc_connectivity_profile">'Configure Workload Domain'!$C$207</definedName>
    <definedName name="sample_wld_supvr_vpc_ext_ip_blocks_name">'Configure Workload Domain'!$C$208</definedName>
    <definedName name="sample_wld_supvr_vpc_priv_cidr">'Configure Workload Domain'!$C$210</definedName>
    <definedName name="sample_wld_supvr_vpc_priv_ip_blocks_name">'Configure Workload Domain'!$C$209</definedName>
    <definedName name="sample_wld_supvr_vpc_service_cidr">'Configure Workload Domain'!$C$211</definedName>
    <definedName name="sample_wld_supvr_wld_dns_server">'Configure Workload Domain'!$C$212</definedName>
    <definedName name="sample_wld_supvr_wld_ntp_server">'Configure Workload Domain'!$C$213</definedName>
    <definedName name="sample_wld_supvr_zone_name">'Configure Workload Domain'!$C$191</definedName>
    <definedName name="sample_wld_tier0_name">'Configure Workload Domain'!$C$99</definedName>
    <definedName name="sample_wld_vc_fqdn">'Deploy Workload Domain'!$C$167</definedName>
    <definedName name="sample_wld_vc_ip">'Deploy Workload Domain'!$C$396</definedName>
    <definedName name="sample_wld_vcenter_root_password">'Deploy Workload Domain'!$C$360</definedName>
    <definedName name="sample_wld_vlr_admin_password">'On-Premises Ransomware Recovery'!$C$17</definedName>
    <definedName name="sample_wld_vlr_fqdn">'On-Premises Ransomware Recovery'!$C$15</definedName>
    <definedName name="sample_wld_vlr_hostname">'On-Premises Ransomware Recovery'!$C$11</definedName>
    <definedName name="sample_wld_vlr_mgmt_ip">'On-Premises Ransomware Recovery'!$C$23</definedName>
    <definedName name="sample_wld_vlr_replication_user">'On-Premises Ransomware Recovery'!$C$44</definedName>
    <definedName name="sample_wld_vlr_root_password">'On-Premises Ransomware Recovery'!$C$16</definedName>
    <definedName name="sample_wld_vna_rp_name">'Configure Workload Domain'!$C$153</definedName>
    <definedName name="sample_wld_vnaa_fqdn">'Deploy Workload Domain'!$C$200</definedName>
    <definedName name="sample_wld_vnaa_ip">'Deploy Workload Domain'!$C$403</definedName>
    <definedName name="sample_wld_vnab_fqdn">'Deploy Workload Domain'!$C$199</definedName>
    <definedName name="sample_wld_vnab_ip">'Deploy Workload Domain'!$C$404</definedName>
    <definedName name="sample_wld_vpc_ext_ip_blocks_cidr">'Configure Workload Domain'!$C$139</definedName>
    <definedName name="sample_wld_vpc_ext_ip_blocks_excluded_ips">'Configure Workload Domain'!$C$140</definedName>
    <definedName name="sample_wld_vpc_ext_ip_blocks_name">'Configure Workload Domain'!$C$137</definedName>
    <definedName name="sample_wld_vpc_ext_ip_blocks_reserved">'Configure Workload Domain'!$C$141</definedName>
    <definedName name="sample_wld_vpc_ext_ip_blocks_visability">'Configure Workload Domain'!$C$138</definedName>
    <definedName name="sample_wld_vpc_priv_ip_blocks_excluded_ips">'Configure Workload Domain'!$C$145</definedName>
    <definedName name="sample_wld_vpc_priv_ip_blocks_name">'Configure Workload Domain'!$C$142</definedName>
    <definedName name="sample_wld_vpc_priv_ip_blocks_reserved">'Configure Workload Domain'!$C$146</definedName>
    <definedName name="sample_wld_vpc_priv_ip_blocks_visability">'Configure Workload Domain'!$C$143</definedName>
    <definedName name="sample_wld_vpc_transit_gateway_ip_blocks_cidr">'Configure Workload Domain'!$C$144</definedName>
    <definedName name="sample_wld_vpc_vna_cluster_name">'Configure Workload Domain'!$C$148</definedName>
    <definedName name="sample_wld_vrms_admin_email">'Dumping Ground'!$C$73</definedName>
    <definedName name="sample_wld_vrms_admin_password">'Dumping Ground'!$C$71</definedName>
    <definedName name="sample_wld_vrms_hostname">'Dumping Ground'!$D$10</definedName>
    <definedName name="sample_wld_vrms_mgmt_ip">'Dumping Ground'!$F$10</definedName>
    <definedName name="sample_wld_vrms_p12_password">'Dumping Ground'!$C$75</definedName>
    <definedName name="sample_wld_vrms_pg">'Dumping Ground'!$C$74</definedName>
    <definedName name="sample_wld_vrms_recovery_replication_cidr">'Dumping Ground'!$C$88</definedName>
    <definedName name="sample_wld_vrms_root_password">'Dumping Ground'!$C$70</definedName>
    <definedName name="sample_wld_vrms_site_name">'Dumping Ground'!$C$72</definedName>
    <definedName name="sample_wld_vrms_vm_folder">'Dumping Ground'!$C$69</definedName>
    <definedName name="sample_wld_vrms_vrms_ip">'Dumping Ground'!$F$11</definedName>
    <definedName name="sample_wld_witness_cluster">'Configure Workload Domain'!$C$339</definedName>
    <definedName name="sample_wld_witness_dns1_ip">'Configure Workload Domain'!$C$350</definedName>
    <definedName name="sample_wld_witness_dns2_ip">'Configure Workload Domain'!$C$351</definedName>
    <definedName name="sample_wld_witness_fqdn">'Configure Workload Domain'!$C$358</definedName>
    <definedName name="sample_wld_witness_hostname">'Configure Workload Domain'!$C$338</definedName>
    <definedName name="sample_wld_witness_ip">'Configure Workload Domain'!$C$345</definedName>
    <definedName name="sample_wld_witness_mgmt_pg">'Configure Workload Domain'!$C$342</definedName>
    <definedName name="sample_wld_witness_ntp1_server">'Configure Workload Domain'!$C$352</definedName>
    <definedName name="sample_wld_witness_ntp2_server">'Configure Workload Domain'!$C$353</definedName>
    <definedName name="sample_wld_witness_root_password">'Configure Workload Domain'!$C$344</definedName>
    <definedName name="sample_wld_witness_vm_folder">'Configure Workload Domain'!$C$340</definedName>
    <definedName name="sample_wld_witness_vsan_datastore">'Configure Workload Domain'!$C$341</definedName>
    <definedName name="sample_wld_witness_zone_vc_fqdn">'Configure Workload Domain'!$C$336</definedName>
    <definedName name="sample_wld_witness_zone_vc_ip">'Configure Workload Domain'!$C$337</definedName>
    <definedName name="sample_wld_witnessaz_mgmt_cidr">'Configure Workload Domain'!$C$330</definedName>
    <definedName name="sample_wld_witnessaz_mgmt_gateway_ip">'Configure Workload Domain'!$C$329</definedName>
    <definedName name="sample_wld_witnessaz_mgmt_mtu">'Workload Domain As Built'!$C$104</definedName>
    <definedName name="sample_wld_witnessaz_mgmt_vlan">'Configure Workload Domain'!$C$328</definedName>
    <definedName name="sample_xreg_seg01_name">'Configure Management Domain'!$C$599</definedName>
    <definedName name="sample_xreg_vra_admin_password">'Deploy Management Domain'!$K$305</definedName>
    <definedName name="sample_xreg_vra_virtual_fqdn">'Deploy Management Domain'!$K$175</definedName>
    <definedName name="sample_xreg_vra_virtual_ip">'Deploy Management Domain'!$K$381</definedName>
    <definedName name="sample_xreg_vra_vm_folder">'Dumping Ground'!$C$107</definedName>
    <definedName name="sample_xreg_vrops_admin_password">'Deploy Management Domain'!$K$298</definedName>
    <definedName name="sample_xreg_vrops_collector_fqdn">'Deploy Management Domain'!$K$163</definedName>
    <definedName name="sample_xreg_vrops_collector_ip">'Deploy Management Domain'!$K$377</definedName>
    <definedName name="sample_xreg_vrops_collector_root_password">'Deploy Management Domain'!$K$301</definedName>
    <definedName name="sample_xreg_vrops_nodea_fqdn">'Deploy Management Domain'!$K$157</definedName>
    <definedName name="sample_xreg_vrops_nodea_ip">'Deploy Management Domain'!$K$374</definedName>
    <definedName name="sample_xreg_vrops_nodeb_fqdn">'Deploy Management Domain'!$K$158</definedName>
    <definedName name="sample_xreg_vrops_nodeb_ip">'Deploy Management Domain'!$K$375</definedName>
    <definedName name="sample_xreg_vrops_nodec_fqdn">'Deploy Management Domain'!$K$159</definedName>
    <definedName name="sample_xreg_vrops_nodec_ip">'Deploy Management Domain'!$K$376</definedName>
    <definedName name="sample_xreg_vrops_root_password">'Deploy Management Domain'!$K$299</definedName>
    <definedName name="sample_xreg_vrops_srm_sso_password">'Site Protection &amp; DR'!$C$481</definedName>
    <definedName name="sample_xreg_vrops_srm_sso_username">'Site Protection &amp; DR'!$C$480</definedName>
    <definedName name="sample_xreg_vrops_virtual_fqdn">'Deploy Management Domain'!$K$161</definedName>
    <definedName name="sample_xreg_vrops_virtual_ip">'Deploy Management Domain'!$K$379</definedName>
    <definedName name="sample_xreg_vrops_vm_folder">'Dumping Ground'!$C$106</definedName>
    <definedName name="sample_xreg_vrops_vrms_sso_password">'Site Protection &amp; DR'!$C$479</definedName>
    <definedName name="sample_xreg_vrops_vrms_sso_username">'Site Protection &amp; DR'!$C$478</definedName>
    <definedName name="sample_xreg_wsa_vm_folder">'Dumping Ground'!$C$105</definedName>
    <definedName name="sample_xregion_dns1_ip">Arkham!$B$13</definedName>
    <definedName name="sample_xregion_dns2_ip">Arkham!$B$14</definedName>
    <definedName name="sample_xregion_ntp1_server">Arkham!$B$18</definedName>
    <definedName name="sample_xregion_ntp2_server">Arkham!$B$19</definedName>
    <definedName name="sddc_mgr_admin_local_password">'Value Reference Tables'!$L$29</definedName>
    <definedName name="sddc_mgr_fqdn">'Value Reference Tables'!$C$57</definedName>
    <definedName name="sddc_mgr_hostname">'Value Reference Tables'!$C$38</definedName>
    <definedName name="sddc_mgr_ip">'Value Reference Tables'!$C$15</definedName>
    <definedName name="sddc_mgr_root_password">'Value Reference Tables'!$L$27</definedName>
    <definedName name="sddc_mgr_vcf_password">'Value Reference Tables'!$L$28</definedName>
    <definedName name="sddc_mgr_vcf_username">'Value Reference Tables'!$K$27</definedName>
    <definedName name="sftp_server">'Value Reference Tables'!$L$179</definedName>
    <definedName name="sftp_server_backup_dir">'Value Reference Tables'!$O$49</definedName>
    <definedName name="sftp_server_ip">'Value Reference Tables'!$L$60</definedName>
    <definedName name="sftp_server_passphrase">'Value Reference Tables'!$O$51</definedName>
    <definedName name="sftp_server_port">'Value Reference Tables'!$O$46</definedName>
    <definedName name="sftp_server_protocol">'Value Reference Tables'!$O$47</definedName>
    <definedName name="sftp_server_sshfingerprint">'Value Reference Tables'!$O$50</definedName>
    <definedName name="shared_edge_and_compute">'Static Reference Tables'!$B$434</definedName>
    <definedName name="sizing_advanced_m01_nsxt_appliance_size">'Management Domain Sizing'!$R$28</definedName>
    <definedName name="sizing_advanced_m01_nsxt_model">'Management Domain Sizing'!$R$27</definedName>
    <definedName name="sizing_advanced_m01_vcenter_appliance_size">'Management Domain Sizing'!$R$25</definedName>
    <definedName name="sizing_advanced_m01_vcenter_storage_size_chosen">'Management Domain Sizing'!$R$26</definedName>
    <definedName name="sizing_advanced_mgmt_chosen">'Management Domain Sizing'!$R$24</definedName>
    <definedName name="sizing_advanced_vcfauto_chosen">'Management Domain Sizing'!$R$32</definedName>
    <definedName name="sizing_advanced_vcfops_collector_chosen">'Management Domain Sizing'!$R$31</definedName>
    <definedName name="sizing_advanced_vcfops_model_chosen">'Management Domain Sizing'!$R$29</definedName>
    <definedName name="sizing_advanced_vcfops_size_chosen">'Management Domain Sizing'!$R$30</definedName>
    <definedName name="sizing_cbr_cpu">'Static Reference Tables'!$C$241</definedName>
    <definedName name="sizing_cbr_disk">'Static Reference Tables'!$C$243</definedName>
    <definedName name="sizing_cbr_ram">'Static Reference Tables'!$C$242</definedName>
    <definedName name="sizing_ccm_hcx_cpu">'Static Reference Tables'!$C$245</definedName>
    <definedName name="sizing_ccm_hcx_disk">'Static Reference Tables'!$C$247</definedName>
    <definedName name="sizing_ccm_hcx_ram">'Static Reference Tables'!$C$246</definedName>
    <definedName name="sizing_cpu_oversubscription">'Management Domain Sizing'!$E$15</definedName>
    <definedName name="sizing_disk_groups_per_host">'Management Domain Sizing'!$C$100</definedName>
    <definedName name="sizing_estimated_growth">'Management Domain Sizing'!$E$9</definedName>
    <definedName name="sizing_hrm_hvm_cpu">'Static Reference Tables'!$C$207</definedName>
    <definedName name="sizing_hrm_hvm_disk">'Static Reference Tables'!$C$209</definedName>
    <definedName name="sizing_hrm_hvm_ram">'Static Reference Tables'!$C$208</definedName>
    <definedName name="sizing_inv_cpu">'Static Reference Tables'!$C$217</definedName>
    <definedName name="sizing_inv_platform_node_cpu">'Static Reference Tables'!$C$213</definedName>
    <definedName name="sizing_log_replicas_large">'Static Reference Tables'!$E$338:$E$352</definedName>
    <definedName name="sizing_log_replicas_medium">'Static Reference Tables'!$E$335:$E$351</definedName>
    <definedName name="sizing_log_replicas_small">'Static Reference Tables'!$E$333:$E$351</definedName>
    <definedName name="sizing_m01_included">'Management Domain Sizing'!$C$40</definedName>
    <definedName name="sizing_m01_nsxt_appliance_size">'Management Domain Sizing'!$I$40</definedName>
    <definedName name="sizing_m01_nsxt_edge_size">'Management Domain Sizing'!$L$40</definedName>
    <definedName name="sizing_m01_nsxt_gm_appliance_size">'Management Domain Sizing'!$O$40</definedName>
    <definedName name="sizing_m01_nsxt_gm_appliance_size_chosen">'Configure Management Domain'!$D$474</definedName>
    <definedName name="sizing_m01_nsxt_model">'Management Domain Sizing'!$H$40</definedName>
    <definedName name="sizing_m01_ssp_chosen">'Management Domain Sizing'!$U$40</definedName>
    <definedName name="sizing_m01_vcenter_appliance_size">'Management Domain Sizing'!$D$40</definedName>
    <definedName name="sizing_m01_vcenter_storage_size_chosen">'Management Domain Sizing'!$F$40</definedName>
    <definedName name="sizing_mgmt_avi_lb_appliance_size">'Management Domain Sizing'!$Q$40</definedName>
    <definedName name="sizing_mgmt_avilb_cluster_chosen">'Configure Management Domain'!$D$281</definedName>
    <definedName name="sizing_mgmt_cluster_host_core_count">'Management Domain Sizing'!$E$13</definedName>
    <definedName name="sizing_mgmt_cluster_host_ram_count">'Management Domain Sizing'!$E$14</definedName>
    <definedName name="sizing_nsxt_edge_sizing_list">'Static Reference Tables'!$C$21:$C$29</definedName>
    <definedName name="sizing_nsxt_manager_size_list">'Static Reference Tables'!$C$17:$C$20</definedName>
    <definedName name="sizing_ram_oversubscription">'Management Domain Sizing'!$E$16</definedName>
    <definedName name="sizing_sddc_manager_cpu">'Static Reference Tables'!$C$33</definedName>
    <definedName name="sizing_sddc_manager_disk">'Static Reference Tables'!$C$35</definedName>
    <definedName name="sizing_sddc_manager_ram">'Static Reference Tables'!$C$34</definedName>
    <definedName name="sizing_storage_type">'Management Domain Sizing'!$R$13</definedName>
    <definedName name="sizing_table_ssp_lic_cpu">'Static Reference Tables'!$C$280</definedName>
    <definedName name="sizing_table_ssp_lic_disk">'Static Reference Tables'!$C$282</definedName>
    <definedName name="sizing_table_ssp_lic_ram">'Static Reference Tables'!$C$281</definedName>
    <definedName name="sizing_vcenter_appliance_size_list">'Static Reference Tables'!$C$8:$C$12</definedName>
    <definedName name="sizing_vcenter_storage_size_list">'Static Reference Tables'!$C$13:$C$15</definedName>
    <definedName name="sizing_vcf_deployment_model">'Static Reference Tables'!$C$277:$C$278</definedName>
    <definedName name="sizing_vcf_deployment_model_chosen">'Management Domain Sizing'!$E$21</definedName>
    <definedName name="sizing_vcf_deployment_model_small">'Static Reference Tables'!$C$276</definedName>
    <definedName name="sizing_vcf_deployment_size_chosen">'Management Domain Sizing'!$E$22</definedName>
    <definedName name="sizing_vcf_instance_model">'Management Domain Sizing'!$E$20</definedName>
    <definedName name="sizing_vcfauto_chosen">'Management Domain Sizing'!$E$33</definedName>
    <definedName name="sizing_vcfms_chosen">'Management Domain Sizing'!$E$24</definedName>
    <definedName name="sizing_vcfops_collector_chosen">'Management Domain Sizing'!$E$34</definedName>
    <definedName name="sizing_vcfops_ha_chosen">'Management Domain Sizing'!$E$32</definedName>
    <definedName name="sizing_vcfops_logs_chosen">'Management Domain Sizing'!$E$25</definedName>
    <definedName name="sizing_vcfops_logs_replica_count_chosen">'Management Domain Sizing'!$E$26</definedName>
    <definedName name="sizing_vcfops_net_chosen">'Management Domain Sizing'!$E$27</definedName>
    <definedName name="sizing_vcfrtm_chosen">'Management Domain Sizing'!$E$28</definedName>
    <definedName name="sizing_vcfsd_chosen">'Management Domain Sizing'!$E$29</definedName>
    <definedName name="sizing_vcfvidb_chosen">'Management Domain Sizing'!$E$30</definedName>
    <definedName name="sizing_vdefend_licensing_hub_chosen">'Management Domain Sizing'!$E$35</definedName>
    <definedName name="sizing_virtual_machine_overhead">'Management Domain Sizing'!$E$8</definedName>
    <definedName name="sizing_vm_cpu_requirements">'Management Domain Sizing'!$K$33</definedName>
    <definedName name="sizing_vm_ram_requirements">'Management Domain Sizing'!$L$33</definedName>
    <definedName name="sizing_vm_storage_requirements">'Management Domain Sizing'!$M$33</definedName>
    <definedName name="sizing_w01_avi_appliance_size">'Management Domain Sizing'!$S$44</definedName>
    <definedName name="sizing_w01_chosen">'Management Domain Sizing'!$C$44</definedName>
    <definedName name="sizing_w01_gm_chosen">'Management Domain Sizing'!$L$44</definedName>
    <definedName name="sizing_w01_nsxt_appliance_size">'Management Domain Sizing'!$I$44</definedName>
    <definedName name="sizing_w01_nsxt_gm_appliance_size">'Management Domain Sizing'!$M$44</definedName>
    <definedName name="sizing_w01_nsxt_model">'Management Domain Sizing'!$H$44</definedName>
    <definedName name="sizing_w01_spr_chosen">'Management Domain Sizing'!$P$44</definedName>
    <definedName name="sizing_w01_ssp_chosen">'Management Domain Sizing'!$V$44</definedName>
    <definedName name="sizing_w01_vcenter_appliance_size">'Management Domain Sizing'!$D$44</definedName>
    <definedName name="sizing_w01_vcenter_storage_size">'Management Domain Sizing'!$F$44</definedName>
    <definedName name="sizing_w02_avi_appliance_size">'Management Domain Sizing'!$S$45</definedName>
    <definedName name="sizing_w02_chosen">'Management Domain Sizing'!$C$45</definedName>
    <definedName name="sizing_w02_gm_chosen">'Management Domain Sizing'!$L$45</definedName>
    <definedName name="sizing_w02_nsxt_appliance_size">'Management Domain Sizing'!$I$45</definedName>
    <definedName name="sizing_w02_nsxt_gm_appliance_size">'Management Domain Sizing'!$M$45</definedName>
    <definedName name="sizing_w02_nsxt_model">'Management Domain Sizing'!$H$45</definedName>
    <definedName name="sizing_w02_spr_chosen">'Management Domain Sizing'!$P$45</definedName>
    <definedName name="sizing_w02_ssp_chosen">'Management Domain Sizing'!$V$45</definedName>
    <definedName name="sizing_w02_vcenter_appliance_size">'Management Domain Sizing'!$D$45</definedName>
    <definedName name="sizing_w02_vcenter_storage_size">'Management Domain Sizing'!$F$45</definedName>
    <definedName name="sizing_w03_avi_appliance_size">'Management Domain Sizing'!$S$46</definedName>
    <definedName name="sizing_w03_chosen">'Management Domain Sizing'!$C$46</definedName>
    <definedName name="sizing_w03_gm_chosen">'Management Domain Sizing'!$L$46</definedName>
    <definedName name="sizing_w03_nsxt_appliance_size">'Management Domain Sizing'!$I$46</definedName>
    <definedName name="sizing_w03_nsxt_gm_appliance_size">'Management Domain Sizing'!$M$46</definedName>
    <definedName name="sizing_w03_nsxt_model">'Management Domain Sizing'!$H$46</definedName>
    <definedName name="sizing_w03_spr_chosen">'Management Domain Sizing'!$P$46</definedName>
    <definedName name="sizing_w03_ssp_chosen">'Management Domain Sizing'!$V$46</definedName>
    <definedName name="sizing_w03_vcenter_appliance_size">'Management Domain Sizing'!$D$46</definedName>
    <definedName name="sizing_w03_vcenter_storage_size">'Management Domain Sizing'!$F$46</definedName>
    <definedName name="sizing_w04_avi_appliance_size">'Management Domain Sizing'!$S$47</definedName>
    <definedName name="sizing_w04_chosen">'Management Domain Sizing'!$C$47</definedName>
    <definedName name="sizing_w04_gm_chosen">'Management Domain Sizing'!$L$47</definedName>
    <definedName name="sizing_w04_nsxt_appliance_size">'Management Domain Sizing'!$I$47</definedName>
    <definedName name="sizing_w04_nsxt_gm_appliance_size">'Management Domain Sizing'!$M$47</definedName>
    <definedName name="sizing_w04_nsxt_model">'Management Domain Sizing'!$H$47</definedName>
    <definedName name="sizing_w04_spr_chosen">'Management Domain Sizing'!$P$47</definedName>
    <definedName name="sizing_w04_ssp_chosen">'Management Domain Sizing'!$V$47</definedName>
    <definedName name="sizing_w04_vcenter_appliance_size">'Management Domain Sizing'!$D$47</definedName>
    <definedName name="sizing_w04_vcenter_storage_size">'Management Domain Sizing'!$F$47</definedName>
    <definedName name="sizing_w05_avi_appliance_size">'Management Domain Sizing'!$S$48</definedName>
    <definedName name="sizing_w05_chosen">'Management Domain Sizing'!$C$48</definedName>
    <definedName name="sizing_w05_gm_chosen">'Management Domain Sizing'!$L$48</definedName>
    <definedName name="sizing_w05_nsxt_appliance_size">'Management Domain Sizing'!$I$48</definedName>
    <definedName name="sizing_w05_nsxt_gm_appliance_size">'Management Domain Sizing'!$M$48</definedName>
    <definedName name="sizing_w05_nsxt_model">'Management Domain Sizing'!$H$48</definedName>
    <definedName name="sizing_w05_spr_chosen">'Management Domain Sizing'!$P$48</definedName>
    <definedName name="sizing_w05_ssp_chosen">'Management Domain Sizing'!$V$48</definedName>
    <definedName name="sizing_w05_vcenter_appliance_size">'Management Domain Sizing'!$D$48</definedName>
    <definedName name="sizing_w05_vcenter_storage_size">'Management Domain Sizing'!$F$48</definedName>
    <definedName name="sizing_w06_avi_appliance_size">'Management Domain Sizing'!$S$49</definedName>
    <definedName name="sizing_w06_chosen">'Management Domain Sizing'!$C$49</definedName>
    <definedName name="sizing_w06_gm_chosen">'Management Domain Sizing'!$L$49</definedName>
    <definedName name="sizing_w06_nsxt_appliance_size">'Management Domain Sizing'!$I$49</definedName>
    <definedName name="sizing_w06_nsxt_gm_appliance_size">'Management Domain Sizing'!$M$49</definedName>
    <definedName name="sizing_w06_nsxt_model">'Management Domain Sizing'!$H$49</definedName>
    <definedName name="sizing_w06_spr_chosen">'Management Domain Sizing'!$P$49</definedName>
    <definedName name="sizing_w06_ssp_chosen">'Management Domain Sizing'!$V$49</definedName>
    <definedName name="sizing_w06_vcenter_appliance_size">'Management Domain Sizing'!$D$49</definedName>
    <definedName name="sizing_w06_vcenter_storage_size">'Management Domain Sizing'!$F$49</definedName>
    <definedName name="sizing_w07_avi_appliance_size">'Management Domain Sizing'!$S$50</definedName>
    <definedName name="sizing_w07_chosen">'Management Domain Sizing'!$C$50</definedName>
    <definedName name="sizing_w07_gm_chosen">'Management Domain Sizing'!$L$50</definedName>
    <definedName name="sizing_w07_nsxt_appliance_size">'Management Domain Sizing'!$I$50</definedName>
    <definedName name="sizing_w07_nsxt_gm_appliance_size">'Management Domain Sizing'!$M$50</definedName>
    <definedName name="sizing_w07_nsxt_model">'Management Domain Sizing'!$H$50</definedName>
    <definedName name="sizing_w07_spr_chosen">'Management Domain Sizing'!$P$50</definedName>
    <definedName name="sizing_w07_ssp_chosen">'Management Domain Sizing'!$V$50</definedName>
    <definedName name="sizing_w07_vcenter_appliance_size">'Management Domain Sizing'!$D$50</definedName>
    <definedName name="sizing_w07_vcenter_storage_size">'Management Domain Sizing'!$F$50</definedName>
    <definedName name="sizing_w08_avi_appliance_size">'Management Domain Sizing'!$S$51</definedName>
    <definedName name="sizing_w08_chosen">'Management Domain Sizing'!$C$51</definedName>
    <definedName name="sizing_w08_gm_chosen">'Management Domain Sizing'!$L$51</definedName>
    <definedName name="sizing_w08_nsxt_appliance_size">'Management Domain Sizing'!$I$51</definedName>
    <definedName name="sizing_w08_nsxt_gm_appliance_size">'Management Domain Sizing'!$M$51</definedName>
    <definedName name="sizing_w08_nsxt_model">'Management Domain Sizing'!$H$51</definedName>
    <definedName name="sizing_w08_spr_chosen">'Management Domain Sizing'!$P$51</definedName>
    <definedName name="sizing_w08_ssp_chosen">'Management Domain Sizing'!$V$51</definedName>
    <definedName name="sizing_w08_vcenter_appliance_size">'Management Domain Sizing'!$D$51</definedName>
    <definedName name="sizing_w08_vcenter_storage_size">'Management Domain Sizing'!$F$51</definedName>
    <definedName name="sizing_w09_avi_appliance_size">'Management Domain Sizing'!$S$52</definedName>
    <definedName name="sizing_w09_chosen">'Management Domain Sizing'!$C$52</definedName>
    <definedName name="sizing_w09_gm_chosen">'Management Domain Sizing'!$L$52</definedName>
    <definedName name="sizing_w09_nsxt_appliance_size">'Management Domain Sizing'!$I$52</definedName>
    <definedName name="sizing_w09_nsxt_gm_appliance_size">'Management Domain Sizing'!$M$52</definedName>
    <definedName name="sizing_w09_nsxt_model">'Management Domain Sizing'!$H$52</definedName>
    <definedName name="sizing_w09_spr_chosen">'Management Domain Sizing'!$P$52</definedName>
    <definedName name="sizing_w09_ssp_chosen">'Management Domain Sizing'!$V$52</definedName>
    <definedName name="sizing_w09_vcenter_appliance_size">'Management Domain Sizing'!$D$52</definedName>
    <definedName name="sizing_w09_vcenter_storage_size">'Management Domain Sizing'!$F$52</definedName>
    <definedName name="sizing_w10_avi_appliance_size">'Management Domain Sizing'!$S$53</definedName>
    <definedName name="sizing_w10_chosen">'Management Domain Sizing'!$C$53</definedName>
    <definedName name="sizing_w10_gm_chosen">'Management Domain Sizing'!$L$53</definedName>
    <definedName name="sizing_w10_nsxt_appliance_size">'Management Domain Sizing'!$I$53</definedName>
    <definedName name="sizing_w10_nsxt_gm_appliance_size">'Management Domain Sizing'!$M$53</definedName>
    <definedName name="sizing_w10_nsxt_model">'Management Domain Sizing'!$H$53</definedName>
    <definedName name="sizing_w10_spr_chosen">'Management Domain Sizing'!$P$53</definedName>
    <definedName name="sizing_w10_ssp_chosen">'Management Domain Sizing'!$V$53</definedName>
    <definedName name="sizing_w10_vcenter_appliance_size">'Management Domain Sizing'!$D$53</definedName>
    <definedName name="sizing_w10_vcenter_storage_size">'Management Domain Sizing'!$F$53</definedName>
    <definedName name="sizing_w11_avi_appliance_size">'Management Domain Sizing'!$S$54</definedName>
    <definedName name="sizing_w11_chosen">'Management Domain Sizing'!$C$54</definedName>
    <definedName name="sizing_w11_gm_chosen">'Management Domain Sizing'!$L$54</definedName>
    <definedName name="sizing_w11_nsxt_appliance_size">'Management Domain Sizing'!$I$54</definedName>
    <definedName name="sizing_w11_nsxt_gm_appliance_size">'Management Domain Sizing'!$M$54</definedName>
    <definedName name="sizing_w11_nsxt_model">'Management Domain Sizing'!$H$54</definedName>
    <definedName name="sizing_w11_spr_chosen">'Management Domain Sizing'!$P$54</definedName>
    <definedName name="sizing_w11_ssp_chosen">'Management Domain Sizing'!$V$54</definedName>
    <definedName name="sizing_w11_vcenter_appliance_size">'Management Domain Sizing'!$D$54</definedName>
    <definedName name="sizing_w11_vcenter_storage_size">'Management Domain Sizing'!$F$54</definedName>
    <definedName name="sizing_w12_avi_appliance_size">'Management Domain Sizing'!$S$55</definedName>
    <definedName name="sizing_w12_chosen">'Management Domain Sizing'!$C$55</definedName>
    <definedName name="sizing_w12_gm_chosen">'Management Domain Sizing'!$L$55</definedName>
    <definedName name="sizing_w12_nsxt_appliance_size">'Management Domain Sizing'!$I$55</definedName>
    <definedName name="sizing_w12_nsxt_gm_appliance_size">'Management Domain Sizing'!$M$55</definedName>
    <definedName name="sizing_w12_nsxt_model">'Management Domain Sizing'!$H$55</definedName>
    <definedName name="sizing_w12_spr_chosen">'Management Domain Sizing'!$P$55</definedName>
    <definedName name="sizing_w12_ssp_chosen">'Management Domain Sizing'!$V$55</definedName>
    <definedName name="sizing_w12_vcenter_appliance_size">'Management Domain Sizing'!$D$55</definedName>
    <definedName name="sizing_w12_vcenter_storage_size">'Management Domain Sizing'!$F$55</definedName>
    <definedName name="sizing_w13_avi_appliance_size">'Management Domain Sizing'!$S$56</definedName>
    <definedName name="sizing_w13_chosen">'Management Domain Sizing'!$C$56</definedName>
    <definedName name="sizing_w13_gm_chosen">'Management Domain Sizing'!$L$56</definedName>
    <definedName name="sizing_w13_nsxt_appliance_size">'Management Domain Sizing'!$I$56</definedName>
    <definedName name="sizing_w13_nsxt_gm_appliance_size">'Management Domain Sizing'!$M$56</definedName>
    <definedName name="sizing_w13_nsxt_model">'Management Domain Sizing'!$H$56</definedName>
    <definedName name="sizing_w13_spr_chosen">'Management Domain Sizing'!$P$56</definedName>
    <definedName name="sizing_w13_ssp_chosen">'Management Domain Sizing'!$V$56</definedName>
    <definedName name="sizing_w13_vcenter_appliance_size">'Management Domain Sizing'!$D$56</definedName>
    <definedName name="sizing_w13_vcenter_storage_size">'Management Domain Sizing'!$F$56</definedName>
    <definedName name="sizing_w14_avi_appliance_size">'Management Domain Sizing'!$S$57</definedName>
    <definedName name="sizing_w14_chosen">'Management Domain Sizing'!$C$57</definedName>
    <definedName name="sizing_w14_gm_chosen">'Management Domain Sizing'!$L$57</definedName>
    <definedName name="sizing_w14_nsxt_appliance_size">'Management Domain Sizing'!$I$57</definedName>
    <definedName name="sizing_w14_nsxt_gm_appliance_size">'Management Domain Sizing'!$M$57</definedName>
    <definedName name="sizing_w14_nsxt_model">'Management Domain Sizing'!$H$57</definedName>
    <definedName name="sizing_w14_spr_chosen">'Management Domain Sizing'!$P$57</definedName>
    <definedName name="sizing_w14_ssp_chosen">'Management Domain Sizing'!$V$57</definedName>
    <definedName name="sizing_w14_vcenter_appliance_size">'Management Domain Sizing'!$D$57</definedName>
    <definedName name="sizing_w14_vcenter_storage_size">'Management Domain Sizing'!$F$57</definedName>
    <definedName name="sizing_w15_avi_appliance_size">'Management Domain Sizing'!$S$58</definedName>
    <definedName name="sizing_w15_chosen">'Management Domain Sizing'!$C$58</definedName>
    <definedName name="sizing_w15_gm_chosen">'Management Domain Sizing'!$L$58</definedName>
    <definedName name="sizing_w15_nsxt_appliance_size">'Management Domain Sizing'!$I$58</definedName>
    <definedName name="sizing_w15_nsxt_gm_appliance_size">'Management Domain Sizing'!$M$58</definedName>
    <definedName name="sizing_w15_nsxt_model">'Management Domain Sizing'!$H$58</definedName>
    <definedName name="sizing_w15_spr_chosen">'Management Domain Sizing'!$P$58</definedName>
    <definedName name="sizing_w15_ssp_chosen">'Management Domain Sizing'!$V$58</definedName>
    <definedName name="sizing_w15_vcenter_appliance_size">'Management Domain Sizing'!$D$58</definedName>
    <definedName name="sizing_w15_vcenter_storage_size">'Management Domain Sizing'!$F$58</definedName>
    <definedName name="sizing_w16_avi_appliance_size">'Management Domain Sizing'!$S$59</definedName>
    <definedName name="sizing_w16_chosen">'Management Domain Sizing'!$C$59</definedName>
    <definedName name="sizing_w16_gm_chosen">'Management Domain Sizing'!$L$59</definedName>
    <definedName name="sizing_w16_nsxt_appliance_size">'Management Domain Sizing'!$I$59</definedName>
    <definedName name="sizing_w16_nsxt_gm_appliance_size">'Management Domain Sizing'!$M$59</definedName>
    <definedName name="sizing_w16_nsxt_model">'Management Domain Sizing'!$H$59</definedName>
    <definedName name="sizing_w16_spr_chosen">'Management Domain Sizing'!$P$59</definedName>
    <definedName name="sizing_w16_ssp_chosen">'Management Domain Sizing'!$V$59</definedName>
    <definedName name="sizing_w16_vcenter_appliance_size">'Management Domain Sizing'!$D$59</definedName>
    <definedName name="sizing_w16_vcenter_storage_size">'Management Domain Sizing'!$F$59</definedName>
    <definedName name="sizing_w17_avi_appliance_size">'Management Domain Sizing'!$S$60</definedName>
    <definedName name="sizing_w17_chosen">'Management Domain Sizing'!$C$60</definedName>
    <definedName name="sizing_w17_gm_chosen">'Management Domain Sizing'!$L$60</definedName>
    <definedName name="sizing_w17_nsxt_appliance_size">'Management Domain Sizing'!$I$60</definedName>
    <definedName name="sizing_w17_nsxt_gm_appliance_size">'Management Domain Sizing'!$M$60</definedName>
    <definedName name="sizing_w17_nsxt_model">'Management Domain Sizing'!$H$60</definedName>
    <definedName name="sizing_w17_spr_chosen">'Management Domain Sizing'!$P$60</definedName>
    <definedName name="sizing_w17_ssp_chosen">'Management Domain Sizing'!$V$60</definedName>
    <definedName name="sizing_w17_vcenter_appliance_size">'Management Domain Sizing'!$D$60</definedName>
    <definedName name="sizing_w17_vcenter_storage_size">'Management Domain Sizing'!$F$60</definedName>
    <definedName name="sizing_w18_avi_appliance_size">'Management Domain Sizing'!$S$61</definedName>
    <definedName name="sizing_w18_chosen">'Management Domain Sizing'!$C$61</definedName>
    <definedName name="sizing_w18_gm_chosen">'Management Domain Sizing'!$L$61</definedName>
    <definedName name="sizing_w18_nsxt_appliance_size">'Management Domain Sizing'!$I$61</definedName>
    <definedName name="sizing_w18_nsxt_gm_appliance_size">'Management Domain Sizing'!$M$61</definedName>
    <definedName name="sizing_w18_nsxt_model">'Management Domain Sizing'!$H$61</definedName>
    <definedName name="sizing_w18_spr_chosen">'Management Domain Sizing'!$P$61</definedName>
    <definedName name="sizing_w18_ssp_chosen">'Management Domain Sizing'!$V$61</definedName>
    <definedName name="sizing_w18_vcenter_appliance_size">'Management Domain Sizing'!$D$61</definedName>
    <definedName name="sizing_w18_vcenter_storage_size">'Management Domain Sizing'!$F$61</definedName>
    <definedName name="sizing_w19_avi_appliance_size">'Management Domain Sizing'!$S$62</definedName>
    <definedName name="sizing_w19_chosen">'Management Domain Sizing'!$C$62</definedName>
    <definedName name="sizing_w19_gm_chosen">'Management Domain Sizing'!$L$62</definedName>
    <definedName name="sizing_w19_nsxt_appliance_size">'Management Domain Sizing'!$I$62</definedName>
    <definedName name="sizing_w19_nsxt_gm_appliance_size">'Management Domain Sizing'!$M$62</definedName>
    <definedName name="sizing_w19_nsxt_model">'Management Domain Sizing'!$H$62</definedName>
    <definedName name="sizing_w19_spr_chosen">'Management Domain Sizing'!$P$62</definedName>
    <definedName name="sizing_w19_ssp_chosen">'Management Domain Sizing'!$V$62</definedName>
    <definedName name="sizing_w19_vcenter_appliance_size">'Management Domain Sizing'!$D$62</definedName>
    <definedName name="sizing_w19_vcenter_storage_size">'Management Domain Sizing'!$F$62</definedName>
    <definedName name="sizing_w20_avi_appliance_size">'Management Domain Sizing'!$S$63</definedName>
    <definedName name="sizing_w20_chosen">'Management Domain Sizing'!$C$63</definedName>
    <definedName name="sizing_w20_gm_chosen">'Management Domain Sizing'!$L$63</definedName>
    <definedName name="sizing_w20_nsxt_appliance_size">'Management Domain Sizing'!$I$63</definedName>
    <definedName name="sizing_w20_nsxt_gm_appliance_size">'Management Domain Sizing'!$M$63</definedName>
    <definedName name="sizing_w20_nsxt_model">'Management Domain Sizing'!$H$63</definedName>
    <definedName name="sizing_w20_spr_chosen">'Management Domain Sizing'!$P$63</definedName>
    <definedName name="sizing_w20_ssp_chosen">'Management Domain Sizing'!$V$63</definedName>
    <definedName name="sizing_w20_vcenter_appliance_size">'Management Domain Sizing'!$D$63</definedName>
    <definedName name="sizing_w20_vcenter_storage_size">'Management Domain Sizing'!$F$63</definedName>
    <definedName name="sizing_w21_avi_appliance_size">'Management Domain Sizing'!$S$64</definedName>
    <definedName name="sizing_w21_chosen">'Management Domain Sizing'!$C$64</definedName>
    <definedName name="sizing_w21_gm_chosen">'Management Domain Sizing'!$L$64</definedName>
    <definedName name="sizing_w21_nsxt_appliance_size">'Management Domain Sizing'!$I$64</definedName>
    <definedName name="sizing_w21_nsxt_gm_appliance_size">'Management Domain Sizing'!$M$64</definedName>
    <definedName name="sizing_w21_nsxt_model">'Management Domain Sizing'!$H$64</definedName>
    <definedName name="sizing_w21_spr_chosen">'Management Domain Sizing'!$P$64</definedName>
    <definedName name="sizing_w21_ssp_chosen">'Management Domain Sizing'!$V$64</definedName>
    <definedName name="sizing_w21_vcenter_appliance_size">'Management Domain Sizing'!$D$64</definedName>
    <definedName name="sizing_w21_vcenter_storage_size">'Management Domain Sizing'!$F$64</definedName>
    <definedName name="sizing_w22_avi_appliance_size">'Management Domain Sizing'!$S$65</definedName>
    <definedName name="sizing_w22_chosen">'Management Domain Sizing'!$C$65</definedName>
    <definedName name="sizing_w22_gm_chosen">'Management Domain Sizing'!$L$65</definedName>
    <definedName name="sizing_w22_nsxt_appliance_size">'Management Domain Sizing'!$I$65</definedName>
    <definedName name="sizing_w22_nsxt_gm_appliance_size">'Management Domain Sizing'!$M$65</definedName>
    <definedName name="sizing_w22_nsxt_model">'Management Domain Sizing'!$H$65</definedName>
    <definedName name="sizing_w22_spr_chosen">'Management Domain Sizing'!$P$65</definedName>
    <definedName name="sizing_w22_ssp_chosen">'Management Domain Sizing'!$V$65</definedName>
    <definedName name="sizing_w22_vcenter_appliance_size">'Management Domain Sizing'!$D$65</definedName>
    <definedName name="sizing_w22_vcenter_storage_size">'Management Domain Sizing'!$F$65</definedName>
    <definedName name="sizing_w23_avi_appliance_size">'Management Domain Sizing'!$S$66</definedName>
    <definedName name="sizing_w23_chosen">'Management Domain Sizing'!$C$66</definedName>
    <definedName name="sizing_w23_gm_chosen">'Management Domain Sizing'!$L$66</definedName>
    <definedName name="sizing_w23_nsxt_appliance_size">'Management Domain Sizing'!$I$66</definedName>
    <definedName name="sizing_w23_nsxt_gm_appliance_size">'Management Domain Sizing'!$M$66</definedName>
    <definedName name="sizing_w23_nsxt_model">'Management Domain Sizing'!$H$66</definedName>
    <definedName name="sizing_w23_spr_chosen">'Management Domain Sizing'!$P$66</definedName>
    <definedName name="sizing_w23_ssp_chosen">'Management Domain Sizing'!$V$66</definedName>
    <definedName name="sizing_w23_vcenter_appliance_size">'Management Domain Sizing'!$D$66</definedName>
    <definedName name="sizing_w23_vcenter_storage_size">'Management Domain Sizing'!$F$66</definedName>
    <definedName name="sizing_w24_avi_appliance_size">'Management Domain Sizing'!$S$67</definedName>
    <definedName name="sizing_w24_chosen">'Management Domain Sizing'!$C$67</definedName>
    <definedName name="sizing_w24_gm_chosen">'Management Domain Sizing'!$L$67</definedName>
    <definedName name="sizing_w24_nsxt_appliance_size">'Management Domain Sizing'!$I$67</definedName>
    <definedName name="sizing_w24_nsxt_gm_appliance_size">'Management Domain Sizing'!$M$67</definedName>
    <definedName name="sizing_w24_nsxt_model">'Management Domain Sizing'!$H$67</definedName>
    <definedName name="sizing_w24_spr_chosen">'Management Domain Sizing'!$P$67</definedName>
    <definedName name="sizing_w24_ssp_chosen">'Management Domain Sizing'!$V$67</definedName>
    <definedName name="sizing_w24_vcenter_appliance_size">'Management Domain Sizing'!$D$67</definedName>
    <definedName name="sizing_w24_vcenter_storage_size">'Management Domain Sizing'!$F$67</definedName>
    <definedName name="sizing_w25_avi_appliance_size">'Management Domain Sizing'!$S$68</definedName>
    <definedName name="sizing_w25_chosen">'Management Domain Sizing'!$C$68</definedName>
    <definedName name="sizing_w25_gm_chosen">'Management Domain Sizing'!$L$68</definedName>
    <definedName name="sizing_w25_nsxt_appliance_size">'Management Domain Sizing'!$I$68</definedName>
    <definedName name="sizing_w25_nsxt_gm_appliance_size">'Management Domain Sizing'!$M$68</definedName>
    <definedName name="sizing_w25_nsxt_model">'Management Domain Sizing'!$H$68</definedName>
    <definedName name="sizing_w25_spr_chosen">'Management Domain Sizing'!$P$68</definedName>
    <definedName name="sizing_w25_ssp_chosen">'Management Domain Sizing'!$V$68</definedName>
    <definedName name="sizing_w25_vcenter_appliance_size">'Management Domain Sizing'!$D$68</definedName>
    <definedName name="sizing_w25_vcenter_storage_size">'Management Domain Sizing'!$F$68</definedName>
    <definedName name="sizing_w26_avi_appliance_size">'Management Domain Sizing'!$S$69</definedName>
    <definedName name="sizing_w26_chosen">'Management Domain Sizing'!$C$69</definedName>
    <definedName name="sizing_w26_gm_chosen">'Management Domain Sizing'!$L$69</definedName>
    <definedName name="sizing_w26_nsxt_appliance_size">'Management Domain Sizing'!$I$69</definedName>
    <definedName name="sizing_w26_nsxt_gm_appliance_size">'Management Domain Sizing'!$M$69</definedName>
    <definedName name="sizing_w26_nsxt_model">'Management Domain Sizing'!$H$69</definedName>
    <definedName name="sizing_w26_spr_chosen">'Management Domain Sizing'!$P$69</definedName>
    <definedName name="sizing_w26_ssp_chosen">'Management Domain Sizing'!$V$69</definedName>
    <definedName name="sizing_w26_vcenter_appliance_size">'Management Domain Sizing'!$D$69</definedName>
    <definedName name="sizing_w26_vcenter_storage_size">'Management Domain Sizing'!$F$69</definedName>
    <definedName name="sizing_w27_avi_appliance_size">'Management Domain Sizing'!$S$70</definedName>
    <definedName name="sizing_w27_chosen">'Management Domain Sizing'!$C$70</definedName>
    <definedName name="sizing_w27_gm_chosen">'Management Domain Sizing'!$L$70</definedName>
    <definedName name="sizing_w27_nsxt_appliance_size">'Management Domain Sizing'!$I$70</definedName>
    <definedName name="sizing_w27_nsxt_gm_appliance_size">'Management Domain Sizing'!$M$70</definedName>
    <definedName name="sizing_w27_nsxt_model">'Management Domain Sizing'!$H$70</definedName>
    <definedName name="sizing_w27_spr_chosen">'Management Domain Sizing'!$P$70</definedName>
    <definedName name="sizing_w27_ssp_chosen">'Management Domain Sizing'!$V$70</definedName>
    <definedName name="sizing_w27_vcenter_appliance_size">'Management Domain Sizing'!$D$70</definedName>
    <definedName name="sizing_w27_vcenter_storage_size">'Management Domain Sizing'!$F$70</definedName>
    <definedName name="sizing_w28_avi_appliance_size">'Management Domain Sizing'!$S$71</definedName>
    <definedName name="sizing_w28_chosen">'Management Domain Sizing'!$C$71</definedName>
    <definedName name="sizing_w28_gm_chosen">'Management Domain Sizing'!$L$71</definedName>
    <definedName name="sizing_w28_nsxt_appliance_size">'Management Domain Sizing'!$I$71</definedName>
    <definedName name="sizing_w28_nsxt_gm_appliance_size">'Management Domain Sizing'!$M$71</definedName>
    <definedName name="sizing_w28_nsxt_model">'Management Domain Sizing'!$H$71</definedName>
    <definedName name="sizing_w28_spr_chosen">'Management Domain Sizing'!$P$71</definedName>
    <definedName name="sizing_w28_ssp_chosen">'Management Domain Sizing'!$V$71</definedName>
    <definedName name="sizing_w28_vcenter_appliance_size">'Management Domain Sizing'!$D$71</definedName>
    <definedName name="sizing_w28_vcenter_storage_size">'Management Domain Sizing'!$F$71</definedName>
    <definedName name="sizing_w29_avi_appliance_size">'Management Domain Sizing'!$S$72</definedName>
    <definedName name="sizing_w29_chosen">'Management Domain Sizing'!$C$72</definedName>
    <definedName name="sizing_w29_gm_chosen">'Management Domain Sizing'!$L$72</definedName>
    <definedName name="sizing_w29_nsxt_appliance_size">'Management Domain Sizing'!$I$72</definedName>
    <definedName name="sizing_w29_nsxt_gm_appliance_size">'Management Domain Sizing'!$M$72</definedName>
    <definedName name="sizing_w29_nsxt_model">'Management Domain Sizing'!$H$72</definedName>
    <definedName name="sizing_w29_spr_chosen">'Management Domain Sizing'!$P$72</definedName>
    <definedName name="sizing_w29_ssp_chosen">'Management Domain Sizing'!$V$72</definedName>
    <definedName name="sizing_w29_vcenter_appliance_size">'Management Domain Sizing'!$D$72</definedName>
    <definedName name="sizing_w29_vcenter_storage_size">'Management Domain Sizing'!$F$72</definedName>
    <definedName name="sizing_w30_avi_appliance_size">'Management Domain Sizing'!$S$73</definedName>
    <definedName name="sizing_w30_chosen">'Management Domain Sizing'!$C$73</definedName>
    <definedName name="sizing_w30_gm_chosen">'Management Domain Sizing'!$L$73</definedName>
    <definedName name="sizing_w30_nsxt_appliance_size">'Management Domain Sizing'!$I$73</definedName>
    <definedName name="sizing_w30_nsxt_gm_appliance_size">'Management Domain Sizing'!$M$73</definedName>
    <definedName name="sizing_w30_nsxt_model">'Management Domain Sizing'!$H$73</definedName>
    <definedName name="sizing_w30_spr_chosen">'Management Domain Sizing'!$P$73</definedName>
    <definedName name="sizing_w30_ssp_chosen">'Management Domain Sizing'!$V$73</definedName>
    <definedName name="sizing_w30_vcenter_appliance_size">'Management Domain Sizing'!$D$73</definedName>
    <definedName name="sizing_w30_vcenter_storage_size">'Management Domain Sizing'!$F$73</definedName>
    <definedName name="sizing_w31_avi_appliance_size">'Management Domain Sizing'!$S$74</definedName>
    <definedName name="sizing_w31_chosen">'Management Domain Sizing'!$C$74</definedName>
    <definedName name="sizing_w31_gm_chosen">'Management Domain Sizing'!$L$74</definedName>
    <definedName name="sizing_w31_nsxt_appliance_size">'Management Domain Sizing'!$I$74</definedName>
    <definedName name="sizing_w31_nsxt_gm_appliance_size">'Management Domain Sizing'!$M$74</definedName>
    <definedName name="sizing_w31_nsxt_model">'Management Domain Sizing'!$H$74</definedName>
    <definedName name="sizing_w31_spr_chosen">'Management Domain Sizing'!$P$74</definedName>
    <definedName name="sizing_w31_ssp_chosen">'Management Domain Sizing'!$V$74</definedName>
    <definedName name="sizing_w31_vcenter_appliance_size">'Management Domain Sizing'!$D$74</definedName>
    <definedName name="sizing_w31_vcenter_storage_size">'Management Domain Sizing'!$F$74</definedName>
    <definedName name="sizing_w32_avi_appliance_size">'Management Domain Sizing'!$S$75</definedName>
    <definedName name="sizing_w32_chosen">'Management Domain Sizing'!$C$75</definedName>
    <definedName name="sizing_w32_gm_chosen">'Management Domain Sizing'!$L$75</definedName>
    <definedName name="sizing_w32_nsxt_appliance_size">'Management Domain Sizing'!$I$75</definedName>
    <definedName name="sizing_w32_nsxt_gm_appliance_size">'Management Domain Sizing'!$M$75</definedName>
    <definedName name="sizing_w32_nsxt_model">'Management Domain Sizing'!$H$75</definedName>
    <definedName name="sizing_w32_spr_chosen">'Management Domain Sizing'!$P$75</definedName>
    <definedName name="sizing_w32_ssp_chosen">'Management Domain Sizing'!$V$75</definedName>
    <definedName name="sizing_w32_vcenter_appliance_size">'Management Domain Sizing'!$D$75</definedName>
    <definedName name="sizing_w32_vcenter_storage_size">'Management Domain Sizing'!$F$75</definedName>
    <definedName name="sizing_w33_avi_appliance_size">'Management Domain Sizing'!$S$76</definedName>
    <definedName name="sizing_w33_chosen">'Management Domain Sizing'!$C$76</definedName>
    <definedName name="sizing_w33_gm_chosen">'Management Domain Sizing'!$L$76</definedName>
    <definedName name="sizing_w33_nsxt_appliance_size">'Management Domain Sizing'!$I$76</definedName>
    <definedName name="sizing_w33_nsxt_gm_appliance_size">'Management Domain Sizing'!$M$76</definedName>
    <definedName name="sizing_w33_nsxt_model">'Management Domain Sizing'!$H$76</definedName>
    <definedName name="sizing_w33_spr_chosen">'Management Domain Sizing'!$P$76</definedName>
    <definedName name="sizing_w33_ssp_chosen">'Management Domain Sizing'!$V$76</definedName>
    <definedName name="sizing_w33_vcenter_appliance_size">'Management Domain Sizing'!$D$76</definedName>
    <definedName name="sizing_w33_vcenter_storage_size">'Management Domain Sizing'!$F$76</definedName>
    <definedName name="sizing_w34_avi_appliance_size">'Management Domain Sizing'!$S$77</definedName>
    <definedName name="sizing_w34_chosen">'Management Domain Sizing'!$C$77</definedName>
    <definedName name="sizing_w34_gm_chosen">'Management Domain Sizing'!$L$77</definedName>
    <definedName name="sizing_w34_nsxt_appliance_size">'Management Domain Sizing'!$I$77</definedName>
    <definedName name="sizing_w34_nsxt_gm_appliance_size">'Management Domain Sizing'!$M$77</definedName>
    <definedName name="sizing_w34_nsxt_model">'Management Domain Sizing'!$H$77</definedName>
    <definedName name="sizing_w34_spr_chosen">'Management Domain Sizing'!$P$77</definedName>
    <definedName name="sizing_w34_ssp_chosen">'Management Domain Sizing'!$V$77</definedName>
    <definedName name="sizing_w34_vcenter_appliance_size">'Management Domain Sizing'!$D$77</definedName>
    <definedName name="sizing_w34_vcenter_storage_size">'Management Domain Sizing'!$F$77</definedName>
    <definedName name="sizing_w35_avi_appliance_size">'Management Domain Sizing'!$S$78</definedName>
    <definedName name="sizing_w35_chosen">'Management Domain Sizing'!$C$78</definedName>
    <definedName name="sizing_w35_gm_chosen">'Management Domain Sizing'!$L$78</definedName>
    <definedName name="sizing_w35_nsxt_appliance_size">'Management Domain Sizing'!$I$78</definedName>
    <definedName name="sizing_w35_nsxt_gm_appliance_size">'Management Domain Sizing'!$M$78</definedName>
    <definedName name="sizing_w35_nsxt_model">'Management Domain Sizing'!$H$78</definedName>
    <definedName name="sizing_w35_spr_chosen">'Management Domain Sizing'!$P$78</definedName>
    <definedName name="sizing_w35_ssp_chosen">'Management Domain Sizing'!$V$78</definedName>
    <definedName name="sizing_w35_vcenter_appliance_size">'Management Domain Sizing'!$D$78</definedName>
    <definedName name="sizing_w35_vcenter_storage_size">'Management Domain Sizing'!$F$78</definedName>
    <definedName name="sizing_wld_avilb_cluster_formfactor_chosen">'Configure Workload Domain'!$D$224</definedName>
    <definedName name="sizing_wld_nsxt_gm_appliance_size_chosen">'Configure Workload Domain'!$D$435</definedName>
    <definedName name="smtp_server">'Value Reference Tables'!$L$61</definedName>
    <definedName name="smtp_server_port">'Value Reference Tables'!$L$62</definedName>
    <definedName name="spr_chosen">'Management Domain Sizing'!$B$82</definedName>
    <definedName name="spr_mo_result">'Value Reference Tables'!$AA$48</definedName>
    <definedName name="spr_mw_result">'Value Reference Tables'!$AA$50</definedName>
    <definedName name="spr_result">'Management Domain Sizing'!$I$82</definedName>
    <definedName name="spr_wo_result">'Value Reference Tables'!$AA$49</definedName>
    <definedName name="srm_appliance_size">'Value Reference Tables'!$U$52</definedName>
    <definedName name="sso_default_admin">'Value Reference Tables'!$O$52</definedName>
    <definedName name="storage_autopolicy">'Static Reference Tables'!$B$430</definedName>
    <definedName name="storage_ftt">'Static Reference Tables'!$B$427:$B$429</definedName>
    <definedName name="svc_cbr_vcdr_vsphere_password">'Value Reference Tables'!$U$125</definedName>
    <definedName name="svc_cbr_vcdr_vsphere_user">'Value Reference Tables'!$U$124</definedName>
    <definedName name="svc_my_vmware_password">'Value Reference Tables'!$L$30</definedName>
    <definedName name="svc_vcf_bck_password">'Value Reference Tables'!$L$33</definedName>
    <definedName name="svc_vra_nsx_password">'Value Reference Tables'!$L$119</definedName>
    <definedName name="svc_vra_vcf_password">'Value Reference Tables'!$L$120</definedName>
    <definedName name="svc_vra_vrops_password">'Value Reference Tables'!$L$121</definedName>
    <definedName name="svc_vra_vsphere_password">'Value Reference Tables'!$L$118</definedName>
    <definedName name="svc_vrli_vrops_password">'Value Reference Tables'!$L$117</definedName>
    <definedName name="svc_vro_vsphere_password">'Value Reference Tables'!$L$122</definedName>
    <definedName name="svc_vrops_nsx_password">'Value Reference Tables'!$L$115</definedName>
    <definedName name="svc_vrops_vra_password">'Value Reference Tables'!$L$116</definedName>
    <definedName name="svc_vrops_vsan_password">'Value Reference Tables'!$L$114</definedName>
    <definedName name="svc_vrops_vsphere_password">'Value Reference Tables'!$L$113</definedName>
    <definedName name="table_avi_lb_cpu">'Static Reference Tables'!$B$249:$C$251</definedName>
    <definedName name="table_avi_lb_disk">'Static Reference Tables'!$B$257:$C$259</definedName>
    <definedName name="table_avi_lb_ram">'Static Reference Tables'!$B$253:$C$255</definedName>
    <definedName name="table_cidr_to_mask">'Static Reference Tables'!$B$320:$C$352</definedName>
    <definedName name="table_identity_broker_cpu">'Static Reference Tables'!$B$120:$C$123</definedName>
    <definedName name="table_identity_broker_disk">'Static Reference Tables'!$B$130:$C$133</definedName>
    <definedName name="table_identity_broker_ram">'Static Reference Tables'!$B$125:$C$128</definedName>
    <definedName name="table_mask_to_cidr">'Static Reference Tables'!$C$256:$D$346</definedName>
    <definedName name="table_masks">'Static Reference Tables'!$C$320:$C$343</definedName>
    <definedName name="table_nsxt_deployment_model">'Static Reference Tables'!$C$354:$C$356</definedName>
    <definedName name="table_nsxt_deployment_model_dedicated">'Static Reference Tables'!$C$355</definedName>
    <definedName name="table_nsxt_edge_cpu">'Static Reference Tables'!$B$93:$C$100</definedName>
    <definedName name="table_nsxt_edge_disk_gb">'Static Reference Tables'!$B$111:$C$118</definedName>
    <definedName name="table_nsxt_edge_ram">'Static Reference Tables'!$B$102:$C$109</definedName>
    <definedName name="table_nsxt_manager_cpu">'Static Reference Tables'!$B$75:$C$79</definedName>
    <definedName name="table_nsxt_manager_disk_gb">'Static Reference Tables'!$B$87:$C$91</definedName>
    <definedName name="table_nsxt_manager_ram">'Static Reference Tables'!$B$81:$C$85</definedName>
    <definedName name="table_srm_cpu">'Static Reference Tables'!$B$198:$C$199</definedName>
    <definedName name="table_srm_disk">'Static Reference Tables'!$B$204:$C$205</definedName>
    <definedName name="table_srm_ram">'Static Reference Tables'!$B$201:$C$202</definedName>
    <definedName name="table_ssp_cpu">'Static Reference Tables'!$B$264:$C$266</definedName>
    <definedName name="table_ssp_disk">'Static Reference Tables'!$B$272:$C$274</definedName>
    <definedName name="table_ssp_ram">'Static Reference Tables'!$B$268:$C$270</definedName>
    <definedName name="table_ssp_sizes">'Static Reference Tables'!$B$261:$B$263</definedName>
    <definedName name="table_vcenter_appliance_cpu">'Static Reference Tables'!$B$37:$C$41</definedName>
    <definedName name="table_vcenter_appliance_ram">'Static Reference Tables'!$B$43:$C$47</definedName>
    <definedName name="table_vcenter_disk_gb">'Static Reference Tables'!$B$49:$C$73</definedName>
    <definedName name="table_vcf_version5x_mgmt_vlcm_image">'Static Reference Tables'!$B$396</definedName>
    <definedName name="table_vcf_version5x_mgmt_vlcm_type">'Static Reference Tables'!$B$393:$B$394</definedName>
    <definedName name="table_vcf_version5x_mgmt_vsan_type">'Static Reference Tables'!$B$383:$B$384</definedName>
    <definedName name="table_vcf_version5x_wld_storage_type">'Static Reference Tables'!$B$386:$B$390</definedName>
    <definedName name="table_vcf_version9x_cluster_storage_type">'Static Reference Tables'!$C$386:$C$391</definedName>
    <definedName name="table_vcfa_appliance_cpu">'Static Reference Tables'!$B$135:$C$137</definedName>
    <definedName name="table_vcfa_appliance_disk">'Static Reference Tables'!$B$143:$C$145</definedName>
    <definedName name="table_vcfa_appliance_ram">'Static Reference Tables'!$B$139:$C$141</definedName>
    <definedName name="table_vcfms_control_cpu">'Static Reference Tables'!$B$289:$C$292</definedName>
    <definedName name="table_vcfms_control_disk">'Static Reference Tables'!$B$299:$C$302</definedName>
    <definedName name="table_vcfms_control_nodes">'Static Reference Tables'!$B$284:$C$287</definedName>
    <definedName name="table_vcfms_control_ram">'Static Reference Tables'!$B$294:$C$297</definedName>
    <definedName name="table_vcfms_worker_cpu">'Static Reference Tables'!$B$308:$C$310</definedName>
    <definedName name="table_vcfms_worker_disk">'Static Reference Tables'!$B$316:$C$318</definedName>
    <definedName name="table_vcfms_worker_nodes">'Static Reference Tables'!$B$304:$C$306</definedName>
    <definedName name="table_vcfms_worker_ram">'Static Reference Tables'!$B$312:$C$314</definedName>
    <definedName name="table_vcfo_appliance_cpu">'Static Reference Tables'!$B$161:$C$163</definedName>
    <definedName name="table_vcfo_appliance_disk">'Static Reference Tables'!$B$173:$C$175</definedName>
    <definedName name="table_vcfo_appliance_ram">'Static Reference Tables'!$B$167:$C$169</definedName>
    <definedName name="table_vcfo_p_cpu">'Static Reference Tables'!$B$177:$C$179</definedName>
    <definedName name="table_vcfo_p_disk">'Static Reference Tables'!$B$185:$C$187</definedName>
    <definedName name="table_vcfo_p_ram">'Static Reference Tables'!$B$181:$C$183</definedName>
    <definedName name="table_vcfops_appliance_cpu">'Static Reference Tables'!$B$159:$C$163</definedName>
    <definedName name="table_vcfops_appliance_disk">'Static Reference Tables'!$B$171:$C$175</definedName>
    <definedName name="table_vcfops_appliance_ram">'Static Reference Tables'!$B$165:$C$169</definedName>
    <definedName name="table_vcfopsnet_appliance_cpu">'Static Reference Tables'!$B$211:$C$213</definedName>
    <definedName name="table_vcfopsnet_appliance_disk">'Static Reference Tables'!$B$219:$C$221</definedName>
    <definedName name="table_vcfopsnet_appliance_ram">'Static Reference Tables'!$B$215:$C$217</definedName>
    <definedName name="table_vcfopsnet_collector_cpu">'Static Reference Tables'!$B$223:$C$227</definedName>
    <definedName name="table_vcfopsnet_collector_disk">'Static Reference Tables'!$B$235:$C$239</definedName>
    <definedName name="table_vcfopsnet_collector_ram">'Static Reference Tables'!$B$229:$C$233</definedName>
    <definedName name="table_vrli_appliance_cpu">'Static Reference Tables'!$B$147:$C$149</definedName>
    <definedName name="table_vrli_appliance_disk">'Static Reference Tables'!$B$155:$C$157</definedName>
    <definedName name="table_vrli_appliance_ram">'Static Reference Tables'!$B$151:$C$153</definedName>
    <definedName name="table_vrms_cpu">'Static Reference Tables'!$B$189:$C$190</definedName>
    <definedName name="table_vrms_disk">'Static Reference Tables'!$B$195:$C$196</definedName>
    <definedName name="table_vrms_ram">'Static Reference Tables'!$B$192:$C$193</definedName>
    <definedName name="this_instance">'Value Reference Tables'!$AA$19</definedName>
    <definedName name="user_svc_vcf_bck">'Value Reference Tables'!$O$48</definedName>
    <definedName name="user_svc_vcf_ca_vcf">'Value Reference Tables'!$O$10</definedName>
    <definedName name="user_svc_vra_nsx">'Value Reference Tables'!$L$104</definedName>
    <definedName name="user_svc_vra_vcf">'Value Reference Tables'!$L$105</definedName>
    <definedName name="user_svc_vra_vrops">'Value Reference Tables'!$L$107</definedName>
    <definedName name="user_svc_vra_vsphere">'Value Reference Tables'!$L$103</definedName>
    <definedName name="user_svc_vrli_vrops">'Value Reference Tables'!$L$102</definedName>
    <definedName name="user_svc_vrli_wsa">'Value Reference Tables'!$L$101</definedName>
    <definedName name="user_svc_vro_vsphere">'Value Reference Tables'!$L$106</definedName>
    <definedName name="user_svc_vrops_nsx">'Value Reference Tables'!$L$99</definedName>
    <definedName name="user_svc_vrops_vra">'Value Reference Tables'!$L$100</definedName>
    <definedName name="user_svc_vrops_vsan">'Value Reference Tables'!$L$98</definedName>
    <definedName name="user_svc_vrops_vsphere">'Value Reference Tables'!$L$97</definedName>
    <definedName name="valuevx">42.314159</definedName>
    <definedName name="vcenter_root_password">'Value Reference Tables'!$L$15</definedName>
    <definedName name="vcenter_sizing_limits">'Static Reference Tables'!$B$461:$C$466</definedName>
    <definedName name="vcf_automation_additional_vips">'Value Reference Tables'!$L$325</definedName>
    <definedName name="vcf_automation_admin_password">'Value Reference Tables'!$L$315</definedName>
    <definedName name="vcf_automation_admin_password_alias">'Value Reference Tables'!$L$314</definedName>
    <definedName name="vcf_automation_admin_password_description">'Value Reference Tables'!$L$316</definedName>
    <definedName name="vcf_automation_admin_username">'Value Reference Tables'!$L$317</definedName>
    <definedName name="vcf_automation_cert_alias">'Value Reference Tables'!$L$292</definedName>
    <definedName name="vcf_automation_cert_common_name">'Value Reference Tables'!$L$294</definedName>
    <definedName name="vcf_automation_cert_country_code">'Value Reference Tables'!$L$297</definedName>
    <definedName name="vcf_automation_cert_file">'Value Reference Tables'!$L$293</definedName>
    <definedName name="vcf_automation_cert_key_length_chosen">Arkham!$Y$23</definedName>
    <definedName name="vcf_automation_cert_locality">'Value Reference Tables'!$L$298</definedName>
    <definedName name="vcf_automation_cert_organisation">'Value Reference Tables'!$L$295</definedName>
    <definedName name="vcf_automation_cert_state">'Value Reference Tables'!$L$299</definedName>
    <definedName name="vcf_automation_cert_type_chosen">Arkham!$Y$14</definedName>
    <definedName name="vcf_automation_folder">'Value Reference Tables'!$L$309</definedName>
    <definedName name="vcf_automation_gateway_ip">'Value Reference Tables'!$L$312</definedName>
    <definedName name="vcf_automation_internal_cidr_chosen">Arkham!$Y$55</definedName>
    <definedName name="vcf_automation_lb_type_chosen">Arkham!$Y$52</definedName>
    <definedName name="vcf_automation_mask">'Value Reference Tables'!$L$311</definedName>
    <definedName name="vcf_automation_node_pool_chosen">'Deploy Fleet Management Day-N'!$D$85</definedName>
    <definedName name="vcf_automation_node_pool_end_ip">'Value Reference Tables'!$L$328</definedName>
    <definedName name="vcf_automation_node_pool_start_ip">'Value Reference Tables'!$L$327</definedName>
    <definedName name="vcf_automation_node_prefix_chosen">Arkham!$Y$53</definedName>
    <definedName name="vcf_automation_nodea_ip">'Value Reference Tables'!$L$305</definedName>
    <definedName name="vcf_automation_nodeb_ip">'Value Reference Tables'!$L$306</definedName>
    <definedName name="vcf_automation_nodec_ip">'Value Reference Tables'!$L$307</definedName>
    <definedName name="vcf_automation_noded_ip">'Value Reference Tables'!$L$308</definedName>
    <definedName name="vcf_automation_ou_cert">'Value Reference Tables'!$L$296</definedName>
    <definedName name="vcf_automation_portgroup">'Value Reference Tables'!$L$313</definedName>
    <definedName name="vcf_automation_resource_pool">'Value Reference Tables'!$L$310</definedName>
    <definedName name="vcf_automation_root_password">'Value Reference Tables'!$L$319</definedName>
    <definedName name="vcf_automation_root_password_alias">'Value Reference Tables'!$L$318</definedName>
    <definedName name="vcf_automation_root_password_description">'Value Reference Tables'!$L$320</definedName>
    <definedName name="vcf_automation_root_username">'Value Reference Tables'!$L$321</definedName>
    <definedName name="vcf_automation_runtime_cidr">'Value Reference Tables'!$L$326</definedName>
    <definedName name="vcf_automation_size_chosen">'Deploy Fleet Management Day-N'!$D$76</definedName>
    <definedName name="vcf_automation_sr_fqdn">'Value Reference Tables'!$L$302</definedName>
    <definedName name="vcf_automation_sr_ip">'Value Reference Tables'!$L$304</definedName>
    <definedName name="vcf_automation_time_sync_mode_chosen">Arkham!$Y$36</definedName>
    <definedName name="vcf_automation_type_chosen">'Deploy Fleet Management Day-N'!$D$73</definedName>
    <definedName name="vcf_automation_version">'Value Reference Tables'!$L$289</definedName>
    <definedName name="vcf_automation_vip_fqdn">'Value Reference Tables'!$L$301</definedName>
    <definedName name="vcf_automation_vip_ip">'Value Reference Tables'!$L$303</definedName>
    <definedName name="vcf_granular_option_chosen">'VCF &amp; VVF Planning'!$J$19</definedName>
    <definedName name="vcf_granular_option_result">'VCF &amp; VVF Planning'!$L$19</definedName>
    <definedName name="vcf_installer_fqdn">'Value Reference Tables'!$C$56</definedName>
    <definedName name="vcf_installer_hostname">'Value Reference Tables'!$C$37</definedName>
    <definedName name="vcf_installer_ip">'Value Reference Tables'!$C$14</definedName>
    <definedName name="vcf_instance_name">'Value Reference Tables'!$C$88</definedName>
    <definedName name="vcf_pnp_option_no">'Static Reference Tables'!$E$12</definedName>
    <definedName name="vcf_pnp_option_yes">'Static Reference Tables'!$E$11:$E$12</definedName>
    <definedName name="vcf_pnp_result_exclude">'Static Reference Tables'!$E$8</definedName>
    <definedName name="vcf_pnp_result_excluded">'Static Reference Tables'!$F$8</definedName>
    <definedName name="vcf_pnp_result_include">'Static Reference Tables'!$E$7:$E$8</definedName>
    <definedName name="vcf_pnp_result_included">'Static Reference Tables'!$F$7</definedName>
    <definedName name="vcf_version">'VCF &amp; VVF Planning'!$J$11</definedName>
    <definedName name="vcf_version_chosen">'VCF &amp; VVF Planning'!$J$16</definedName>
    <definedName name="vcf_version_result">'VCF &amp; VVF Planning'!$L$16</definedName>
    <definedName name="vcf_vi_isolated_domain_count">'Value Reference Tables'!$AA$60</definedName>
    <definedName name="vcf_vi_wld_domain_count">'Value Reference Tables'!$AA$59</definedName>
    <definedName name="vcf_vidm_size_chosen">'Deploy Fleet Management Day-N'!$D$95</definedName>
    <definedName name="vcfms_system_password">'Value Reference Tables'!$C$211</definedName>
    <definedName name="vi_only_viable">'Value Reference Tables'!$AA$58</definedName>
    <definedName name="VMware_Cloud_Foundation">'Static Reference Tables'!$F$11:$F$12</definedName>
    <definedName name="VMware_vSphere_Foundation">'Static Reference Tables'!$I$11</definedName>
    <definedName name="vrms_appliance_size">'Value Reference Tables'!$U$51</definedName>
    <definedName name="vrslcm_xreg_vm_folder">'Dumping Ground'!$D$104</definedName>
    <definedName name="vs_dr_site_pair">'Site Protection &amp; DR'!$D$235</definedName>
    <definedName name="vsphere_8u1_evc_table">'Static Reference Tables'!$B$358:$B$381</definedName>
    <definedName name="vvf_mgmt_cl01_vds_standard_preconfigured_profiles">'Static Reference Tables'!$D$479:$D$481</definedName>
    <definedName name="vvs_dr_dns1_ip">'Value Reference Tables'!$O$93</definedName>
    <definedName name="vvs_dr_dns2_ip">'Value Reference Tables'!$O$94</definedName>
    <definedName name="vvs_dr_flt_auto_fqdn">'Value Reference Tables'!$O$106</definedName>
    <definedName name="vvs_dr_flt_fleet_manager_fqdn">'Value Reference Tables'!$O$96</definedName>
    <definedName name="vvs_dr_flt_fleet_manager_hostname">'Value Reference Tables'!$O$111</definedName>
    <definedName name="vvs_dr_flt_logs_nodea_fqdn">'Value Reference Tables'!$O$100</definedName>
    <definedName name="vvs_dr_flt_logs_nodea_hostname">'Value Reference Tables'!$O$115</definedName>
    <definedName name="vvs_dr_flt_logs_nodeb_fqdn">'Value Reference Tables'!$O$101</definedName>
    <definedName name="vvs_dr_flt_logs_nodeb_hostname">'Value Reference Tables'!$O$116</definedName>
    <definedName name="vvs_dr_flt_logs_nodec_fqdn">'Value Reference Tables'!$O$102</definedName>
    <definedName name="vvs_dr_flt_logs_nodec_hostname">'Value Reference Tables'!$O$117</definedName>
    <definedName name="vvs_dr_flt_net_nodea_fqdn">'Value Reference Tables'!$O$103</definedName>
    <definedName name="vvs_dr_flt_net_nodea_hostname">'Value Reference Tables'!$O$118</definedName>
    <definedName name="vvs_dr_flt_net_nodeb_fqdn">'Value Reference Tables'!$O$104</definedName>
    <definedName name="vvs_dr_flt_net_nodeb_hostname">'Value Reference Tables'!$O$119</definedName>
    <definedName name="vvs_dr_flt_net_nodec_fqdn">'Value Reference Tables'!$O$105</definedName>
    <definedName name="vvs_dr_flt_net_nodec_hostname">'Value Reference Tables'!$O$120</definedName>
    <definedName name="vvs_dr_flt_ops_nodea_fqdn">'Value Reference Tables'!$O$97</definedName>
    <definedName name="vvs_dr_flt_ops_nodea_hostname">'Value Reference Tables'!$O$112</definedName>
    <definedName name="vvs_dr_flt_ops_nodeb_fqdn">'Value Reference Tables'!$O$98</definedName>
    <definedName name="vvs_dr_flt_ops_nodeb_hostname">'Value Reference Tables'!$O$113</definedName>
    <definedName name="vvs_dr_flt_ops_nodec_fqdn">'Value Reference Tables'!$O$99</definedName>
    <definedName name="vvs_dr_flt_ops_nodec_hostname">'Value Reference Tables'!$O$114</definedName>
    <definedName name="vvs_dr_mgmt_cl01_cluster">'Value Reference Tables'!$O$108</definedName>
    <definedName name="vvs_dr_mgmt_cl01_datastore">'Value Reference Tables'!$O$121</definedName>
    <definedName name="vvs_dr_mgmt_vc_fqdn">'Value Reference Tables'!$O$107</definedName>
    <definedName name="vvs_dr_ntp1_server">'Value Reference Tables'!$O$92</definedName>
    <definedName name="vvs_dr_parent_dns_zone">'Value Reference Tables'!$O$95</definedName>
    <definedName name="vvs_dr_sso_domain">'Value Reference Tables'!$O$110</definedName>
    <definedName name="vvs_dr_vr_password">'Value Reference Tables'!$O$129</definedName>
    <definedName name="vvs_dr_vr_username">'Value Reference Tables'!$O$128</definedName>
    <definedName name="vvs_mgmt_dr_vlr_fqdn">'Value Reference Tables'!$O$109</definedName>
    <definedName name="vvs_mgmt_dr_vlr_hostname">'Value Reference Tables'!$R$113</definedName>
    <definedName name="witness_dns_zone">'Value Reference Tables'!$L$68</definedName>
    <definedName name="witness_dns1_ip">'Value Reference Tables'!$L$55</definedName>
    <definedName name="witness_dns2_ip">'Value Reference Tables'!$L$56</definedName>
    <definedName name="witness_ntp1_server">'Value Reference Tables'!$L$49</definedName>
    <definedName name="witness_ntp2_server">'Value Reference Tables'!$L$50</definedName>
    <definedName name="wld_administrator_vsphere_local_password">'Value Reference Tables'!$C$212</definedName>
    <definedName name="wld_avi_loadbalancer_chosen">'Configure Workload Domain'!$B$14</definedName>
    <definedName name="wld_avi_loadbalancer_result">'Configure Workload Domain'!$D$14</definedName>
    <definedName name="wld_avilb_cluster_name">'Value Reference Tables'!$O$72</definedName>
    <definedName name="wld_avilb_cluster_version">'Value Reference Tables'!$O$73</definedName>
    <definedName name="wld_avilb_fqdn">'Value Reference Tables'!$F$56</definedName>
    <definedName name="wld_avilb_hostname">'Value Reference Tables'!$F$41</definedName>
    <definedName name="wld_avilb_ip">'Value Reference Tables'!$F$23</definedName>
    <definedName name="wld_avilb_mgra_ip">'Value Reference Tables'!$F$24</definedName>
    <definedName name="wld_avilb_mgrb_ip">'Value Reference Tables'!$F$25</definedName>
    <definedName name="wld_avilb_mgrc_ip">'Value Reference Tables'!$F$26</definedName>
    <definedName name="wld_az1_dtgw_gateway_cidr">'Value Reference Tables'!$F$217</definedName>
    <definedName name="wld_az1_dtgw_vlan">'Value Reference Tables'!$F$216</definedName>
    <definedName name="wld_az1_ec01_password_creation_chosen">'Configure Workload Domain'!$D$95</definedName>
    <definedName name="wld_az1_edge_overlay_cidr">'Value Reference Tables - MR'!$I$32</definedName>
    <definedName name="wld_az1_edge_overlay_gateway_ip">'Value Reference Tables - MR'!$I$94</definedName>
    <definedName name="wld_az1_edge_overlay_mask">'Value Reference Tables - MR'!$I$62</definedName>
    <definedName name="wld_az1_edge_overlay_mtu">'Value Reference Tables - MR'!$I$78</definedName>
    <definedName name="wld_az1_edge_overlay_network">'Value Reference Tables - MR'!$I$47</definedName>
    <definedName name="wld_az1_edge_overlay_network_pool_name">'Value Reference Tables - MR'!$I$188</definedName>
    <definedName name="wld_az1_edge_overlay_pg">'Value Reference Tables - MR'!$I$133</definedName>
    <definedName name="wld_az1_edge_overlay_pool_end_ip">'Value Reference Tables - MR'!$I$176</definedName>
    <definedName name="wld_az1_edge_overlay_pool_start_ip">'Value Reference Tables - MR'!$I$175</definedName>
    <definedName name="wld_az1_edge_overlay_vlan">'Value Reference Tables - MR'!$I$17</definedName>
    <definedName name="wld_az1_en1_edge_overlay_interface_ip_1_ip">'Value Reference Tables - MR'!$I$277</definedName>
    <definedName name="wld_az1_en1_edge_overlay_interface_ip_2_ip">'Value Reference Tables - MR'!$I$278</definedName>
    <definedName name="wld_az1_en1_edge_overlay_network_ip_allocation_chosen">'Configure Workload Domain'!$D$61</definedName>
    <definedName name="wld_az1_en1_eth0_uplink0">'Value Reference Tables'!$C$235</definedName>
    <definedName name="wld_az1_en1_eth0_uplink1">'Value Reference Tables'!$C$236</definedName>
    <definedName name="wld_az1_en1_eth1_uplink0">'Value Reference Tables'!$C$237</definedName>
    <definedName name="wld_az1_en1_eth1_uplink1">'Value Reference Tables'!$C$238</definedName>
    <definedName name="wld_az1_en1_fqdn">'Value Reference Tables'!$F$54</definedName>
    <definedName name="wld_az1_en1_hostname">'Value Reference Tables - MR'!$I$271</definedName>
    <definedName name="wld_az1_en1_ip_allocation_chosen">'Configure Workload Domain'!$D$49</definedName>
    <definedName name="wld_az1_en1_mgmt_cidr">'Value Reference Tables - MR'!$I$274</definedName>
    <definedName name="wld_az1_en1_mgmt_ip">'Value Reference Tables - MR'!$I$273</definedName>
    <definedName name="wld_az1_en1_uplink_ip_assignment_chosen">'Configure Workload Domain'!$D$60</definedName>
    <definedName name="wld_az1_en1_uplink01_interface_cidr">'Value Reference Tables - MR'!$I$275</definedName>
    <definedName name="wld_az1_en1_uplink02_interface_cidr">'Value Reference Tables - MR'!$I$276</definedName>
    <definedName name="wld_az1_en2_edge_overlay_interface_ip_1_ip">'Value Reference Tables - MR'!$I$288</definedName>
    <definedName name="wld_az1_en2_edge_overlay_interface_ip_2_ip">'Value Reference Tables - MR'!$I$289</definedName>
    <definedName name="wld_az1_en2_eth0_uplink0">'Value Reference Tables'!$C$239</definedName>
    <definedName name="wld_az1_en2_eth0_uplink1">'Value Reference Tables'!$C$240</definedName>
    <definedName name="wld_az1_en2_eth1_uplink0">'Value Reference Tables'!$C$241</definedName>
    <definedName name="wld_az1_en2_eth1_uplink1">'Value Reference Tables'!$C$242</definedName>
    <definedName name="wld_az1_en2_fqdn">'Value Reference Tables'!$F$55</definedName>
    <definedName name="wld_az1_en2_hostname">'Value Reference Tables - MR'!$I$282</definedName>
    <definedName name="wld_az1_en2_ip_allocation_chosen">'Configure Workload Domain'!$D$77</definedName>
    <definedName name="wld_az1_en2_mgmt_cidr">'Value Reference Tables - MR'!$I$285</definedName>
    <definedName name="wld_az1_en2_mgmt_ip">'Value Reference Tables - MR'!$I$284</definedName>
    <definedName name="wld_az1_en2_uplink01_interface_cidr">'Value Reference Tables - MR'!$I$286</definedName>
    <definedName name="wld_az1_en2_uplink02_interface_cidr">'Value Reference Tables - MR'!$I$287</definedName>
    <definedName name="wld_az1_host_fqdns">'Value Reference Tables - MR'!$I$253:$I$268</definedName>
    <definedName name="wld_az1_host_hostnames">'Value Reference Tables - MR'!$I$234:$I$249</definedName>
    <definedName name="wld_az1_host_mgmt_ips">'Value Reference Tables - MR'!$I$199:$I$214</definedName>
    <definedName name="wld_az1_host_overlay_cidr">'Value Reference Tables - MR'!$I$27</definedName>
    <definedName name="wld_az1_host_overlay_gateway_ip">'Value Reference Tables - MR'!$I$89</definedName>
    <definedName name="wld_az1_host_overlay_mask">'Value Reference Tables - MR'!$I$57</definedName>
    <definedName name="wld_az1_host_overlay_mtu">'Value Reference Tables - MR'!$I$73</definedName>
    <definedName name="wld_az1_host_overlay_network">'Value Reference Tables - MR'!$I$42</definedName>
    <definedName name="wld_az1_host_overlay_network_pool_description">'Value Reference Tables - MR'!$I$184</definedName>
    <definedName name="wld_az1_host_overlay_network_pool_name">'Value Reference Tables - MR'!$I$185</definedName>
    <definedName name="wld_az1_host_overlay_network_profile_name">'Value Reference Tables - MR'!$I$183</definedName>
    <definedName name="wld_az1_host_overlay_new_pool_chosen">'Deploy Workload Domain'!$D$320</definedName>
    <definedName name="wld_az1_host_overlay_pg">'Value Reference Tables - MR'!$I$129</definedName>
    <definedName name="wld_az1_host_overlay_pool_end_ip">'Value Reference Tables - MR'!$I$170</definedName>
    <definedName name="wld_az1_host_overlay_pool_start_ip">'Value Reference Tables - MR'!$I$169</definedName>
    <definedName name="wld_az1_host_overlay_transport_zone">'Value Reference Tables - MR'!$I$186</definedName>
    <definedName name="wld_az1_host_overlay_uplink_profile_name">'Value Reference Tables - MR'!$I$187</definedName>
    <definedName name="wld_az1_host_overlay_vlan">'Value Reference Tables - MR'!$I$12</definedName>
    <definedName name="wld_az1_host1_fqdn">'Value Reference Tables - MR'!$I$253</definedName>
    <definedName name="wld_az1_host1_hostname">'Value Reference Tables - MR'!$I$234</definedName>
    <definedName name="wld_az1_host1_mgmt_ip">'Value Reference Tables - MR'!$I$199</definedName>
    <definedName name="wld_az1_host1_vrms_ip">'Value Reference Tables - MR'!$I$215</definedName>
    <definedName name="wld_az1_host10_fqdn">'Value Reference Tables - MR'!$I$262</definedName>
    <definedName name="wld_az1_host10_hostname">'Value Reference Tables - MR'!$I$243</definedName>
    <definedName name="wld_az1_host10_mgmt_ip">'Value Reference Tables - MR'!$I$208</definedName>
    <definedName name="wld_az1_host10_vrms_ip">'Value Reference Tables - MR'!$I$224</definedName>
    <definedName name="wld_az1_host11_fqdn">'Value Reference Tables - MR'!$I$263</definedName>
    <definedName name="wld_az1_host11_hostname">'Value Reference Tables - MR'!$I$244</definedName>
    <definedName name="wld_az1_host11_mgmt_ip">'Value Reference Tables - MR'!$I$209</definedName>
    <definedName name="wld_az1_host11_vrms_ip">'Value Reference Tables - MR'!$I$225</definedName>
    <definedName name="wld_az1_host12_fqdn">'Value Reference Tables - MR'!$I$264</definedName>
    <definedName name="wld_az1_host12_hostname">'Value Reference Tables - MR'!$I$245</definedName>
    <definedName name="wld_az1_host12_mgmt_ip">'Value Reference Tables - MR'!$I$210</definedName>
    <definedName name="wld_az1_host12_vrms_ip">'Value Reference Tables - MR'!$I$226</definedName>
    <definedName name="wld_az1_host13_fqdn">'Value Reference Tables - MR'!$I$265</definedName>
    <definedName name="wld_az1_host13_hostname">'Value Reference Tables - MR'!$I$246</definedName>
    <definedName name="wld_az1_host13_mgmt_ip">'Value Reference Tables - MR'!$I$211</definedName>
    <definedName name="wld_az1_host13_vrms_ip">'Value Reference Tables - MR'!$I$227</definedName>
    <definedName name="wld_az1_host14_fqdn">'Value Reference Tables - MR'!$I$266</definedName>
    <definedName name="wld_az1_host14_hostname">'Value Reference Tables - MR'!$I$247</definedName>
    <definedName name="wld_az1_host14_mgmt_ip">'Value Reference Tables - MR'!$I$212</definedName>
    <definedName name="wld_az1_host14_vrms_ip">'Value Reference Tables - MR'!$I$228</definedName>
    <definedName name="wld_az1_host15_fqdn">'Value Reference Tables - MR'!$I$267</definedName>
    <definedName name="wld_az1_host15_hostname">'Value Reference Tables - MR'!$I$248</definedName>
    <definedName name="wld_az1_host15_mgmt_ip">'Value Reference Tables - MR'!$I$213</definedName>
    <definedName name="wld_az1_host15_vrms_ip">'Value Reference Tables - MR'!$I$229</definedName>
    <definedName name="wld_az1_host16_fqdn">'Value Reference Tables - MR'!$I$268</definedName>
    <definedName name="wld_az1_host16_hostname">'Value Reference Tables - MR'!$I$249</definedName>
    <definedName name="wld_az1_host16_mgmt_ip">'Value Reference Tables - MR'!$I$214</definedName>
    <definedName name="wld_az1_host16_vrms_ip">'Value Reference Tables - MR'!$I$230</definedName>
    <definedName name="wld_az1_host2_fqdn">'Value Reference Tables - MR'!$I$254</definedName>
    <definedName name="wld_az1_host2_hostname">'Value Reference Tables - MR'!$I$235</definedName>
    <definedName name="wld_az1_host2_mgmt_ip">'Value Reference Tables - MR'!$I$200</definedName>
    <definedName name="wld_az1_host2_vrms_ip">'Value Reference Tables - MR'!$I$216</definedName>
    <definedName name="wld_az1_host3_fqdn">'Value Reference Tables - MR'!$I$255</definedName>
    <definedName name="wld_az1_host3_hostname">'Value Reference Tables - MR'!$I$236</definedName>
    <definedName name="wld_az1_host3_mgmt_ip">'Value Reference Tables - MR'!$I$201</definedName>
    <definedName name="wld_az1_host3_vrms_ip">'Value Reference Tables - MR'!$I$217</definedName>
    <definedName name="wld_az1_host4_fqdn">'Value Reference Tables - MR'!$I$256</definedName>
    <definedName name="wld_az1_host4_hostname">'Value Reference Tables - MR'!$I$237</definedName>
    <definedName name="wld_az1_host4_mgmt_ip">'Value Reference Tables - MR'!$I$202</definedName>
    <definedName name="wld_az1_host4_vrms_ip">'Value Reference Tables - MR'!$I$218</definedName>
    <definedName name="wld_az1_host5_fqdn">'Value Reference Tables - MR'!$I$257</definedName>
    <definedName name="wld_az1_host5_hostname">'Value Reference Tables - MR'!$I$238</definedName>
    <definedName name="wld_az1_host5_mgmt_ip">'Value Reference Tables - MR'!$I$203</definedName>
    <definedName name="wld_az1_host5_vrms_ip">'Value Reference Tables - MR'!$I$219</definedName>
    <definedName name="wld_az1_host6_fqdn">'Value Reference Tables - MR'!$I$258</definedName>
    <definedName name="wld_az1_host6_hostname">'Value Reference Tables - MR'!$I$239</definedName>
    <definedName name="wld_az1_host6_mgmt_ip">'Value Reference Tables - MR'!$I$204</definedName>
    <definedName name="wld_az1_host6_vrms_ip">'Value Reference Tables - MR'!$I$220</definedName>
    <definedName name="wld_az1_host7_fqdn">'Value Reference Tables - MR'!$I$259</definedName>
    <definedName name="wld_az1_host7_hostname">'Value Reference Tables - MR'!$I$240</definedName>
    <definedName name="wld_az1_host7_mgmt_ip">'Value Reference Tables - MR'!$I$205</definedName>
    <definedName name="wld_az1_host7_vrms_ip">'Value Reference Tables - MR'!$I$221</definedName>
    <definedName name="wld_az1_host8_fqdn">'Value Reference Tables - MR'!$I$260</definedName>
    <definedName name="wld_az1_host8_hostname">'Value Reference Tables - MR'!$I$241</definedName>
    <definedName name="wld_az1_host8_mgmt_ip">'Value Reference Tables - MR'!$I$206</definedName>
    <definedName name="wld_az1_host8_vrms_ip">'Value Reference Tables - MR'!$I$222</definedName>
    <definedName name="wld_az1_host9_fqdn">'Value Reference Tables - MR'!$I$261</definedName>
    <definedName name="wld_az1_host9_hostname">'Value Reference Tables - MR'!$I$242</definedName>
    <definedName name="wld_az1_host9_mgmt_ip">'Value Reference Tables - MR'!$I$207</definedName>
    <definedName name="wld_az1_host9_vrms_ip">'Value Reference Tables - MR'!$I$223</definedName>
    <definedName name="wld_az1_mgmt_cidr">'Value Reference Tables - MR'!$I$24</definedName>
    <definedName name="wld_az1_mgmt_gateway_cidr">'Value Reference Tables - MR'!$I$101</definedName>
    <definedName name="wld_az1_mgmt_gateway_ip">'Value Reference Tables - MR'!$I$86</definedName>
    <definedName name="wld_az1_mgmt_mask">'Value Reference Tables - MR'!$I$54</definedName>
    <definedName name="wld_az1_mgmt_mtu">'Value Reference Tables - MR'!$I$70</definedName>
    <definedName name="wld_az1_mgmt_network">'Value Reference Tables - MR'!$I$39</definedName>
    <definedName name="wld_az1_mgmt_vlan">'Value Reference Tables - MR'!$I$9</definedName>
    <definedName name="wld_az1_mgmt_vm_cidr">'Value Reference Tables - MR'!$I$23</definedName>
    <definedName name="wld_az1_mgmt_vm_gateway_cidr">'Value Reference Tables - MR'!$I$100</definedName>
    <definedName name="wld_az1_mgmt_vm_gateway_ip">'Value Reference Tables - MR'!$I$85</definedName>
    <definedName name="wld_az1_mgmt_vm_mask">'Value Reference Tables - MR'!$I$53</definedName>
    <definedName name="wld_az1_mgmt_vm_mtu">'Value Reference Tables - MR'!$I$69</definedName>
    <definedName name="wld_az1_mgmt_vm_network">'Value Reference Tables - MR'!$I$38</definedName>
    <definedName name="wld_az1_mgmt_vm_vlan">'Value Reference Tables - MR'!$I$8</definedName>
    <definedName name="wld_az1_nsx_uplink1_active_chosen">'Deploy Workload Domain'!$D$335</definedName>
    <definedName name="wld_az1_nsx_uplink2_active_chosen">'Deploy Workload Domain'!$D$336</definedName>
    <definedName name="wld_az1_pool_name">'Value Reference Tables - MR'!$I$182</definedName>
    <definedName name="wld_az1_principal_storage_cidr">'Value Reference Tables - MR'!$I$26</definedName>
    <definedName name="wld_az1_principal_storage_gateway_cidr">'Value Reference Tables - MR'!$I$103</definedName>
    <definedName name="wld_az1_principal_storage_gateway_ip">'Value Reference Tables - MR'!$I$88</definedName>
    <definedName name="wld_az1_principal_storage_ip_assignment_chosen">'Deploy Workload Domain'!$D$98</definedName>
    <definedName name="wld_az1_principal_storage_ip_scheme_chosen">'Deploy Workload Domain'!$D$95</definedName>
    <definedName name="wld_az1_principal_storage_mask">'Value Reference Tables - MR'!$I$56</definedName>
    <definedName name="wld_az1_principal_storage_mtu">'Value Reference Tables - MR'!$I$72</definedName>
    <definedName name="wld_az1_principal_storage_network">'Value Reference Tables - MR'!$I$41</definedName>
    <definedName name="wld_az1_principal_storage_pool_end_ip">'Value Reference Tables - MR'!$I$168</definedName>
    <definedName name="wld_az1_principal_storage_pool_start_ip">'Value Reference Tables - MR'!$I$167</definedName>
    <definedName name="wld_az1_principal_storage_vlan">'Value Reference Tables - MR'!$I$11</definedName>
    <definedName name="wld_az1_rack2_edge_overlay_cidr">'Value Reference Tables - MR'!$L$32</definedName>
    <definedName name="wld_az1_rack2_edge_overlay_gateway_cidr">'Value Reference Tables - MR'!$L$109:$L$110</definedName>
    <definedName name="wld_az1_rack2_edge_overlay_gateway_ip">'Value Reference Tables - MR'!$L$94</definedName>
    <definedName name="wld_az1_rack2_edge_overlay_mask">'Value Reference Tables - MR'!$L$62</definedName>
    <definedName name="wld_az1_rack2_edge_overlay_mtu">'Value Reference Tables - MR'!$L$78</definedName>
    <definedName name="wld_az1_rack2_edge_overlay_network">'Value Reference Tables - MR'!$L$47</definedName>
    <definedName name="wld_az1_rack2_edge_overlay_network_pool_name">'Value Reference Tables - MR'!$L$188</definedName>
    <definedName name="wld_az1_rack2_edge_overlay_pool_end_ip">'Value Reference Tables - MR'!$L$176</definedName>
    <definedName name="wld_az1_rack2_edge_overlay_pool_start_ip">'Value Reference Tables - MR'!$L$175</definedName>
    <definedName name="wld_az1_rack2_edge_overlay_vlan">'Value Reference Tables - MR'!$L$17</definedName>
    <definedName name="wld_az1_rack2_en1_edge_overlay_interface_ip_1_ip">'Value Reference Tables - MR'!$L$260</definedName>
    <definedName name="wld_az1_rack2_en1_edge_overlay_interface_ip_2_ip">'Value Reference Tables - MR'!$L$261</definedName>
    <definedName name="wld_az1_rack2_en1_fqdn">'Value Reference Tables - MR'!$L$256</definedName>
    <definedName name="wld_az1_rack2_en1_hostname">'Value Reference Tables - MR'!$L$255</definedName>
    <definedName name="wld_az1_rack2_en1_mgmt_ip">'Value Reference Tables - MR'!$L$257</definedName>
    <definedName name="wld_az1_rack2_en1_uplink01_interface_ip">'Value Reference Tables - MR'!$L$258</definedName>
    <definedName name="wld_az1_rack2_en1_uplink02_interface_ip">'Value Reference Tables - MR'!$L$259</definedName>
    <definedName name="wld_az1_rack2_en2_fqdn">'Value Reference Tables - MR'!$L$266</definedName>
    <definedName name="wld_az1_rack2_en2_hostname">'Value Reference Tables - MR'!$L$265</definedName>
    <definedName name="wld_az1_rack2_en2_mgmt_ip">'Value Reference Tables - MR'!$L$267</definedName>
    <definedName name="wld_az1_rack2_en2_uplink01_interface_ip">'Value Reference Tables - MR'!$L$268</definedName>
    <definedName name="wld_az1_rack2_en2_uplink02_interface_ip">'Value Reference Tables - MR'!$L$269</definedName>
    <definedName name="wld_az1_rack2_host_fqdns">'Value Reference Tables - MR'!$L$237:$L$252</definedName>
    <definedName name="wld_az1_rack2_host_hostnames">'Value Reference Tables - MR'!$L$218:$L$233</definedName>
    <definedName name="wld_az1_rack2_host_mgmt_ips">'Value Reference Tables - MR'!$L$199:$L$214</definedName>
    <definedName name="wld_az1_rack2_host_overlay_cidr">'Value Reference Tables - MR'!$L$27</definedName>
    <definedName name="wld_az1_rack2_host_overlay_gateway_cidr">'Value Reference Tables - MR'!$L$104</definedName>
    <definedName name="wld_az1_rack2_host_overlay_gateway_ip">'Value Reference Tables - MR'!$L$89</definedName>
    <definedName name="wld_az1_rack2_host_overlay_mask">'Value Reference Tables - MR'!$L$57</definedName>
    <definedName name="wld_az1_rack2_host_overlay_mtu">'Value Reference Tables - MR'!$L$73</definedName>
    <definedName name="wld_az1_rack2_host_overlay_network">'Value Reference Tables - MR'!$L$42</definedName>
    <definedName name="wld_az1_rack2_host_overlay_network_pool_name">'Value Reference Tables - MR'!$L$185</definedName>
    <definedName name="wld_az1_rack2_host_overlay_network_profile_name">'Value Reference Tables - MR'!$L$183</definedName>
    <definedName name="wld_az1_rack2_host_overlay_new_pool_chosen">'Additional Racks'!$D$79</definedName>
    <definedName name="wld_az1_rack2_host_overlay_pool_end_ip">'Value Reference Tables - MR'!$L$170</definedName>
    <definedName name="wld_az1_rack2_host_overlay_pool_start_ip">'Value Reference Tables - MR'!$L$169</definedName>
    <definedName name="wld_az1_rack2_host_overlay_uplink_profile_name">'Value Reference Tables - MR'!$L$187</definedName>
    <definedName name="wld_az1_rack2_host_overlay_vlan">'Value Reference Tables - MR'!$L$12</definedName>
    <definedName name="wld_az1_rack2_host1_fqdn">'Value Reference Tables - MR'!$L$237</definedName>
    <definedName name="wld_az1_rack2_host1_hostname">'Value Reference Tables - MR'!$L$218</definedName>
    <definedName name="wld_az1_rack2_host1_mgmt_ip">'Value Reference Tables - MR'!$L$199</definedName>
    <definedName name="wld_az1_rack2_host10_fqdn">'Value Reference Tables - MR'!$L$246</definedName>
    <definedName name="wld_az1_rack2_host10_hostname">'Value Reference Tables - MR'!$L$227</definedName>
    <definedName name="wld_az1_rack2_host10_mgmt_ip">'Value Reference Tables - MR'!$L$208</definedName>
    <definedName name="wld_az1_rack2_host11_fqdn">'Value Reference Tables - MR'!$L$247</definedName>
    <definedName name="wld_az1_rack2_host11_hostname">'Value Reference Tables - MR'!$L$228</definedName>
    <definedName name="wld_az1_rack2_host11_mgmt_ip">'Value Reference Tables - MR'!$L$209</definedName>
    <definedName name="wld_az1_rack2_host12_fqdn">'Value Reference Tables - MR'!$L$248</definedName>
    <definedName name="wld_az1_rack2_host12_hostname">'Value Reference Tables - MR'!$L$229</definedName>
    <definedName name="wld_az1_rack2_host12_mgmt_ip">'Value Reference Tables - MR'!$L$210</definedName>
    <definedName name="wld_az1_rack2_host13_fqdn">'Value Reference Tables - MR'!$L$249</definedName>
    <definedName name="wld_az1_rack2_host13_hostname">'Value Reference Tables - MR'!$L$230</definedName>
    <definedName name="wld_az1_rack2_host13_mgmt_ip">'Value Reference Tables - MR'!$L$211</definedName>
    <definedName name="wld_az1_rack2_host14_fqdn">'Value Reference Tables - MR'!$L$250</definedName>
    <definedName name="wld_az1_rack2_host14_hostname">'Value Reference Tables - MR'!$L$231</definedName>
    <definedName name="wld_az1_rack2_host14_mgmt_ip">'Value Reference Tables - MR'!$L$212</definedName>
    <definedName name="wld_az1_rack2_host15_fqdn">'Value Reference Tables - MR'!$L$251</definedName>
    <definedName name="wld_az1_rack2_host15_hostname">'Value Reference Tables - MR'!$L$232</definedName>
    <definedName name="wld_az1_rack2_host15_mgmt_ip">'Value Reference Tables - MR'!$L$213</definedName>
    <definedName name="wld_az1_rack2_host16_fqdn">'Value Reference Tables - MR'!$L$252</definedName>
    <definedName name="wld_az1_rack2_host16_hostname">'Value Reference Tables - MR'!$L$233</definedName>
    <definedName name="wld_az1_rack2_host16_mgmt_ip">'Value Reference Tables - MR'!$L$214</definedName>
    <definedName name="wld_az1_rack2_host2_fqdn">'Value Reference Tables - MR'!$L$238</definedName>
    <definedName name="wld_az1_rack2_host2_hostname">'Value Reference Tables - MR'!$L$219</definedName>
    <definedName name="wld_az1_rack2_host2_mgmt_ip">'Value Reference Tables - MR'!$L$200</definedName>
    <definedName name="wld_az1_rack2_host3_fqdn">'Value Reference Tables - MR'!$L$239</definedName>
    <definedName name="wld_az1_rack2_host3_hostname">'Value Reference Tables - MR'!$L$220</definedName>
    <definedName name="wld_az1_rack2_host3_mgmt_ip">'Value Reference Tables - MR'!$L$201</definedName>
    <definedName name="wld_az1_rack2_host4_fqdn">'Value Reference Tables - MR'!$L$240</definedName>
    <definedName name="wld_az1_rack2_host4_hostname">'Value Reference Tables - MR'!$L$221</definedName>
    <definedName name="wld_az1_rack2_host4_mgmt_ip">'Value Reference Tables - MR'!$L$202</definedName>
    <definedName name="wld_az1_rack2_host5_fqdn">'Value Reference Tables - MR'!$L$241</definedName>
    <definedName name="wld_az1_rack2_host5_hostname">'Value Reference Tables - MR'!$L$222</definedName>
    <definedName name="wld_az1_rack2_host5_mgmt_ip">'Value Reference Tables - MR'!$L$203</definedName>
    <definedName name="wld_az1_rack2_host6_fqdn">'Value Reference Tables - MR'!$L$242</definedName>
    <definedName name="wld_az1_rack2_host6_hostname">'Value Reference Tables - MR'!$L$223</definedName>
    <definedName name="wld_az1_rack2_host6_mgmt_ip">'Value Reference Tables - MR'!$L$204</definedName>
    <definedName name="wld_az1_rack2_host7_fqdn">'Value Reference Tables - MR'!$L$243</definedName>
    <definedName name="wld_az1_rack2_host7_hostname">'Value Reference Tables - MR'!$L$224</definedName>
    <definedName name="wld_az1_rack2_host7_mgmt_ip">'Value Reference Tables - MR'!$L$205</definedName>
    <definedName name="wld_az1_rack2_host8_fqdn">'Value Reference Tables - MR'!$L$244</definedName>
    <definedName name="wld_az1_rack2_host8_hostname">'Value Reference Tables - MR'!$L$225</definedName>
    <definedName name="wld_az1_rack2_host8_mgmt_ip">'Value Reference Tables - MR'!$L$206</definedName>
    <definedName name="wld_az1_rack2_host9_fqdn">'Value Reference Tables - MR'!$L$245</definedName>
    <definedName name="wld_az1_rack2_host9_hostname">'Value Reference Tables - MR'!$L$226</definedName>
    <definedName name="wld_az1_rack2_host9_mgmt_ip">'Value Reference Tables - MR'!$L$207</definedName>
    <definedName name="wld_az1_rack2_mgmt_cidr">'Value Reference Tables - MR'!$L$24</definedName>
    <definedName name="wld_az1_rack2_mgmt_gateway_cidr">'Value Reference Tables - MR'!$L$101</definedName>
    <definedName name="wld_az1_rack2_mgmt_gateway_ip">'Value Reference Tables - MR'!$L$86</definedName>
    <definedName name="wld_az1_rack2_mgmt_mask">'Value Reference Tables - MR'!$L$195</definedName>
    <definedName name="wld_az1_rack2_mgmt_mtu">'Value Reference Tables - MR'!$L$70</definedName>
    <definedName name="wld_az1_rack2_mgmt_network">'Value Reference Tables - MR'!$L$39</definedName>
    <definedName name="wld_az1_rack2_mgmt_pg">'Value Reference Tables - MR'!$L$126</definedName>
    <definedName name="wld_az1_rack2_mgmt_vlan">'Value Reference Tables - MR'!$L$9</definedName>
    <definedName name="wld_az1_rack2_mgmt_vm_cidr">'Value Reference Tables - MR'!$L$23</definedName>
    <definedName name="wld_az1_rack2_mgmt_vm_gateway_ip">'Value Reference Tables - MR'!$L$85</definedName>
    <definedName name="wld_az1_rack2_mgmt_vm_mask">'Value Reference Tables - MR'!$L$194</definedName>
    <definedName name="wld_az1_rack2_mgmt_vm_mtu">'Value Reference Tables - MR'!$L$69</definedName>
    <definedName name="wld_az1_rack2_mgmt_vm_pg">'Value Reference Tables - MR'!$L$125</definedName>
    <definedName name="wld_az1_rack2_mgmt_vm_vlan">'Value Reference Tables - MR'!$L$8</definedName>
    <definedName name="wld_az1_rack2_pool_name">'Value Reference Tables - MR'!$L$182</definedName>
    <definedName name="wld_az1_rack2_principal_storage_cidr">'Value Reference Tables - MR'!$L$26</definedName>
    <definedName name="wld_az1_rack2_principal_storage_gateway_cidr">'Value Reference Tables - MR'!$L$103</definedName>
    <definedName name="wld_az1_rack2_principal_storage_gateway_ip">'Value Reference Tables - MR'!$L$88</definedName>
    <definedName name="wld_az1_rack2_principal_storage_mask">'Value Reference Tables - MR'!$L$56</definedName>
    <definedName name="wld_az1_rack2_principal_storage_mtu">'Value Reference Tables - MR'!$L$72</definedName>
    <definedName name="wld_az1_rack2_principal_storage_network">'Value Reference Tables - MR'!$L$41</definedName>
    <definedName name="wld_az1_rack2_principal_storage_pg">'Value Reference Tables - MR'!$L$128</definedName>
    <definedName name="wld_az1_rack2_principal_storage_pool_end_ip">'Value Reference Tables - MR'!$L$168</definedName>
    <definedName name="wld_az1_rack2_principal_storage_pool_start_ip">'Value Reference Tables - MR'!$L$167</definedName>
    <definedName name="wld_az1_rack2_principal_storage_vlan">'Value Reference Tables - MR'!$L$11</definedName>
    <definedName name="wld_az1_rack2_reuse_vcf_networkpool_chosen">'Additional Racks'!$D$33</definedName>
    <definedName name="wld_az1_rack2_rtep_ip_pool_name">'Value Reference Tables - MR'!$L$189</definedName>
    <definedName name="wld_az1_rack2_rtep_overlay_cidr">'Value Reference Tables - MR'!$L$33</definedName>
    <definedName name="wld_az1_rack2_rtep_overlay_gateway_ip">'Value Reference Tables - MR'!$L$95</definedName>
    <definedName name="wld_az1_rack2_rtep_overlay_mtu">'Value Reference Tables - MR'!$L$79</definedName>
    <definedName name="wld_az1_rack2_rtep_overlay_pool_end_ip">'Value Reference Tables - MR'!$L$178</definedName>
    <definedName name="wld_az1_rack2_rtep_overlay_pool_start_ip">'Value Reference Tables - MR'!$L$177</definedName>
    <definedName name="wld_az1_rack2_rtep_overlay_vlan">'Value Reference Tables - MR'!$L$18</definedName>
    <definedName name="wld_az1_rack2_secondary_storage_cidr">'Value Reference Tables - MR'!$L$28</definedName>
    <definedName name="wld_az1_rack2_secondary_storage_gateway_cidr">'Value Reference Tables - MR'!$L$105</definedName>
    <definedName name="wld_az1_rack2_secondary_storage_gateway_ip">'Value Reference Tables - MR'!$L$90</definedName>
    <definedName name="wld_az1_rack2_secondary_storage_mask">'Value Reference Tables - MR'!$L$58</definedName>
    <definedName name="wld_az1_rack2_secondary_storage_mtu">'Value Reference Tables - MR'!$L$74</definedName>
    <definedName name="wld_az1_rack2_secondary_storage_network">'Value Reference Tables - MR'!$L$44</definedName>
    <definedName name="wld_az1_rack2_secondary_storage_pool_end_ip">'Value Reference Tables - MR'!$L$172</definedName>
    <definedName name="wld_az1_rack2_secondary_storage_pool_start_ip">'Value Reference Tables - MR'!$L$171</definedName>
    <definedName name="wld_az1_rack2_secondary_storage_vlan">'Value Reference Tables - MR'!$L$13</definedName>
    <definedName name="wld_az1_rack2_tor1_peer_asn">'Value Reference Tables - MR'!$L$117</definedName>
    <definedName name="wld_az1_rack2_tor1_peer_bgp_password">'Value Reference Tables - MR'!$L$118</definedName>
    <definedName name="wld_az1_rack2_tor1_peer_ip">'Value Reference Tables - MR'!$L$116</definedName>
    <definedName name="wld_az1_rack2_tor2_peer_asn">'Value Reference Tables - MR'!$L$120</definedName>
    <definedName name="wld_az1_rack2_tor2_peer_bgp_password">'Value Reference Tables - MR'!$L$121</definedName>
    <definedName name="wld_az1_rack2_tor2_peer_ip">'Value Reference Tables - MR'!$L$119</definedName>
    <definedName name="wld_az1_rack2_uplink01_cidr">'Value Reference Tables - MR'!$L$30</definedName>
    <definedName name="wld_az1_rack2_uplink01_gateway_cidr">'Value Reference Tables - MR'!$L$107</definedName>
    <definedName name="wld_az1_rack2_uplink01_gateway_ip">'Value Reference Tables - MR'!$L$92</definedName>
    <definedName name="wld_az1_rack2_uplink01_mask">'Value Reference Tables - MR'!$L$60</definedName>
    <definedName name="wld_az1_rack2_uplink01_mtu">'Value Reference Tables - MR'!$L$76</definedName>
    <definedName name="wld_az1_rack2_uplink01_network">'Value Reference Tables - MR'!$L$45</definedName>
    <definedName name="wld_az1_rack2_uplink01_pg">'Value Reference Tables - MR'!$L$129</definedName>
    <definedName name="wld_az1_rack2_uplink01_vlan">'Value Reference Tables - MR'!$L$15</definedName>
    <definedName name="wld_az1_rack2_uplink02_cidr">'Value Reference Tables - MR'!$L$31</definedName>
    <definedName name="wld_az1_rack2_uplink02_gateway_cidr">'Value Reference Tables - MR'!$L$108</definedName>
    <definedName name="wld_az1_rack2_uplink02_gateway_ip">'Value Reference Tables - MR'!$L$93</definedName>
    <definedName name="wld_az1_rack2_uplink02_mask">'Value Reference Tables - MR'!$L$61</definedName>
    <definedName name="wld_az1_rack2_uplink02_mtu">'Value Reference Tables - MR'!$L$77</definedName>
    <definedName name="wld_az1_rack2_uplink02_network">'Value Reference Tables - MR'!$L$46</definedName>
    <definedName name="wld_az1_rack2_uplink02_pg">'Value Reference Tables - MR'!$L$130</definedName>
    <definedName name="wld_az1_rack2_uplink02_vlan">'Value Reference Tables - MR'!$L$16</definedName>
    <definedName name="wld_az1_rack2_vmotion_cidr">'Value Reference Tables - MR'!$L$25</definedName>
    <definedName name="wld_az1_rack2_vmotion_gateway_cidr">'Value Reference Tables - MR'!$L$102</definedName>
    <definedName name="wld_az1_rack2_vmotion_gateway_ip">'Value Reference Tables - MR'!$L$87</definedName>
    <definedName name="wld_az1_rack2_vmotion_mask">'Value Reference Tables - MR'!$L$55</definedName>
    <definedName name="wld_az1_rack2_vmotion_mtu">'Value Reference Tables - MR'!$L$71</definedName>
    <definedName name="wld_az1_rack2_vmotion_network">'Value Reference Tables - MR'!$L$40</definedName>
    <definedName name="wld_az1_rack2_vmotion_pg">'Value Reference Tables - MR'!$L$127</definedName>
    <definedName name="wld_az1_rack2_vmotion_pool_end_ip">'Value Reference Tables - MR'!$L$166</definedName>
    <definedName name="wld_az1_rack2_vmotion_pool_start_ip">'Value Reference Tables - MR'!$L$165</definedName>
    <definedName name="wld_az1_rack2_vmotion_vlan">'Value Reference Tables - MR'!$L$10</definedName>
    <definedName name="wld_az1_rack2_vrms_cidr">'Value Reference Tables - MR'!$L$34</definedName>
    <definedName name="wld_az1_rack2_vrms_gateway_ip">'Value Reference Tables - MR'!$L$96</definedName>
    <definedName name="wld_az1_rack2_vrms_mtu">'Value Reference Tables - MR'!$L$80</definedName>
    <definedName name="wld_az1_rack2_vrms_vlan">'Value Reference Tables - MR'!$L$19</definedName>
    <definedName name="wld_az1_rack2_vsan_fault_domain">'Value Reference Tables - MR'!$L$190</definedName>
    <definedName name="wld_az1_rack3_edge_overlay_cidr">'Value Reference Tables - MR'!$O$32</definedName>
    <definedName name="wld_az1_rack3_edge_overlay_gateway_cidr">'Value Reference Tables - MR'!$O$109</definedName>
    <definedName name="wld_az1_rack3_edge_overlay_gateway_ip">'Value Reference Tables - MR'!$O$94</definedName>
    <definedName name="wld_az1_rack3_edge_overlay_mask">'Value Reference Tables - MR'!$O$62</definedName>
    <definedName name="wld_az1_rack3_edge_overlay_mtu">'Value Reference Tables - MR'!$O$78</definedName>
    <definedName name="wld_az1_rack3_edge_overlay_network">'Value Reference Tables - MR'!$O$47</definedName>
    <definedName name="wld_az1_rack3_edge_overlay_network_pool_name">'Value Reference Tables - MR'!$O$188</definedName>
    <definedName name="wld_az1_rack3_edge_overlay_pool_end_ip">'Value Reference Tables - MR'!$O$176</definedName>
    <definedName name="wld_az1_rack3_edge_overlay_pool_start_ip">'Value Reference Tables - MR'!$O$175</definedName>
    <definedName name="wld_az1_rack3_edge_overlay_vlan">'Value Reference Tables - MR'!$O$17</definedName>
    <definedName name="wld_az1_rack3_en1_edge_overlay_interface_ip_1_ip">'Value Reference Tables - MR'!$O$260</definedName>
    <definedName name="wld_az1_rack3_en1_edge_overlay_interface_ip_2_ip">'Value Reference Tables - MR'!$O$261</definedName>
    <definedName name="wld_az1_rack3_en1_fqdn">'Value Reference Tables - MR'!$O$256</definedName>
    <definedName name="wld_az1_rack3_en1_hostname">'Value Reference Tables - MR'!$O$255</definedName>
    <definedName name="wld_az1_rack3_en1_mgmt_ip">'Value Reference Tables - MR'!$O$257</definedName>
    <definedName name="wld_az1_rack3_en1_uplink01_interface_ip">'Value Reference Tables - MR'!$O$258</definedName>
    <definedName name="wld_az1_rack3_en1_uplink02_interface_ip">'Value Reference Tables - MR'!$O$259</definedName>
    <definedName name="wld_az1_rack3_en2_fqdn">'Value Reference Tables - MR'!$O$266</definedName>
    <definedName name="wld_az1_rack3_en2_hostname">'Value Reference Tables - MR'!$O$265</definedName>
    <definedName name="wld_az1_rack3_en2_mgmt_ip">'Value Reference Tables - MR'!$O$267</definedName>
    <definedName name="wld_az1_rack3_en2_uplink01_interface_ip">'Value Reference Tables - MR'!$O$268</definedName>
    <definedName name="wld_az1_rack3_en2_uplink02_interface_ip">'Value Reference Tables - MR'!$O$269</definedName>
    <definedName name="wld_az1_rack3_host_fqdns">'Value Reference Tables - MR'!$O$237:$O$252</definedName>
    <definedName name="wld_az1_rack3_host_hostnames">'Value Reference Tables - MR'!$O$218:$O$233</definedName>
    <definedName name="wld_az1_rack3_host_mgmt_ips">'Value Reference Tables - MR'!$O$199:$O$214</definedName>
    <definedName name="wld_az1_rack3_host_overlay_cidr">'Value Reference Tables - MR'!$O$27</definedName>
    <definedName name="wld_az1_rack3_host_overlay_gateway_cidr">'Value Reference Tables - MR'!$O$104</definedName>
    <definedName name="wld_az1_rack3_host_overlay_gateway_ip">'Value Reference Tables - MR'!$O$89</definedName>
    <definedName name="wld_az1_rack3_host_overlay_mask">'Value Reference Tables - MR'!$O$57</definedName>
    <definedName name="wld_az1_rack3_host_overlay_mtu">'Value Reference Tables - MR'!$O$73</definedName>
    <definedName name="wld_az1_rack3_host_overlay_network">'Value Reference Tables - MR'!$O$42</definedName>
    <definedName name="wld_az1_rack3_host_overlay_network_pool_name">'Value Reference Tables - MR'!$O$185</definedName>
    <definedName name="wld_az1_rack3_host_overlay_network_profile_name">'Value Reference Tables - MR'!$O$183</definedName>
    <definedName name="wld_az1_rack3_host_overlay_new_pool_chosen">'Additional Racks'!$D$172</definedName>
    <definedName name="wld_az1_rack3_host_overlay_pool_end_ip">'Value Reference Tables - MR'!$O$170</definedName>
    <definedName name="wld_az1_rack3_host_overlay_pool_start_ip">'Value Reference Tables - MR'!$O$169</definedName>
    <definedName name="wld_az1_rack3_host_overlay_uplink_profile_name">'Value Reference Tables - MR'!$O$187</definedName>
    <definedName name="wld_az1_rack3_host_overlay_vlan">'Value Reference Tables - MR'!$O$12</definedName>
    <definedName name="wld_az1_rack3_host1_fqdn">'Value Reference Tables - MR'!$O$237</definedName>
    <definedName name="wld_az1_rack3_host1_hostname">'Value Reference Tables - MR'!$O$218</definedName>
    <definedName name="wld_az1_rack3_host1_mgmt_ip">'Value Reference Tables - MR'!$O$199</definedName>
    <definedName name="wld_az1_rack3_host10_fqdn">'Value Reference Tables - MR'!$O$246</definedName>
    <definedName name="wld_az1_rack3_host10_hostname">'Value Reference Tables - MR'!$O$227</definedName>
    <definedName name="wld_az1_rack3_host10_mgmt_ip">'Value Reference Tables - MR'!$O$208</definedName>
    <definedName name="wld_az1_rack3_host11_fqdn">'Value Reference Tables - MR'!$O$247</definedName>
    <definedName name="wld_az1_rack3_host11_hostname">'Value Reference Tables - MR'!$O$228</definedName>
    <definedName name="wld_az1_rack3_host11_mgmt_ip">'Value Reference Tables - MR'!$O$209</definedName>
    <definedName name="wld_az1_rack3_host12_fqdn">'Value Reference Tables - MR'!$O$248</definedName>
    <definedName name="wld_az1_rack3_host12_hostname">'Value Reference Tables - MR'!$O$229</definedName>
    <definedName name="wld_az1_rack3_host12_mgmt_ip">'Value Reference Tables - MR'!$O$210</definedName>
    <definedName name="wld_az1_rack3_host13_fqdn">'Value Reference Tables - MR'!$O$249</definedName>
    <definedName name="wld_az1_rack3_host13_hostname">'Value Reference Tables - MR'!$O$230</definedName>
    <definedName name="wld_az1_rack3_host13_mgmt_ip">'Value Reference Tables - MR'!$O$211</definedName>
    <definedName name="wld_az1_rack3_host14_fqdn">'Value Reference Tables - MR'!$O$250</definedName>
    <definedName name="wld_az1_rack3_host14_hostname">'Value Reference Tables - MR'!$O$231</definedName>
    <definedName name="wld_az1_rack3_host14_mgmt_ip">'Value Reference Tables - MR'!$O$212</definedName>
    <definedName name="wld_az1_rack3_host15_fqdn">'Value Reference Tables - MR'!$O$251</definedName>
    <definedName name="wld_az1_rack3_host15_hostname">'Value Reference Tables - MR'!$O$232</definedName>
    <definedName name="wld_az1_rack3_host15_mgmt_ip">'Value Reference Tables - MR'!$O$213</definedName>
    <definedName name="wld_az1_rack3_host16_fqdn">'Value Reference Tables - MR'!$O$252</definedName>
    <definedName name="wld_az1_rack3_host16_hostname">'Value Reference Tables - MR'!$O$233</definedName>
    <definedName name="wld_az1_rack3_host16_mgmt_ip">'Value Reference Tables - MR'!$O$214</definedName>
    <definedName name="wld_az1_rack3_host2_fqdn">'Value Reference Tables - MR'!$O$238</definedName>
    <definedName name="wld_az1_rack3_host2_hostname">'Value Reference Tables - MR'!$O$219</definedName>
    <definedName name="wld_az1_rack3_host2_mgmt_ip">'Value Reference Tables - MR'!$O$200</definedName>
    <definedName name="wld_az1_rack3_host3_fqdn">'Value Reference Tables - MR'!$O$239</definedName>
    <definedName name="wld_az1_rack3_host3_hostname">'Value Reference Tables - MR'!$O$220</definedName>
    <definedName name="wld_az1_rack3_host3_mgmt_ip">'Value Reference Tables - MR'!$O$201</definedName>
    <definedName name="wld_az1_rack3_host4_fqdn">'Value Reference Tables - MR'!$O$240</definedName>
    <definedName name="wld_az1_rack3_host4_hostname">'Value Reference Tables - MR'!$O$221</definedName>
    <definedName name="wld_az1_rack3_host4_mgmt_ip">'Value Reference Tables - MR'!$O$202</definedName>
    <definedName name="wld_az1_rack3_host5_fqdn">'Value Reference Tables - MR'!$O$241</definedName>
    <definedName name="wld_az1_rack3_host5_hostname">'Value Reference Tables - MR'!$O$222</definedName>
    <definedName name="wld_az1_rack3_host5_mgmt_ip">'Value Reference Tables - MR'!$O$203</definedName>
    <definedName name="wld_az1_rack3_host6_fqdn">'Value Reference Tables - MR'!$O$242</definedName>
    <definedName name="wld_az1_rack3_host6_hostname">'Value Reference Tables - MR'!$O$223</definedName>
    <definedName name="wld_az1_rack3_host6_mgmt_ip">'Value Reference Tables - MR'!$O$204</definedName>
    <definedName name="wld_az1_rack3_host7_fqdn">'Value Reference Tables - MR'!$O$243</definedName>
    <definedName name="wld_az1_rack3_host7_hostname">'Value Reference Tables - MR'!$O$224</definedName>
    <definedName name="wld_az1_rack3_host7_mgmt_ip">'Value Reference Tables - MR'!$O$205</definedName>
    <definedName name="wld_az1_rack3_host8_fqdn">'Value Reference Tables - MR'!$O$244</definedName>
    <definedName name="wld_az1_rack3_host8_hostname">'Value Reference Tables - MR'!$O$225</definedName>
    <definedName name="wld_az1_rack3_host8_mgmt_ip">'Value Reference Tables - MR'!$O$206</definedName>
    <definedName name="wld_az1_rack3_host9_fqdn">'Value Reference Tables - MR'!$O$245</definedName>
    <definedName name="wld_az1_rack3_host9_hostname">'Value Reference Tables - MR'!$O$226</definedName>
    <definedName name="wld_az1_rack3_host9_mgmt_ip">'Value Reference Tables - MR'!$O$207</definedName>
    <definedName name="wld_az1_rack3_mgmt_cidr">'Value Reference Tables - MR'!$O$24</definedName>
    <definedName name="wld_az1_rack3_mgmt_gateway_cidr">'Value Reference Tables - MR'!$O$101</definedName>
    <definedName name="wld_az1_rack3_mgmt_gateway_ip">'Value Reference Tables - MR'!$O$86</definedName>
    <definedName name="wld_az1_rack3_mgmt_mask">'Value Reference Tables - MR'!$O$195</definedName>
    <definedName name="wld_az1_rack3_mgmt_mtu">'Value Reference Tables - MR'!$O$70</definedName>
    <definedName name="wld_az1_rack3_mgmt_network">'Value Reference Tables - MR'!$O$39</definedName>
    <definedName name="wld_az1_rack3_mgmt_pg">'Value Reference Tables - MR'!$O$126</definedName>
    <definedName name="wld_az1_rack3_mgmt_vlan">'Value Reference Tables - MR'!$O$9</definedName>
    <definedName name="wld_az1_rack3_mgmt_vm_cidr">'Value Reference Tables - MR'!$O$23</definedName>
    <definedName name="wld_az1_rack3_mgmt_vm_gateway_cidr">'Value Reference Tables - MR'!$O$100</definedName>
    <definedName name="wld_az1_rack3_mgmt_vm_gateway_ip">'Value Reference Tables - MR'!$O$85</definedName>
    <definedName name="wld_az1_rack3_mgmt_vm_mask">'Value Reference Tables - MR'!$O$194</definedName>
    <definedName name="wld_az1_rack3_mgmt_vm_mtu">'Value Reference Tables - MR'!$O$69</definedName>
    <definedName name="wld_az1_rack3_mgmt_vm_pg">'Value Reference Tables - MR'!$O$125</definedName>
    <definedName name="wld_az1_rack3_mgmt_vm_vlan">'Value Reference Tables - MR'!$O$8</definedName>
    <definedName name="wld_az1_rack3_pool_name">'Value Reference Tables - MR'!$O$182</definedName>
    <definedName name="wld_az1_rack3_principal_storage_cidr">'Value Reference Tables - MR'!$O$26</definedName>
    <definedName name="wld_az1_rack3_principal_storage_gateway_cidr">'Value Reference Tables - MR'!$O$103</definedName>
    <definedName name="wld_az1_rack3_principal_storage_gateway_ip">'Value Reference Tables - MR'!$O$88</definedName>
    <definedName name="wld_az1_rack3_principal_storage_mask">'Value Reference Tables - MR'!$O$56</definedName>
    <definedName name="wld_az1_rack3_principal_storage_mtu">'Value Reference Tables - MR'!$O$72</definedName>
    <definedName name="wld_az1_rack3_principal_storage_network">'Value Reference Tables - MR'!$O$41</definedName>
    <definedName name="wld_az1_rack3_principal_storage_pool_end_ip">'Value Reference Tables - MR'!$O$168</definedName>
    <definedName name="wld_az1_rack3_principal_storage_pool_start_ip">'Value Reference Tables - MR'!$O$167</definedName>
    <definedName name="wld_az1_rack3_principal_storage_vlan">'Value Reference Tables - MR'!$O$11</definedName>
    <definedName name="wld_az1_rack3_reuse_vcf_networkpool_chosen">'Additional Racks'!$D$126</definedName>
    <definedName name="wld_az1_rack3_rtep_ip_pool_name">'Value Reference Tables - MR'!$O$189</definedName>
    <definedName name="wld_az1_rack3_rtep_overlay_cidr">'Value Reference Tables - MR'!$O$33</definedName>
    <definedName name="wld_az1_rack3_rtep_overlay_gateway_ip">'Value Reference Tables - MR'!$O$95</definedName>
    <definedName name="wld_az1_rack3_rtep_overlay_mtu">'Value Reference Tables - MR'!$O$79</definedName>
    <definedName name="wld_az1_rack3_rtep_overlay_pool_end_ip">'Value Reference Tables - MR'!$O$178</definedName>
    <definedName name="wld_az1_rack3_rtep_overlay_pool_start_ip">'Value Reference Tables - MR'!$O$177</definedName>
    <definedName name="wld_az1_rack3_rtep_overlay_vlan">'Value Reference Tables - MR'!$O$18</definedName>
    <definedName name="wld_az1_rack3_secondary_storage_cidr">'Value Reference Tables - MR'!$O$28</definedName>
    <definedName name="wld_az1_rack3_secondary_storage_gateway_cidr">'Value Reference Tables - MR'!$O$105</definedName>
    <definedName name="wld_az1_rack3_secondary_storage_gateway_ip">'Value Reference Tables - MR'!$O$90</definedName>
    <definedName name="wld_az1_rack3_secondary_storage_mask">'Value Reference Tables - MR'!$O$58</definedName>
    <definedName name="wld_az1_rack3_secondary_storage_mtu">'Value Reference Tables - MR'!$O$74</definedName>
    <definedName name="wld_az1_rack3_secondary_storage_network">'Value Reference Tables - MR'!$O$44</definedName>
    <definedName name="wld_az1_rack3_secondary_storage_pool_end_ip">'Value Reference Tables - MR'!$O$172</definedName>
    <definedName name="wld_az1_rack3_secondary_storage_pool_start_ip">'Value Reference Tables - MR'!$O$171</definedName>
    <definedName name="wld_az1_rack3_secondary_storage_vlan">'Value Reference Tables - MR'!$O$13</definedName>
    <definedName name="wld_az1_rack3_tor1_peer_asn">'Value Reference Tables - MR'!$O$117</definedName>
    <definedName name="wld_az1_rack3_tor1_peer_bgp_password">'Value Reference Tables - MR'!$O$118</definedName>
    <definedName name="wld_az1_rack3_tor1_peer_ip">'Value Reference Tables - MR'!$O$116</definedName>
    <definedName name="wld_az1_rack3_tor2_peer_asn">'Value Reference Tables - MR'!$O$120</definedName>
    <definedName name="wld_az1_rack3_tor2_peer_bgp_password">'Value Reference Tables - MR'!$O$121</definedName>
    <definedName name="wld_az1_rack3_tor2_peer_ip">'Value Reference Tables - MR'!$O$119</definedName>
    <definedName name="wld_az1_rack3_uplink01_cidr">'Value Reference Tables - MR'!$O$30</definedName>
    <definedName name="wld_az1_rack3_uplink01_gateway_cidr">'Value Reference Tables - MR'!$O$107</definedName>
    <definedName name="wld_az1_rack3_uplink01_gateway_ip">'Value Reference Tables - MR'!$O$92</definedName>
    <definedName name="wld_az1_rack3_uplink01_mask">'Value Reference Tables - MR'!$O$60</definedName>
    <definedName name="wld_az1_rack3_uplink01_mtu">'Value Reference Tables - MR'!$O$76</definedName>
    <definedName name="wld_az1_rack3_uplink01_network">'Value Reference Tables - MR'!$O$45</definedName>
    <definedName name="wld_az1_rack3_uplink01_pg">'Value Reference Tables - MR'!$O$129</definedName>
    <definedName name="wld_az1_rack3_uplink01_vlan">'Value Reference Tables - MR'!$O$15</definedName>
    <definedName name="wld_az1_rack3_uplink02_cidr">'Value Reference Tables - MR'!$O$31</definedName>
    <definedName name="wld_az1_rack3_uplink02_gateway_cidr">'Value Reference Tables - MR'!$O$108</definedName>
    <definedName name="wld_az1_rack3_uplink02_gateway_ip">'Value Reference Tables - MR'!$O$93</definedName>
    <definedName name="wld_az1_rack3_uplink02_mask">'Value Reference Tables - MR'!$O$61</definedName>
    <definedName name="wld_az1_rack3_uplink02_mtu">'Value Reference Tables - MR'!$O$77</definedName>
    <definedName name="wld_az1_rack3_uplink02_network">'Value Reference Tables - MR'!$O$46</definedName>
    <definedName name="wld_az1_rack3_uplink02_pg">'Value Reference Tables - MR'!$O$130</definedName>
    <definedName name="wld_az1_rack3_uplink02_vlan">'Value Reference Tables - MR'!$O$16</definedName>
    <definedName name="wld_az1_rack3_vmotion_cidr">'Value Reference Tables - MR'!$O$25</definedName>
    <definedName name="wld_az1_rack3_vmotion_gateway_cidr">'Value Reference Tables - MR'!$O$102</definedName>
    <definedName name="wld_az1_rack3_vmotion_gateway_ip">'Value Reference Tables - MR'!$O$87</definedName>
    <definedName name="wld_az1_rack3_vmotion_mask">'Value Reference Tables - MR'!$O$55</definedName>
    <definedName name="wld_az1_rack3_vmotion_mtu">'Value Reference Tables - MR'!$O$71</definedName>
    <definedName name="wld_az1_rack3_vmotion_network">'Value Reference Tables - MR'!$O$40</definedName>
    <definedName name="wld_az1_rack3_vmotion_pg">'Value Reference Tables - MR'!$O$127</definedName>
    <definedName name="wld_az1_rack3_vmotion_pool_end_ip">'Value Reference Tables - MR'!$O$166</definedName>
    <definedName name="wld_az1_rack3_vmotion_pool_start_ip">'Value Reference Tables - MR'!$O$165</definedName>
    <definedName name="wld_az1_rack3_vmotion_vlan">'Value Reference Tables - MR'!$O$10</definedName>
    <definedName name="wld_az1_rack3_vrms_cidr">'Value Reference Tables - MR'!$O$34</definedName>
    <definedName name="wld_az1_rack3_vrms_gateway_ip">'Value Reference Tables - MR'!$O$96</definedName>
    <definedName name="wld_az1_rack3_vrms_mtu">'Value Reference Tables - MR'!$O$80</definedName>
    <definedName name="wld_az1_rack3_vrms_vlan">'Value Reference Tables - MR'!$O$19</definedName>
    <definedName name="wld_az1_rack3_vsan_fault_domain">'Value Reference Tables - MR'!$O$190</definedName>
    <definedName name="wld_az1_rack4_edge_overlay_cidr">'Value Reference Tables - MR'!$R$32</definedName>
    <definedName name="wld_az1_rack4_edge_overlay_gateway_ip">'Value Reference Tables - MR'!$R$94</definedName>
    <definedName name="wld_az1_rack4_edge_overlay_mask">'Value Reference Tables - MR'!$R$62</definedName>
    <definedName name="wld_az1_rack4_edge_overlay_mtu">'Value Reference Tables - MR'!$R$78</definedName>
    <definedName name="wld_az1_rack4_edge_overlay_network">'Value Reference Tables - MR'!$R$47</definedName>
    <definedName name="wld_az1_rack4_edge_overlay_network_pool_name">'Value Reference Tables - MR'!$R$188</definedName>
    <definedName name="wld_az1_rack4_edge_overlay_pool_end_ip">'Value Reference Tables - MR'!$R$176</definedName>
    <definedName name="wld_az1_rack4_edge_overlay_pool_start_ip">'Value Reference Tables - MR'!$R$175</definedName>
    <definedName name="wld_az1_rack4_edge_overlay_vlan">'Value Reference Tables - MR'!$R$17</definedName>
    <definedName name="wld_az1_rack4_en1_edge_overlay_interface_ip_1_ip">'Value Reference Tables - MR'!$R$260</definedName>
    <definedName name="wld_az1_rack4_en1_edge_overlay_interface_ip_2_ip">'Value Reference Tables - MR'!$R$261</definedName>
    <definedName name="wld_az1_rack4_en1_fqdn">'Value Reference Tables - MR'!$R$256</definedName>
    <definedName name="wld_az1_rack4_en1_hostname">'Value Reference Tables - MR'!$R$255</definedName>
    <definedName name="wld_az1_rack4_en1_mgmt_ip">'Value Reference Tables - MR'!$R$257</definedName>
    <definedName name="wld_az1_rack4_en1_uplink01_interface_ip">'Value Reference Tables - MR'!$R$258</definedName>
    <definedName name="wld_az1_rack4_en1_uplink02_interface_ip">'Value Reference Tables - MR'!$R$259</definedName>
    <definedName name="wld_az1_rack4_en2_fqdn">'Value Reference Tables - MR'!$R$266</definedName>
    <definedName name="wld_az1_rack4_en2_hostname">'Value Reference Tables - MR'!$R$265</definedName>
    <definedName name="wld_az1_rack4_en2_mgmt_ip">'Value Reference Tables - MR'!$R$267</definedName>
    <definedName name="wld_az1_rack4_en2_uplink01_interface_ip">'Value Reference Tables - MR'!$R$268</definedName>
    <definedName name="wld_az1_rack4_en2_uplink02_interface_ip">'Value Reference Tables - MR'!$R$269</definedName>
    <definedName name="wld_az1_rack4_host_fqdns">'Value Reference Tables - MR'!$R$237:$R$252</definedName>
    <definedName name="wld_az1_rack4_host_hostnames">'Value Reference Tables - MR'!$R$218:$R$233</definedName>
    <definedName name="wld_az1_rack4_host_mgmt_ips">'Value Reference Tables - MR'!$R$199:$R$214</definedName>
    <definedName name="wld_az1_rack4_host_overlay_cidr">'Value Reference Tables - MR'!$R$27</definedName>
    <definedName name="wld_az1_rack4_host_overlay_gateway_cidr">'Value Reference Tables - MR'!$R$104</definedName>
    <definedName name="wld_az1_rack4_host_overlay_gateway_ip">'Value Reference Tables - MR'!$R$89</definedName>
    <definedName name="wld_az1_rack4_host_overlay_mask">'Value Reference Tables - MR'!$R$57</definedName>
    <definedName name="wld_az1_rack4_host_overlay_mtu">'Value Reference Tables - MR'!$R$73</definedName>
    <definedName name="wld_az1_rack4_host_overlay_network">'Value Reference Tables - MR'!$R$42</definedName>
    <definedName name="wld_az1_rack4_host_overlay_network_pool_name">'Value Reference Tables - MR'!$R$185</definedName>
    <definedName name="wld_az1_rack4_host_overlay_network_profile_name">'Value Reference Tables - MR'!$R$183</definedName>
    <definedName name="wld_az1_rack4_host_overlay_new_pool_chosen">'Additional Racks'!$D$265</definedName>
    <definedName name="wld_az1_rack4_host_overlay_pool_end_ip">'Value Reference Tables - MR'!$R$170</definedName>
    <definedName name="wld_az1_rack4_host_overlay_pool_start_ip">'Value Reference Tables - MR'!$R$169</definedName>
    <definedName name="wld_az1_rack4_host_overlay_uplink_profile_name">'Value Reference Tables - MR'!$R$187</definedName>
    <definedName name="wld_az1_rack4_host_overlay_vlan">'Value Reference Tables - MR'!$R$12</definedName>
    <definedName name="wld_az1_rack4_host1_fqdn">'Value Reference Tables - MR'!$R$237</definedName>
    <definedName name="wld_az1_rack4_host1_hostname">'Value Reference Tables - MR'!$R$218</definedName>
    <definedName name="wld_az1_rack4_host1_mgmt_ip">'Value Reference Tables - MR'!$R$199</definedName>
    <definedName name="wld_az1_rack4_host10_fqdn">'Value Reference Tables - MR'!$R$246</definedName>
    <definedName name="wld_az1_rack4_host10_hostname">'Value Reference Tables - MR'!$R$227</definedName>
    <definedName name="wld_az1_rack4_host10_mgmt_ip">'Value Reference Tables - MR'!$R$208</definedName>
    <definedName name="wld_az1_rack4_host11_fqdn">'Value Reference Tables - MR'!$R$247</definedName>
    <definedName name="wld_az1_rack4_host11_hostname">'Value Reference Tables - MR'!$R$228</definedName>
    <definedName name="wld_az1_rack4_host11_mgmt_ip">'Value Reference Tables - MR'!$R$209</definedName>
    <definedName name="wld_az1_rack4_host12_fqdn">'Value Reference Tables - MR'!$R$248</definedName>
    <definedName name="wld_az1_rack4_host12_hostname">'Value Reference Tables - MR'!$R$229</definedName>
    <definedName name="wld_az1_rack4_host12_mgmt_ip">'Value Reference Tables - MR'!$R$210</definedName>
    <definedName name="wld_az1_rack4_host13_fqdn">'Value Reference Tables - MR'!$R$249</definedName>
    <definedName name="wld_az1_rack4_host13_hostname">'Value Reference Tables - MR'!$R$230</definedName>
    <definedName name="wld_az1_rack4_host13_mgmt_ip">'Value Reference Tables - MR'!$R$211</definedName>
    <definedName name="wld_az1_rack4_host14_fqdn">'Value Reference Tables - MR'!$R$250</definedName>
    <definedName name="wld_az1_rack4_host14_hostname">'Value Reference Tables - MR'!$R$231</definedName>
    <definedName name="wld_az1_rack4_host14_mgmt_ip">'Value Reference Tables - MR'!$R$212</definedName>
    <definedName name="wld_az1_rack4_host15_fqdn">'Value Reference Tables - MR'!$R$251</definedName>
    <definedName name="wld_az1_rack4_host15_hostname">'Value Reference Tables - MR'!$R$232</definedName>
    <definedName name="wld_az1_rack4_host15_mgmt_ip">'Value Reference Tables - MR'!$R$213</definedName>
    <definedName name="wld_az1_rack4_host16_fqdn">'Value Reference Tables - MR'!$R$252</definedName>
    <definedName name="wld_az1_rack4_host16_hostname">'Value Reference Tables - MR'!$R$233</definedName>
    <definedName name="wld_az1_rack4_host16_mgmt_ip">'Value Reference Tables - MR'!$R$214</definedName>
    <definedName name="wld_az1_rack4_host2_fqdn">'Value Reference Tables - MR'!$R$238</definedName>
    <definedName name="wld_az1_rack4_host2_hostname">'Value Reference Tables - MR'!$R$219</definedName>
    <definedName name="wld_az1_rack4_host2_mgmt_ip">'Value Reference Tables - MR'!$R$200</definedName>
    <definedName name="wld_az1_rack4_host3_fqdn">'Value Reference Tables - MR'!$R$239</definedName>
    <definedName name="wld_az1_rack4_host3_hostname">'Value Reference Tables - MR'!$R$220</definedName>
    <definedName name="wld_az1_rack4_host3_mgmt_ip">'Value Reference Tables - MR'!$R$201</definedName>
    <definedName name="wld_az1_rack4_host4_fqdn">'Value Reference Tables - MR'!$R$240</definedName>
    <definedName name="wld_az1_rack4_host4_hostname">'Value Reference Tables - MR'!$R$221</definedName>
    <definedName name="wld_az1_rack4_host4_mgmt_ip">'Value Reference Tables - MR'!$R$202</definedName>
    <definedName name="wld_az1_rack4_host5_fqdn">'Value Reference Tables - MR'!$R$241</definedName>
    <definedName name="wld_az1_rack4_host5_hostname">'Value Reference Tables - MR'!$R$222</definedName>
    <definedName name="wld_az1_rack4_host5_mgmt_ip">'Value Reference Tables - MR'!$R$203</definedName>
    <definedName name="wld_az1_rack4_host6_fqdn">'Value Reference Tables - MR'!$R$242</definedName>
    <definedName name="wld_az1_rack4_host6_hostname">'Value Reference Tables - MR'!$R$223</definedName>
    <definedName name="wld_az1_rack4_host6_mgmt_ip">'Value Reference Tables - MR'!$R$204</definedName>
    <definedName name="wld_az1_rack4_host7_fqdn">'Value Reference Tables - MR'!$R$243</definedName>
    <definedName name="wld_az1_rack4_host7_hostname">'Value Reference Tables - MR'!$R$224</definedName>
    <definedName name="wld_az1_rack4_host7_mgmt_ip">'Value Reference Tables - MR'!$R$205</definedName>
    <definedName name="wld_az1_rack4_host8_fqdn">'Value Reference Tables - MR'!$R$244</definedName>
    <definedName name="wld_az1_rack4_host8_hostname">'Value Reference Tables - MR'!$R$225</definedName>
    <definedName name="wld_az1_rack4_host8_mgmt_ip">'Value Reference Tables - MR'!$R$206</definedName>
    <definedName name="wld_az1_rack4_host9_fqdn">'Value Reference Tables - MR'!$R$245</definedName>
    <definedName name="wld_az1_rack4_host9_hostname">'Value Reference Tables - MR'!$R$226</definedName>
    <definedName name="wld_az1_rack4_host9_mgmt_ip">'Value Reference Tables - MR'!$R$207</definedName>
    <definedName name="wld_az1_rack4_mgmt_cidr">'Value Reference Tables - MR'!$R$24</definedName>
    <definedName name="wld_az1_rack4_mgmt_gateway_cidr">'Value Reference Tables - MR'!$R$101</definedName>
    <definedName name="wld_az1_rack4_mgmt_gateway_ip">'Value Reference Tables - MR'!$R$86</definedName>
    <definedName name="wld_az1_rack4_mgmt_mask">'Value Reference Tables - MR'!$R$195</definedName>
    <definedName name="wld_az1_rack4_mgmt_mtu">'Value Reference Tables - MR'!$R$70</definedName>
    <definedName name="wld_az1_rack4_mgmt_network">'Value Reference Tables - MR'!$R$39</definedName>
    <definedName name="wld_az1_rack4_mgmt_pg">'Value Reference Tables - MR'!$R$126</definedName>
    <definedName name="wld_az1_rack4_mgmt_vlan">'Value Reference Tables - MR'!$R$9</definedName>
    <definedName name="wld_az1_rack4_mgmt_vm_cidr">'Value Reference Tables - MR'!$R$23</definedName>
    <definedName name="wld_az1_rack4_mgmt_vm_gateway_cidr">'Value Reference Tables - MR'!$R$100</definedName>
    <definedName name="wld_az1_rack4_mgmt_vm_gateway_ip">'Value Reference Tables - MR'!$R$85</definedName>
    <definedName name="wld_az1_rack4_mgmt_vm_mask">'Value Reference Tables - MR'!$R$194</definedName>
    <definedName name="wld_az1_rack4_mgmt_vm_mtu">'Value Reference Tables - MR'!$R$69</definedName>
    <definedName name="wld_az1_rack4_mgmt_vm_pg">'Value Reference Tables - MR'!$R$125</definedName>
    <definedName name="wld_az1_rack4_mgmt_vm_vlan">'Value Reference Tables - MR'!$R$8</definedName>
    <definedName name="wld_az1_rack4_pool_name">'Value Reference Tables - MR'!$R$182</definedName>
    <definedName name="wld_az1_rack4_principal_storage_cidr">'Value Reference Tables - MR'!$R$26</definedName>
    <definedName name="wld_az1_rack4_principal_storage_gateway_cidr">'Value Reference Tables - MR'!$R$103</definedName>
    <definedName name="wld_az1_rack4_principal_storage_gateway_ip">'Value Reference Tables - MR'!$R$88</definedName>
    <definedName name="wld_az1_rack4_principal_storage_mask">'Value Reference Tables - MR'!$R$56</definedName>
    <definedName name="wld_az1_rack4_principal_storage_mtu">'Value Reference Tables - MR'!$R$72</definedName>
    <definedName name="wld_az1_rack4_principal_storage_network">'Value Reference Tables - MR'!$R$41</definedName>
    <definedName name="wld_az1_rack4_principal_storage_pg">'Value Reference Tables - MR'!$R$128</definedName>
    <definedName name="wld_az1_rack4_principal_storage_pool_end_ip">'Value Reference Tables - MR'!$R$168</definedName>
    <definedName name="wld_az1_rack4_principal_storage_pool_start_ip">'Value Reference Tables - MR'!$R$167</definedName>
    <definedName name="wld_az1_rack4_principal_storage_vlan">'Value Reference Tables - MR'!$R$11</definedName>
    <definedName name="wld_az1_rack4_reuse_vcf_networkpool_chosen">'Additional Racks'!$D$219</definedName>
    <definedName name="wld_az1_rack4_rtep_ip_pool_name">'Value Reference Tables - MR'!$R$189</definedName>
    <definedName name="wld_az1_rack4_rtep_overlay_cidr">'Value Reference Tables - MR'!$R$33</definedName>
    <definedName name="wld_az1_rack4_rtep_overlay_gateway_ip">'Value Reference Tables - MR'!$R$95</definedName>
    <definedName name="wld_az1_rack4_rtep_overlay_mtu">'Value Reference Tables - MR'!$R$79</definedName>
    <definedName name="wld_az1_rack4_rtep_overlay_pool_end_ip">'Value Reference Tables - MR'!$R$178</definedName>
    <definedName name="wld_az1_rack4_rtep_overlay_pool_start_ip">'Value Reference Tables - MR'!$R$177</definedName>
    <definedName name="wld_az1_rack4_rtep_overlay_vlan">'Value Reference Tables - MR'!$R$18</definedName>
    <definedName name="wld_az1_rack4_secondary_storage_cidr">'Value Reference Tables - MR'!$R$28</definedName>
    <definedName name="wld_az1_rack4_secondary_storage_gateway_cidr">'Value Reference Tables - MR'!$R$105</definedName>
    <definedName name="wld_az1_rack4_secondary_storage_gateway_ip">'Value Reference Tables - MR'!$R$90</definedName>
    <definedName name="wld_az1_rack4_secondary_storage_mask">'Value Reference Tables - MR'!$R$58</definedName>
    <definedName name="wld_az1_rack4_secondary_storage_mtu">'Value Reference Tables - MR'!$R$74</definedName>
    <definedName name="wld_az1_rack4_secondary_storage_network">'Value Reference Tables - MR'!$R$44</definedName>
    <definedName name="wld_az1_rack4_secondary_storage_pool_end_ip">'Value Reference Tables - MR'!$R$172</definedName>
    <definedName name="wld_az1_rack4_secondary_storage_pool_start_ip">'Value Reference Tables - MR'!$R$171</definedName>
    <definedName name="wld_az1_rack4_secondary_storage_vlan">'Value Reference Tables - MR'!$R$13</definedName>
    <definedName name="wld_az1_rack4_tor1_peer_asn">'Value Reference Tables - MR'!$R$117</definedName>
    <definedName name="wld_az1_rack4_tor1_peer_bgp_password">'Value Reference Tables - MR'!$R$118</definedName>
    <definedName name="wld_az1_rack4_tor1_peer_ip">'Value Reference Tables - MR'!$R$116</definedName>
    <definedName name="wld_az1_rack4_tor2_peer_asn">'Value Reference Tables - MR'!$R$120</definedName>
    <definedName name="wld_az1_rack4_tor2_peer_bgp_password">'Value Reference Tables - MR'!$R$121</definedName>
    <definedName name="wld_az1_rack4_tor2_peer_ip">'Value Reference Tables - MR'!$R$119</definedName>
    <definedName name="wld_az1_rack4_uplink01_cidr">'Value Reference Tables - MR'!$R$30</definedName>
    <definedName name="wld_az1_rack4_uplink01_gateway_cidr">'Value Reference Tables - MR'!$R$107</definedName>
    <definedName name="wld_az1_rack4_uplink01_gateway_ip">'Value Reference Tables - MR'!$R$92</definedName>
    <definedName name="wld_az1_rack4_uplink01_mask">'Value Reference Tables - MR'!$R$60</definedName>
    <definedName name="wld_az1_rack4_uplink01_mtu">'Value Reference Tables - MR'!$R$76</definedName>
    <definedName name="wld_az1_rack4_uplink01_network">'Value Reference Tables - MR'!$R$45</definedName>
    <definedName name="wld_az1_rack4_uplink01_pg">'Value Reference Tables - MR'!$R$129</definedName>
    <definedName name="wld_az1_rack4_uplink01_vlan">'Value Reference Tables - MR'!$R$15</definedName>
    <definedName name="wld_az1_rack4_uplink02_cidr">'Value Reference Tables - MR'!$R$31</definedName>
    <definedName name="wld_az1_rack4_uplink02_gateway_cidr">'Value Reference Tables - MR'!$R$108</definedName>
    <definedName name="wld_az1_rack4_uplink02_gateway_ip">'Value Reference Tables - MR'!$R$93</definedName>
    <definedName name="wld_az1_rack4_uplink02_mask">'Value Reference Tables - MR'!$R$61</definedName>
    <definedName name="wld_az1_rack4_uplink02_mtu">'Value Reference Tables - MR'!$R$77</definedName>
    <definedName name="wld_az1_rack4_uplink02_network">'Value Reference Tables - MR'!$R$46</definedName>
    <definedName name="wld_az1_rack4_uplink02_pg">'Value Reference Tables - MR'!$R$130</definedName>
    <definedName name="wld_az1_rack4_uplink02_vlan">'Value Reference Tables - MR'!$R$16</definedName>
    <definedName name="wld_az1_rack4_vmotion_cidr">'Value Reference Tables - MR'!$R$25</definedName>
    <definedName name="wld_az1_rack4_vmotion_gateway_cidr">'Value Reference Tables - MR'!$R$102</definedName>
    <definedName name="wld_az1_rack4_vmotion_gateway_ip">'Value Reference Tables - MR'!$R$87</definedName>
    <definedName name="wld_az1_rack4_vmotion_mask">'Value Reference Tables - MR'!$R$55</definedName>
    <definedName name="wld_az1_rack4_vmotion_mtu">'Value Reference Tables - MR'!$R$71</definedName>
    <definedName name="wld_az1_rack4_vmotion_network">'Value Reference Tables - MR'!$R$40</definedName>
    <definedName name="wld_az1_rack4_vmotion_pg">'Value Reference Tables - MR'!$R$127</definedName>
    <definedName name="wld_az1_rack4_vmotion_pool_end_ip">'Value Reference Tables - MR'!$R$166</definedName>
    <definedName name="wld_az1_rack4_vmotion_pool_start_ip">'Value Reference Tables - MR'!$R$165</definedName>
    <definedName name="wld_az1_rack4_vmotion_vlan">'Value Reference Tables - MR'!$R$10</definedName>
    <definedName name="wld_az1_rack4_vrms_cidr">'Value Reference Tables - MR'!$R$34</definedName>
    <definedName name="wld_az1_rack4_vrms_gateway_ip">'Value Reference Tables - MR'!$R$96</definedName>
    <definedName name="wld_az1_rack4_vrms_mtu">'Value Reference Tables - MR'!$R$80</definedName>
    <definedName name="wld_az1_rack4_vrms_vlan">'Value Reference Tables - MR'!$R$19</definedName>
    <definedName name="wld_az1_rack4_vsan_fault_domain">'Value Reference Tables - MR'!$R$190</definedName>
    <definedName name="wld_az1_rack5_edge_overlay_cidr">'Value Reference Tables - MR'!$U$32</definedName>
    <definedName name="wld_az1_rack5_edge_overlay_gateway_cidr">'Value Reference Tables - MR'!$U$109</definedName>
    <definedName name="wld_az1_rack5_edge_overlay_gateway_ip">'Value Reference Tables - MR'!$U$94</definedName>
    <definedName name="wld_az1_rack5_edge_overlay_mask">'Value Reference Tables - MR'!$U$62</definedName>
    <definedName name="wld_az1_rack5_edge_overlay_mtu">'Value Reference Tables - MR'!$U$78</definedName>
    <definedName name="wld_az1_rack5_edge_overlay_network">'Value Reference Tables - MR'!$U$47</definedName>
    <definedName name="wld_az1_rack5_edge_overlay_network_pool_name">'Value Reference Tables - MR'!$U$188</definedName>
    <definedName name="wld_az1_rack5_edge_overlay_pool_end_ip">'Value Reference Tables - MR'!$U$176</definedName>
    <definedName name="wld_az1_rack5_edge_overlay_pool_start_ip">'Value Reference Tables - MR'!$U$175</definedName>
    <definedName name="wld_az1_rack5_edge_overlay_vlan">'Value Reference Tables - MR'!$U$17</definedName>
    <definedName name="wld_az1_rack5_en1_edge_overlay_interface_ip_1_ip">'Value Reference Tables - MR'!$U$260</definedName>
    <definedName name="wld_az1_rack5_en1_edge_overlay_interface_ip_2_ip">'Value Reference Tables - MR'!$U$261</definedName>
    <definedName name="wld_az1_rack5_en1_fqdn">'Value Reference Tables - MR'!$U$256</definedName>
    <definedName name="wld_az1_rack5_en1_hostname">'Value Reference Tables - MR'!$U$255</definedName>
    <definedName name="wld_az1_rack5_en1_mgmt_ip">'Value Reference Tables - MR'!$U$257</definedName>
    <definedName name="wld_az1_rack5_en1_uplink01_interface_ip">'Value Reference Tables - MR'!$U$258</definedName>
    <definedName name="wld_az1_rack5_en1_uplink02_interface_ip">'Value Reference Tables - MR'!$U$259</definedName>
    <definedName name="wld_az1_rack5_en2_fqdn">'Value Reference Tables - MR'!$U$266</definedName>
    <definedName name="wld_az1_rack5_en2_hostname">'Value Reference Tables - MR'!$U$265</definedName>
    <definedName name="wld_az1_rack5_en2_mgmt_ip">'Value Reference Tables - MR'!$U$267</definedName>
    <definedName name="wld_az1_rack5_en2_uplink01_interface_ip">'Value Reference Tables - MR'!$U$268</definedName>
    <definedName name="wld_az1_rack5_en2_uplink02_interface_ip">'Value Reference Tables - MR'!$U$269</definedName>
    <definedName name="wld_az1_rack5_host_fqdns">'Value Reference Tables - MR'!$U$237:$U$252</definedName>
    <definedName name="wld_az1_rack5_host_hostnames">'Value Reference Tables - MR'!$U$218:$U$233</definedName>
    <definedName name="wld_az1_rack5_host_mgmt_ips">'Value Reference Tables - MR'!$U$199:$U$214</definedName>
    <definedName name="wld_az1_rack5_host_overlay_cidr">'Value Reference Tables - MR'!$U$27</definedName>
    <definedName name="wld_az1_rack5_host_overlay_gateway_cidr">'Value Reference Tables - MR'!$U$104</definedName>
    <definedName name="wld_az1_rack5_host_overlay_gateway_ip">'Value Reference Tables - MR'!$U$89</definedName>
    <definedName name="wld_az1_rack5_host_overlay_mask">'Value Reference Tables - MR'!$U$57</definedName>
    <definedName name="wld_az1_rack5_host_overlay_mtu">'Value Reference Tables - MR'!$U$73</definedName>
    <definedName name="wld_az1_rack5_host_overlay_network">'Value Reference Tables - MR'!$U$42</definedName>
    <definedName name="wld_az1_rack5_host_overlay_network_pool_name">'Value Reference Tables - MR'!$U$185</definedName>
    <definedName name="wld_az1_rack5_host_overlay_network_profile_name">'Value Reference Tables - MR'!$U$183</definedName>
    <definedName name="wld_az1_rack5_host_overlay_new_pool_chosen">'Additional Racks'!$D$358</definedName>
    <definedName name="wld_az1_rack5_host_overlay_pool_end_ip">'Value Reference Tables - MR'!$U$170</definedName>
    <definedName name="wld_az1_rack5_host_overlay_pool_start_ip">'Value Reference Tables - MR'!$U$169</definedName>
    <definedName name="wld_az1_rack5_host_overlay_uplink_profile_name">'Value Reference Tables - MR'!$U$187</definedName>
    <definedName name="wld_az1_rack5_host_overlay_vlan">'Value Reference Tables - MR'!$U$12</definedName>
    <definedName name="wld_az1_rack5_host1_fqdn">'Value Reference Tables - MR'!$U$237</definedName>
    <definedName name="wld_az1_rack5_host1_hostname">'Value Reference Tables - MR'!$U$218</definedName>
    <definedName name="wld_az1_rack5_host1_mgmt_ip">'Value Reference Tables - MR'!$U$199</definedName>
    <definedName name="wld_az1_rack5_host10_fqdn">'Value Reference Tables - MR'!$U$246</definedName>
    <definedName name="wld_az1_rack5_host10_hostname">'Value Reference Tables - MR'!$U$227</definedName>
    <definedName name="wld_az1_rack5_host10_mgmt_ip">'Value Reference Tables - MR'!$U$208</definedName>
    <definedName name="wld_az1_rack5_host11_fqdn">'Value Reference Tables - MR'!$U$247</definedName>
    <definedName name="wld_az1_rack5_host11_hostname">'Value Reference Tables - MR'!$U$228</definedName>
    <definedName name="wld_az1_rack5_host11_mgmt_ip">'Value Reference Tables - MR'!$U$209</definedName>
    <definedName name="wld_az1_rack5_host12_fqdn">'Value Reference Tables - MR'!$U$248</definedName>
    <definedName name="wld_az1_rack5_host12_hostname">'Value Reference Tables - MR'!$U$229</definedName>
    <definedName name="wld_az1_rack5_host12_mgmt_ip">'Value Reference Tables - MR'!$U$210</definedName>
    <definedName name="wld_az1_rack5_host13_fqdn">'Value Reference Tables - MR'!$U$249</definedName>
    <definedName name="wld_az1_rack5_host13_hostname">'Value Reference Tables - MR'!$U$230</definedName>
    <definedName name="wld_az1_rack5_host13_mgmt_ip">'Value Reference Tables - MR'!$U$211</definedName>
    <definedName name="wld_az1_rack5_host14_fqdn">'Value Reference Tables - MR'!$U$250</definedName>
    <definedName name="wld_az1_rack5_host14_hostname">'Value Reference Tables - MR'!$U$231</definedName>
    <definedName name="wld_az1_rack5_host14_mgmt_ip">'Value Reference Tables - MR'!$U$212</definedName>
    <definedName name="wld_az1_rack5_host15_fqdn">'Value Reference Tables - MR'!$U$251</definedName>
    <definedName name="wld_az1_rack5_host15_hostname">'Value Reference Tables - MR'!$U$232</definedName>
    <definedName name="wld_az1_rack5_host15_mgmt_ip">'Value Reference Tables - MR'!$U$213</definedName>
    <definedName name="wld_az1_rack5_host16_fqdn">'Value Reference Tables - MR'!$U$252</definedName>
    <definedName name="wld_az1_rack5_host16_hostname">'Value Reference Tables - MR'!$U$233</definedName>
    <definedName name="wld_az1_rack5_host16_mgmt_ip">'Value Reference Tables - MR'!$U$214</definedName>
    <definedName name="wld_az1_rack5_host2_fqdn">'Value Reference Tables - MR'!$U$238</definedName>
    <definedName name="wld_az1_rack5_host2_hostname">'Value Reference Tables - MR'!$U$219</definedName>
    <definedName name="wld_az1_rack5_host2_mgmt_ip">'Value Reference Tables - MR'!$U$200</definedName>
    <definedName name="wld_az1_rack5_host3_fqdn">'Value Reference Tables - MR'!$U$239</definedName>
    <definedName name="wld_az1_rack5_host3_hostname">'Value Reference Tables - MR'!$U$220</definedName>
    <definedName name="wld_az1_rack5_host3_mgmt_ip">'Value Reference Tables - MR'!$U$201</definedName>
    <definedName name="wld_az1_rack5_host4_fqdn">'Value Reference Tables - MR'!$U$240</definedName>
    <definedName name="wld_az1_rack5_host4_hostname">'Value Reference Tables - MR'!$U$221</definedName>
    <definedName name="wld_az1_rack5_host4_mgmt_ip">'Value Reference Tables - MR'!$U$202</definedName>
    <definedName name="wld_az1_rack5_host5_fqdn">'Value Reference Tables - MR'!$U$241</definedName>
    <definedName name="wld_az1_rack5_host5_hostname">'Value Reference Tables - MR'!$U$222</definedName>
    <definedName name="wld_az1_rack5_host5_mgmt_ip">'Value Reference Tables - MR'!$U$203</definedName>
    <definedName name="wld_az1_rack5_host6_fqdn">'Value Reference Tables - MR'!$U$242</definedName>
    <definedName name="wld_az1_rack5_host6_hostname">'Value Reference Tables - MR'!$U$223</definedName>
    <definedName name="wld_az1_rack5_host6_mgmt_ip">'Value Reference Tables - MR'!$U$204</definedName>
    <definedName name="wld_az1_rack5_host7_fqdn">'Value Reference Tables - MR'!$U$243</definedName>
    <definedName name="wld_az1_rack5_host7_hostname">'Value Reference Tables - MR'!$U$224</definedName>
    <definedName name="wld_az1_rack5_host7_mgmt_ip">'Value Reference Tables - MR'!$U$205</definedName>
    <definedName name="wld_az1_rack5_host8_fqdn">'Value Reference Tables - MR'!$U$244</definedName>
    <definedName name="wld_az1_rack5_host8_hostname">'Value Reference Tables - MR'!$U$225</definedName>
    <definedName name="wld_az1_rack5_host8_mgmt_ip">'Value Reference Tables - MR'!$U$206</definedName>
    <definedName name="wld_az1_rack5_host9_fqdn">'Value Reference Tables - MR'!$U$245</definedName>
    <definedName name="wld_az1_rack5_host9_hostname">'Value Reference Tables - MR'!$U$226</definedName>
    <definedName name="wld_az1_rack5_host9_mgmt_ip">'Value Reference Tables - MR'!$U$207</definedName>
    <definedName name="wld_az1_rack5_mgmt_cidr">'Value Reference Tables - MR'!$U$24</definedName>
    <definedName name="wld_az1_rack5_mgmt_gateway_cidr">'Value Reference Tables - MR'!$U$101</definedName>
    <definedName name="wld_az1_rack5_mgmt_gateway_ip">'Value Reference Tables - MR'!$U$86</definedName>
    <definedName name="wld_az1_rack5_mgmt_mask">'Value Reference Tables - MR'!$U$195</definedName>
    <definedName name="wld_az1_rack5_mgmt_mtu">'Value Reference Tables - MR'!$U$70</definedName>
    <definedName name="wld_az1_rack5_mgmt_network">'Value Reference Tables - MR'!$U$39</definedName>
    <definedName name="wld_az1_rack5_mgmt_pg">'Value Reference Tables - MR'!$U$126</definedName>
    <definedName name="wld_az1_rack5_mgmt_vlan">'Value Reference Tables - MR'!$U$9</definedName>
    <definedName name="wld_az1_rack5_mgmt_vm_cidr">'Value Reference Tables - MR'!$U$23</definedName>
    <definedName name="wld_az1_rack5_mgmt_vm_gateway_cidr">'Value Reference Tables - MR'!$U$100</definedName>
    <definedName name="wld_az1_rack5_mgmt_vm_gateway_ip">'Value Reference Tables - MR'!$U$85</definedName>
    <definedName name="wld_az1_rack5_mgmt_vm_mask">'Value Reference Tables - MR'!$U$194</definedName>
    <definedName name="wld_az1_rack5_mgmt_vm_mtu">'Value Reference Tables - MR'!$U$69</definedName>
    <definedName name="wld_az1_rack5_mgmt_vm_pg">'Value Reference Tables - MR'!$U$125</definedName>
    <definedName name="wld_az1_rack5_mgmt_vm_vlan">'Value Reference Tables - MR'!$U$8</definedName>
    <definedName name="wld_az1_rack5_pool_name">'Value Reference Tables - MR'!$U$182</definedName>
    <definedName name="wld_az1_rack5_principal_storage_cidr">'Value Reference Tables - MR'!$U$26</definedName>
    <definedName name="wld_az1_rack5_principal_storage_gateway_cidr">'Value Reference Tables - MR'!$U$103</definedName>
    <definedName name="wld_az1_rack5_principal_storage_gateway_ip">'Value Reference Tables - MR'!$U$88</definedName>
    <definedName name="wld_az1_rack5_principal_storage_mask">'Value Reference Tables - MR'!$U$56</definedName>
    <definedName name="wld_az1_rack5_principal_storage_mtu">'Value Reference Tables - MR'!$U$72</definedName>
    <definedName name="wld_az1_rack5_principal_storage_network">'Value Reference Tables - MR'!$U$41</definedName>
    <definedName name="wld_az1_rack5_principal_storage_pg">'Value Reference Tables - MR'!$U$128</definedName>
    <definedName name="wld_az1_rack5_principal_storage_pool_end_ip">'Value Reference Tables - MR'!$U$168</definedName>
    <definedName name="wld_az1_rack5_principal_storage_pool_start_ip">'Value Reference Tables - MR'!$U$167</definedName>
    <definedName name="wld_az1_rack5_principal_storage_vlan">'Value Reference Tables - MR'!$U$11</definedName>
    <definedName name="wld_az1_rack5_reuse_vcf_networkpool_chosen">'Additional Racks'!$D$312</definedName>
    <definedName name="wld_az1_rack5_rtep_ip_pool_name">'Value Reference Tables - MR'!$U$189</definedName>
    <definedName name="wld_az1_rack5_rtep_overlay_cidr">'Value Reference Tables - MR'!$U$33</definedName>
    <definedName name="wld_az1_rack5_rtep_overlay_gateway_ip">'Value Reference Tables - MR'!$U$95</definedName>
    <definedName name="wld_az1_rack5_rtep_overlay_mtu">'Value Reference Tables - MR'!$U$79</definedName>
    <definedName name="wld_az1_rack5_rtep_overlay_pool_end_ip">'Value Reference Tables - MR'!$U$178</definedName>
    <definedName name="wld_az1_rack5_rtep_overlay_pool_start_ip">'Value Reference Tables - MR'!$U$177</definedName>
    <definedName name="wld_az1_rack5_rtep_overlay_vlan">'Value Reference Tables - MR'!$U$18</definedName>
    <definedName name="wld_az1_rack5_secondary_storage_cidr">'Value Reference Tables - MR'!$U$28</definedName>
    <definedName name="wld_az1_rack5_secondary_storage_gateway_cidr">'Value Reference Tables - MR'!$U$105</definedName>
    <definedName name="wld_az1_rack5_secondary_storage_gateway_ip">'Value Reference Tables - MR'!$U$90</definedName>
    <definedName name="wld_az1_rack5_secondary_storage_mask">'Value Reference Tables - MR'!$U$58</definedName>
    <definedName name="wld_az1_rack5_secondary_storage_mtu">'Value Reference Tables - MR'!$U$74</definedName>
    <definedName name="wld_az1_rack5_secondary_storage_network">'Value Reference Tables - MR'!$U$44</definedName>
    <definedName name="wld_az1_rack5_secondary_storage_pool_end_ip">'Value Reference Tables - MR'!$U$172</definedName>
    <definedName name="wld_az1_rack5_secondary_storage_pool_start_ip">'Value Reference Tables - MR'!$U$171</definedName>
    <definedName name="wld_az1_rack5_secondary_storage_vlan">'Value Reference Tables - MR'!$U$13</definedName>
    <definedName name="wld_az1_rack5_tor1_peer_asn">'Value Reference Tables - MR'!$U$117</definedName>
    <definedName name="wld_az1_rack5_tor1_peer_bgp_password">'Value Reference Tables - MR'!$U$118</definedName>
    <definedName name="wld_az1_rack5_tor1_peer_ip">'Value Reference Tables - MR'!$U$116</definedName>
    <definedName name="wld_az1_rack5_tor2_peer_asn">'Value Reference Tables - MR'!$U$120</definedName>
    <definedName name="wld_az1_rack5_tor2_peer_bgp_password">'Value Reference Tables - MR'!$U$121</definedName>
    <definedName name="wld_az1_rack5_tor2_peer_ip">'Value Reference Tables - MR'!$U$119</definedName>
    <definedName name="wld_az1_rack5_uplink01_cidr">'Value Reference Tables - MR'!$U$30</definedName>
    <definedName name="wld_az1_rack5_uplink01_gateway_cidr">'Value Reference Tables - MR'!$U$107</definedName>
    <definedName name="wld_az1_rack5_uplink01_gateway_ip">'Value Reference Tables - MR'!$U$92</definedName>
    <definedName name="wld_az1_rack5_uplink01_mask">'Value Reference Tables - MR'!$U$60</definedName>
    <definedName name="wld_az1_rack5_uplink01_mtu">'Value Reference Tables - MR'!$U$76</definedName>
    <definedName name="wld_az1_rack5_uplink01_network">'Value Reference Tables - MR'!$U$45</definedName>
    <definedName name="wld_az1_rack5_uplink01_pg">'Value Reference Tables - MR'!$U$129</definedName>
    <definedName name="wld_az1_rack5_uplink01_vlan">'Value Reference Tables - MR'!$U$15</definedName>
    <definedName name="wld_az1_rack5_uplink02_cidr">'Value Reference Tables - MR'!$U$31</definedName>
    <definedName name="wld_az1_rack5_uplink02_gateway_cidr">'Value Reference Tables - MR'!$U$108</definedName>
    <definedName name="wld_az1_rack5_uplink02_gateway_ip">'Value Reference Tables - MR'!$U$93</definedName>
    <definedName name="wld_az1_rack5_uplink02_mask">'Value Reference Tables - MR'!$U$61</definedName>
    <definedName name="wld_az1_rack5_uplink02_mtu">'Value Reference Tables - MR'!$U$77</definedName>
    <definedName name="wld_az1_rack5_uplink02_network">'Value Reference Tables - MR'!$U$46</definedName>
    <definedName name="wld_az1_rack5_uplink02_pg">'Value Reference Tables - MR'!$U$130</definedName>
    <definedName name="wld_az1_rack5_uplink02_vlan">'Value Reference Tables - MR'!$U$16</definedName>
    <definedName name="wld_az1_rack5_vmotion_cidr">'Value Reference Tables - MR'!$U$25</definedName>
    <definedName name="wld_az1_rack5_vmotion_gateway_cidr">'Value Reference Tables - MR'!$U$102</definedName>
    <definedName name="wld_az1_rack5_vmotion_gateway_ip">'Value Reference Tables - MR'!$U$87</definedName>
    <definedName name="wld_az1_rack5_vmotion_mask">'Value Reference Tables - MR'!$U$55</definedName>
    <definedName name="wld_az1_rack5_vmotion_mtu">'Value Reference Tables - MR'!$U$71</definedName>
    <definedName name="wld_az1_rack5_vmotion_network">'Value Reference Tables - MR'!$U$40</definedName>
    <definedName name="wld_az1_rack5_vmotion_pg">'Value Reference Tables - MR'!$U$127</definedName>
    <definedName name="wld_az1_rack5_vmotion_pool_end_ip">'Value Reference Tables - MR'!$U$166</definedName>
    <definedName name="wld_az1_rack5_vmotion_pool_start_ip">'Value Reference Tables - MR'!$U$165</definedName>
    <definedName name="wld_az1_rack5_vmotion_vlan">'Value Reference Tables - MR'!$U$10</definedName>
    <definedName name="wld_az1_rack5_vrms_cidr">'Value Reference Tables - MR'!$U$34</definedName>
    <definedName name="wld_az1_rack5_vrms_gateway_ip">'Value Reference Tables - MR'!$U$96</definedName>
    <definedName name="wld_az1_rack5_vrms_mtu">'Value Reference Tables - MR'!$U$80</definedName>
    <definedName name="wld_az1_rack5_vrms_vlan">'Value Reference Tables - MR'!$U$19</definedName>
    <definedName name="wld_az1_rack5_vsan_fault_domain">'Value Reference Tables - MR'!$U$190</definedName>
    <definedName name="wld_az1_rack6_edge_overlay_cidr">'Value Reference Tables - MR'!$X$32</definedName>
    <definedName name="wld_az1_rack6_edge_overlay_gateway_cidr">'Value Reference Tables - MR'!$X$109</definedName>
    <definedName name="wld_az1_rack6_edge_overlay_gateway_ip">'Value Reference Tables - MR'!$X$94</definedName>
    <definedName name="wld_az1_rack6_edge_overlay_mask">'Value Reference Tables - MR'!$X$62</definedName>
    <definedName name="wld_az1_rack6_edge_overlay_mtu">'Value Reference Tables - MR'!$X$78</definedName>
    <definedName name="wld_az1_rack6_edge_overlay_network">'Value Reference Tables - MR'!$X$47</definedName>
    <definedName name="wld_az1_rack6_edge_overlay_network_pool_name">'Value Reference Tables - MR'!$X$188</definedName>
    <definedName name="wld_az1_rack6_edge_overlay_pool_end_ip">'Value Reference Tables - MR'!$X$176</definedName>
    <definedName name="wld_az1_rack6_edge_overlay_pool_start_ip">'Value Reference Tables - MR'!$X$175</definedName>
    <definedName name="wld_az1_rack6_edge_overlay_vlan">'Value Reference Tables - MR'!$X$17</definedName>
    <definedName name="wld_az1_rack6_en1_edge_overlay_interface_ip_1_ip">'Value Reference Tables - MR'!$X$260</definedName>
    <definedName name="wld_az1_rack6_en1_edge_overlay_interface_ip_2_ip">'Value Reference Tables - MR'!$X$261</definedName>
    <definedName name="wld_az1_rack6_en1_fqdn">'Value Reference Tables - MR'!$X$256</definedName>
    <definedName name="wld_az1_rack6_en1_hostname">'Value Reference Tables - MR'!$X$255</definedName>
    <definedName name="wld_az1_rack6_en1_mgmt_ip">'Value Reference Tables - MR'!$X$257</definedName>
    <definedName name="wld_az1_rack6_en1_uplink01_interface_ip">'Value Reference Tables - MR'!$X$258</definedName>
    <definedName name="wld_az1_rack6_en1_uplink02_interface_ip">'Value Reference Tables - MR'!$X$259</definedName>
    <definedName name="wld_az1_rack6_en2_fqdn">'Value Reference Tables - MR'!$X$266</definedName>
    <definedName name="wld_az1_rack6_en2_hostname">'Value Reference Tables - MR'!$X$265</definedName>
    <definedName name="wld_az1_rack6_en2_mgmt_ip">'Value Reference Tables - MR'!$X$267</definedName>
    <definedName name="wld_az1_rack6_en2_uplink01_interface_ip">'Value Reference Tables - MR'!$X$268</definedName>
    <definedName name="wld_az1_rack6_en2_uplink02_interface_ip">'Value Reference Tables - MR'!$X$269</definedName>
    <definedName name="wld_az1_rack6_host_fqdns">'Value Reference Tables - MR'!$X$237:$X$252</definedName>
    <definedName name="wld_az1_rack6_host_hostnames">'Value Reference Tables - MR'!$X$218:$X$233</definedName>
    <definedName name="wld_az1_rack6_host_mgmt_ips">'Value Reference Tables - MR'!$X$199:$X$214</definedName>
    <definedName name="wld_az1_rack6_host_overlay_cidr">'Value Reference Tables - MR'!$X$27</definedName>
    <definedName name="wld_az1_rack6_host_overlay_gateway_cidr">'Value Reference Tables - MR'!$X$104</definedName>
    <definedName name="wld_az1_rack6_host_overlay_gateway_ip">'Value Reference Tables - MR'!$X$89</definedName>
    <definedName name="wld_az1_rack6_host_overlay_mask">'Value Reference Tables - MR'!$X$57</definedName>
    <definedName name="wld_az1_rack6_host_overlay_mtu">'Value Reference Tables - MR'!$X$73</definedName>
    <definedName name="wld_az1_rack6_host_overlay_network">'Value Reference Tables - MR'!$X$42</definedName>
    <definedName name="wld_az1_rack6_host_overlay_network_pool_name">'Value Reference Tables - MR'!$X$185</definedName>
    <definedName name="wld_az1_rack6_host_overlay_network_profile_name">'Value Reference Tables - MR'!$X$183</definedName>
    <definedName name="wld_az1_rack6_host_overlay_new_pool_chosen">'Additional Racks'!$D$451</definedName>
    <definedName name="wld_az1_rack6_host_overlay_pool_end_ip">'Value Reference Tables - MR'!$X$170</definedName>
    <definedName name="wld_az1_rack6_host_overlay_pool_start_ip">'Value Reference Tables - MR'!$X$169</definedName>
    <definedName name="wld_az1_rack6_host_overlay_uplink_profile_name">'Value Reference Tables - MR'!$X$187</definedName>
    <definedName name="wld_az1_rack6_host_overlay_vlan">'Value Reference Tables - MR'!$X$12</definedName>
    <definedName name="wld_az1_rack6_host1_fqdn">'Value Reference Tables - MR'!$X$237</definedName>
    <definedName name="wld_az1_rack6_host1_hostname">'Value Reference Tables - MR'!$X$218</definedName>
    <definedName name="wld_az1_rack6_host1_mgmt_ip">'Value Reference Tables - MR'!$X$199</definedName>
    <definedName name="wld_az1_rack6_host10_fqdn">'Value Reference Tables - MR'!$X$246</definedName>
    <definedName name="wld_az1_rack6_host10_hostname">'Value Reference Tables - MR'!$X$227</definedName>
    <definedName name="wld_az1_rack6_host10_mgmt_ip">'Value Reference Tables - MR'!$X$208</definedName>
    <definedName name="wld_az1_rack6_host11_fqdn">'Value Reference Tables - MR'!$X$247</definedName>
    <definedName name="wld_az1_rack6_host11_hostname">'Value Reference Tables - MR'!$X$228</definedName>
    <definedName name="wld_az1_rack6_host11_mgmt_ip">'Value Reference Tables - MR'!$X$209</definedName>
    <definedName name="wld_az1_rack6_host12_fqdn">'Value Reference Tables - MR'!$X$248</definedName>
    <definedName name="wld_az1_rack6_host12_hostname">'Value Reference Tables - MR'!$X$229</definedName>
    <definedName name="wld_az1_rack6_host12_mgmt_ip">'Value Reference Tables - MR'!$X$210</definedName>
    <definedName name="wld_az1_rack6_host13_fqdn">'Value Reference Tables - MR'!$X$249</definedName>
    <definedName name="wld_az1_rack6_host13_hostname">'Value Reference Tables - MR'!$X$230</definedName>
    <definedName name="wld_az1_rack6_host13_mgmt_ip">'Value Reference Tables - MR'!$X$211</definedName>
    <definedName name="wld_az1_rack6_host14_fqdn">'Value Reference Tables - MR'!$X$250</definedName>
    <definedName name="wld_az1_rack6_host14_hostname">'Value Reference Tables - MR'!$X$231</definedName>
    <definedName name="wld_az1_rack6_host14_mgmt_ip">'Value Reference Tables - MR'!$X$212</definedName>
    <definedName name="wld_az1_rack6_host15_fqdn">'Value Reference Tables - MR'!$X$251</definedName>
    <definedName name="wld_az1_rack6_host15_hostname">'Value Reference Tables - MR'!$X$232</definedName>
    <definedName name="wld_az1_rack6_host15_mgmt_ip">'Value Reference Tables - MR'!$X$213</definedName>
    <definedName name="wld_az1_rack6_host16_fqdn">'Value Reference Tables - MR'!$X$252</definedName>
    <definedName name="wld_az1_rack6_host16_hostname">'Value Reference Tables - MR'!$X$233</definedName>
    <definedName name="wld_az1_rack6_host16_mgmt_ip">'Value Reference Tables - MR'!$X$214</definedName>
    <definedName name="wld_az1_rack6_host2_fqdn">'Value Reference Tables - MR'!$X$238</definedName>
    <definedName name="wld_az1_rack6_host2_hostname">'Value Reference Tables - MR'!$X$219</definedName>
    <definedName name="wld_az1_rack6_host2_mgmt_ip">'Value Reference Tables - MR'!$X$200</definedName>
    <definedName name="wld_az1_rack6_host3_fqdn">'Value Reference Tables - MR'!$X$239</definedName>
    <definedName name="wld_az1_rack6_host3_hostname">'Value Reference Tables - MR'!$X$220</definedName>
    <definedName name="wld_az1_rack6_host3_mgmt_ip">'Value Reference Tables - MR'!$X$201</definedName>
    <definedName name="wld_az1_rack6_host4_fqdn">'Value Reference Tables - MR'!$X$240</definedName>
    <definedName name="wld_az1_rack6_host4_hostname">'Value Reference Tables - MR'!$X$221</definedName>
    <definedName name="wld_az1_rack6_host4_mgmt_ip">'Value Reference Tables - MR'!$X$202</definedName>
    <definedName name="wld_az1_rack6_host5_fqdn">'Value Reference Tables - MR'!$X$241</definedName>
    <definedName name="wld_az1_rack6_host5_hostname">'Value Reference Tables - MR'!$X$222</definedName>
    <definedName name="wld_az1_rack6_host5_mgmt_ip">'Value Reference Tables - MR'!$X$203</definedName>
    <definedName name="wld_az1_rack6_host6_fqdn">'Value Reference Tables - MR'!$X$242</definedName>
    <definedName name="wld_az1_rack6_host6_hostname">'Value Reference Tables - MR'!$X$223</definedName>
    <definedName name="wld_az1_rack6_host6_mgmt_ip">'Value Reference Tables - MR'!$X$204</definedName>
    <definedName name="wld_az1_rack6_host7_fqdn">'Value Reference Tables - MR'!$X$243</definedName>
    <definedName name="wld_az1_rack6_host7_hostname">'Value Reference Tables - MR'!$X$224</definedName>
    <definedName name="wld_az1_rack6_host7_mgmt_ip">'Value Reference Tables - MR'!$X$205</definedName>
    <definedName name="wld_az1_rack6_host8_fqdn">'Value Reference Tables - MR'!$X$244</definedName>
    <definedName name="wld_az1_rack6_host8_hostname">'Value Reference Tables - MR'!$X$225</definedName>
    <definedName name="wld_az1_rack6_host8_mgmt_ip">'Value Reference Tables - MR'!$X$206</definedName>
    <definedName name="wld_az1_rack6_host9_fqdn">'Value Reference Tables - MR'!$X$245</definedName>
    <definedName name="wld_az1_rack6_host9_hostname">'Value Reference Tables - MR'!$X$226</definedName>
    <definedName name="wld_az1_rack6_host9_mgmt_ip">'Value Reference Tables - MR'!$X$207</definedName>
    <definedName name="wld_az1_rack6_mgmt_cidr">'Value Reference Tables - MR'!$X$24</definedName>
    <definedName name="wld_az1_rack6_mgmt_gateway_cidr">'Value Reference Tables - MR'!$X$101</definedName>
    <definedName name="wld_az1_rack6_mgmt_gateway_ip">'Value Reference Tables - MR'!$X$86</definedName>
    <definedName name="wld_az1_rack6_mgmt_mask">'Value Reference Tables - MR'!$X$195</definedName>
    <definedName name="wld_az1_rack6_mgmt_mtu">'Value Reference Tables - MR'!$X$70</definedName>
    <definedName name="wld_az1_rack6_mgmt_network">'Value Reference Tables - MR'!$X$39</definedName>
    <definedName name="wld_az1_rack6_mgmt_pg">'Value Reference Tables - MR'!$X$126</definedName>
    <definedName name="wld_az1_rack6_mgmt_vlan">'Value Reference Tables - MR'!$X$9</definedName>
    <definedName name="wld_az1_rack6_mgmt_vm_cidr">'Value Reference Tables - MR'!$X$23</definedName>
    <definedName name="wld_az1_rack6_mgmt_vm_gateway_cidr">'Value Reference Tables - MR'!$X$100</definedName>
    <definedName name="wld_az1_rack6_mgmt_vm_gateway_ip">'Value Reference Tables - MR'!$X$85</definedName>
    <definedName name="wld_az1_rack6_mgmt_vm_mask">'Value Reference Tables - MR'!$X$194</definedName>
    <definedName name="wld_az1_rack6_mgmt_vm_mtu">'Value Reference Tables - MR'!$X$69</definedName>
    <definedName name="wld_az1_rack6_mgmt_vm_pg">'Value Reference Tables - MR'!$X$125</definedName>
    <definedName name="wld_az1_rack6_mgmt_vm_vlan">'Value Reference Tables - MR'!$X$8</definedName>
    <definedName name="wld_az1_rack6_pool_name">'Value Reference Tables - MR'!$X$182</definedName>
    <definedName name="wld_az1_rack6_principal_storage_cidr">'Value Reference Tables - MR'!$X$26</definedName>
    <definedName name="wld_az1_rack6_principal_storage_gateway_cidr">'Value Reference Tables - MR'!$X$103</definedName>
    <definedName name="wld_az1_rack6_principal_storage_gateway_ip">'Value Reference Tables - MR'!$X$88</definedName>
    <definedName name="wld_az1_rack6_principal_storage_mask">'Value Reference Tables - MR'!$X$56</definedName>
    <definedName name="wld_az1_rack6_principal_storage_mtu">'Value Reference Tables - MR'!$X$72</definedName>
    <definedName name="wld_az1_rack6_principal_storage_network">'Value Reference Tables - MR'!$X$41</definedName>
    <definedName name="wld_az1_rack6_principal_storage_pg">'Value Reference Tables - MR'!$X$128</definedName>
    <definedName name="wld_az1_rack6_principal_storage_pool_end_ip">'Value Reference Tables - MR'!$X$168</definedName>
    <definedName name="wld_az1_rack6_principal_storage_pool_start_ip">'Value Reference Tables - MR'!$X$167</definedName>
    <definedName name="wld_az1_rack6_principal_storage_vlan">'Value Reference Tables - MR'!$X$11</definedName>
    <definedName name="wld_az1_rack6_reuse_vcf_networkpool_chosen">'Additional Racks'!$D$405</definedName>
    <definedName name="wld_az1_rack6_rtep_ip_pool_name">'Value Reference Tables - MR'!$X$189</definedName>
    <definedName name="wld_az1_rack6_rtep_overlay_cidr">'Value Reference Tables - MR'!$X$33</definedName>
    <definedName name="wld_az1_rack6_rtep_overlay_gateway_ip">'Value Reference Tables - MR'!$X$95</definedName>
    <definedName name="wld_az1_rack6_rtep_overlay_mtu">'Value Reference Tables - MR'!$X$79</definedName>
    <definedName name="wld_az1_rack6_rtep_overlay_pool_end_ip">'Value Reference Tables - MR'!$X$178</definedName>
    <definedName name="wld_az1_rack6_rtep_overlay_pool_start_ip">'Value Reference Tables - MR'!$X$177</definedName>
    <definedName name="wld_az1_rack6_rtep_overlay_vlan">'Value Reference Tables - MR'!$X$18</definedName>
    <definedName name="wld_az1_rack6_secondary_storage_cidr">'Value Reference Tables - MR'!$X$28</definedName>
    <definedName name="wld_az1_rack6_secondary_storage_gateway_cidr">'Value Reference Tables - MR'!$X$105</definedName>
    <definedName name="wld_az1_rack6_secondary_storage_gateway_ip">'Value Reference Tables - MR'!$X$90</definedName>
    <definedName name="wld_az1_rack6_secondary_storage_mask">'Value Reference Tables - MR'!$X$58</definedName>
    <definedName name="wld_az1_rack6_secondary_storage_mtu">'Value Reference Tables - MR'!$X$74</definedName>
    <definedName name="wld_az1_rack6_secondary_storage_network">'Value Reference Tables - MR'!$X$44</definedName>
    <definedName name="wld_az1_rack6_secondary_storage_pool_end_ip">'Value Reference Tables - MR'!$X$172</definedName>
    <definedName name="wld_az1_rack6_secondary_storage_pool_start_ip">'Value Reference Tables - MR'!$X$171</definedName>
    <definedName name="wld_az1_rack6_secondary_storage_vlan">'Value Reference Tables - MR'!$X$13</definedName>
    <definedName name="wld_az1_rack6_tor1_peer_asn">'Value Reference Tables - MR'!$X$117</definedName>
    <definedName name="wld_az1_rack6_tor1_peer_bgp_password">'Value Reference Tables - MR'!$X$118</definedName>
    <definedName name="wld_az1_rack6_tor1_peer_ip">'Value Reference Tables - MR'!$X$116</definedName>
    <definedName name="wld_az1_rack6_tor2_peer_asn">'Value Reference Tables - MR'!$X$120</definedName>
    <definedName name="wld_az1_rack6_tor2_peer_bgp_password">'Value Reference Tables - MR'!$X$121</definedName>
    <definedName name="wld_az1_rack6_tor2_peer_ip">'Value Reference Tables - MR'!$X$119</definedName>
    <definedName name="wld_az1_rack6_uplink01_cidr">'Value Reference Tables - MR'!$X$30</definedName>
    <definedName name="wld_az1_rack6_uplink01_gateway_cidr">'Value Reference Tables - MR'!$X$107</definedName>
    <definedName name="wld_az1_rack6_uplink01_gateway_ip">'Value Reference Tables - MR'!$X$92</definedName>
    <definedName name="wld_az1_rack6_uplink01_mask">'Value Reference Tables - MR'!$X$60</definedName>
    <definedName name="wld_az1_rack6_uplink01_mtu">'Value Reference Tables - MR'!$X$76</definedName>
    <definedName name="wld_az1_rack6_uplink01_network">'Value Reference Tables - MR'!$X$45</definedName>
    <definedName name="wld_az1_rack6_uplink01_pg">'Value Reference Tables - MR'!$X$129</definedName>
    <definedName name="wld_az1_rack6_uplink01_vlan">'Value Reference Tables - MR'!$X$15</definedName>
    <definedName name="wld_az1_rack6_uplink02_cidr">'Value Reference Tables - MR'!$X$31</definedName>
    <definedName name="wld_az1_rack6_uplink02_gateway_cidr">'Value Reference Tables - MR'!$X$108</definedName>
    <definedName name="wld_az1_rack6_uplink02_gateway_ip">'Value Reference Tables - MR'!$X$93</definedName>
    <definedName name="wld_az1_rack6_uplink02_mask">'Value Reference Tables - MR'!$X$61</definedName>
    <definedName name="wld_az1_rack6_uplink02_mtu">'Value Reference Tables - MR'!$X$77</definedName>
    <definedName name="wld_az1_rack6_uplink02_network">'Value Reference Tables - MR'!$X$46</definedName>
    <definedName name="wld_az1_rack6_uplink02_pg">'Value Reference Tables - MR'!$X$130</definedName>
    <definedName name="wld_az1_rack6_uplink02_vlan">'Value Reference Tables - MR'!$X$16</definedName>
    <definedName name="wld_az1_rack6_vmotion_cidr">'Value Reference Tables - MR'!$X$25</definedName>
    <definedName name="wld_az1_rack6_vmotion_gateway_cidr">'Value Reference Tables - MR'!$X$102</definedName>
    <definedName name="wld_az1_rack6_vmotion_gateway_ip">'Value Reference Tables - MR'!$X$87</definedName>
    <definedName name="wld_az1_rack6_vmotion_mask">'Value Reference Tables - MR'!$X$55</definedName>
    <definedName name="wld_az1_rack6_vmotion_mtu">'Value Reference Tables - MR'!$X$71</definedName>
    <definedName name="wld_az1_rack6_vmotion_network">'Value Reference Tables - MR'!$X$40</definedName>
    <definedName name="wld_az1_rack6_vmotion_pg">'Value Reference Tables - MR'!$X$127</definedName>
    <definedName name="wld_az1_rack6_vmotion_pool_end_ip">'Value Reference Tables - MR'!$X$166</definedName>
    <definedName name="wld_az1_rack6_vmotion_pool_start_ip">'Value Reference Tables - MR'!$X$165</definedName>
    <definedName name="wld_az1_rack6_vmotion_vlan">'Value Reference Tables - MR'!$X$10</definedName>
    <definedName name="wld_az1_rack6_vrms_cidr">'Value Reference Tables - MR'!$X$34</definedName>
    <definedName name="wld_az1_rack6_vrms_gateway_ip">'Value Reference Tables - MR'!$X$96</definedName>
    <definedName name="wld_az1_rack6_vrms_mtu">'Value Reference Tables - MR'!$X$80</definedName>
    <definedName name="wld_az1_rack6_vrms_vlan">'Value Reference Tables - MR'!$X$19</definedName>
    <definedName name="wld_az1_rack6_vsan_fault_domain">'Value Reference Tables - MR'!$X$190</definedName>
    <definedName name="wld_az1_rack7_edge_overlay_cidr">'Value Reference Tables - MR'!$AA$32</definedName>
    <definedName name="wld_az1_rack7_edge_overlay_gateway_cidr">'Value Reference Tables - MR'!$AA$109</definedName>
    <definedName name="wld_az1_rack7_edge_overlay_gateway_ip">'Value Reference Tables - MR'!$AA$94</definedName>
    <definedName name="wld_az1_rack7_edge_overlay_mask">'Value Reference Tables - MR'!$AA$62</definedName>
    <definedName name="wld_az1_rack7_edge_overlay_mtu">'Value Reference Tables - MR'!$AA$78</definedName>
    <definedName name="wld_az1_rack7_edge_overlay_network">'Value Reference Tables - MR'!$AA$47</definedName>
    <definedName name="wld_az1_rack7_edge_overlay_network_pool_name">'Value Reference Tables - MR'!$AA$188</definedName>
    <definedName name="wld_az1_rack7_edge_overlay_pool_end_ip">'Value Reference Tables - MR'!$AA$176</definedName>
    <definedName name="wld_az1_rack7_edge_overlay_pool_start_ip">'Value Reference Tables - MR'!$AA$175</definedName>
    <definedName name="wld_az1_rack7_edge_overlay_vlan">'Value Reference Tables - MR'!$AA$17</definedName>
    <definedName name="wld_az1_rack7_en1_edge_overlay_interface_ip_1_ip">'Value Reference Tables - MR'!$AA$260</definedName>
    <definedName name="wld_az1_rack7_en1_edge_overlay_interface_ip_2_ip">'Value Reference Tables - MR'!$AA$261</definedName>
    <definedName name="wld_az1_rack7_en1_fqdn">'Value Reference Tables - MR'!$AA$256</definedName>
    <definedName name="wld_az1_rack7_en1_hostname">'Value Reference Tables - MR'!$AA$255</definedName>
    <definedName name="wld_az1_rack7_en1_mgmt_ip">'Value Reference Tables - MR'!$AA$257</definedName>
    <definedName name="wld_az1_rack7_en1_uplink01_interface_ip">'Value Reference Tables - MR'!$AA$258</definedName>
    <definedName name="wld_az1_rack7_en1_uplink02_interface_ip">'Value Reference Tables - MR'!$AA$259</definedName>
    <definedName name="wld_az1_rack7_en2_fqdn">'Value Reference Tables - MR'!$AA$266</definedName>
    <definedName name="wld_az1_rack7_en2_hostname">'Value Reference Tables - MR'!$AA$265</definedName>
    <definedName name="wld_az1_rack7_en2_mgmt_ip">'Value Reference Tables - MR'!$AA$267</definedName>
    <definedName name="wld_az1_rack7_en2_uplink01_interface_ip">'Value Reference Tables - MR'!$AA$268</definedName>
    <definedName name="wld_az1_rack7_en2_uplink02_interface_ip">'Value Reference Tables - MR'!$AA$269</definedName>
    <definedName name="wld_az1_rack7_host_fqdns">'Value Reference Tables - MR'!$AA$237:$AA$252</definedName>
    <definedName name="wld_az1_rack7_host_hostnames">'Value Reference Tables - MR'!$AA$218:$AA$233</definedName>
    <definedName name="wld_az1_rack7_host_mgmt_ips">'Value Reference Tables - MR'!$AA$199:$AA$214</definedName>
    <definedName name="wld_az1_rack7_host_overlay_cidr">'Value Reference Tables - MR'!$AA$27</definedName>
    <definedName name="wld_az1_rack7_host_overlay_gateway_cidr">'Value Reference Tables - MR'!$AA$104</definedName>
    <definedName name="wld_az1_rack7_host_overlay_gateway_ip">'Value Reference Tables - MR'!$AA$89</definedName>
    <definedName name="wld_az1_rack7_host_overlay_mask">'Value Reference Tables - MR'!$AA$57</definedName>
    <definedName name="wld_az1_rack7_host_overlay_mtu">'Value Reference Tables - MR'!$AA$73</definedName>
    <definedName name="wld_az1_rack7_host_overlay_network">'Value Reference Tables - MR'!$AA$42</definedName>
    <definedName name="wld_az1_rack7_host_overlay_network_pool_name">'Value Reference Tables - MR'!$AA$185</definedName>
    <definedName name="wld_az1_rack7_host_overlay_network_profile_name">'Value Reference Tables - MR'!$AA$183</definedName>
    <definedName name="wld_az1_rack7_host_overlay_new_pool_chosen">'Additional Racks'!$D$544</definedName>
    <definedName name="wld_az1_rack7_host_overlay_pool_end_ip">'Value Reference Tables - MR'!$AA$170</definedName>
    <definedName name="wld_az1_rack7_host_overlay_pool_start_ip">'Value Reference Tables - MR'!$AA$169</definedName>
    <definedName name="wld_az1_rack7_host_overlay_uplink_profile_name">'Value Reference Tables - MR'!$AA$187</definedName>
    <definedName name="wld_az1_rack7_host_overlay_vlan">'Value Reference Tables - MR'!$AA$12</definedName>
    <definedName name="wld_az1_rack7_host1_fqdn">'Value Reference Tables - MR'!$AA$237</definedName>
    <definedName name="wld_az1_rack7_host1_hostname">'Value Reference Tables - MR'!$AA$218</definedName>
    <definedName name="wld_az1_rack7_host1_mgmt_ip">'Value Reference Tables - MR'!$AA$199</definedName>
    <definedName name="wld_az1_rack7_host10_fqdn">'Value Reference Tables - MR'!$AA$246</definedName>
    <definedName name="wld_az1_rack7_host10_hostname">'Value Reference Tables - MR'!$AA$227</definedName>
    <definedName name="wld_az1_rack7_host10_mgmt_ip">'Value Reference Tables - MR'!$AA$208</definedName>
    <definedName name="wld_az1_rack7_host11_fqdn">'Value Reference Tables - MR'!$AA$247</definedName>
    <definedName name="wld_az1_rack7_host11_hostname">'Value Reference Tables - MR'!$AA$228</definedName>
    <definedName name="wld_az1_rack7_host11_mgmt_ip">'Value Reference Tables - MR'!$AA$209</definedName>
    <definedName name="wld_az1_rack7_host12_fqdn">'Value Reference Tables - MR'!$AA$248</definedName>
    <definedName name="wld_az1_rack7_host12_hostname">'Value Reference Tables - MR'!$AA$229</definedName>
    <definedName name="wld_az1_rack7_host12_mgmt_ip">'Value Reference Tables - MR'!$AA$210</definedName>
    <definedName name="wld_az1_rack7_host13_fqdn">'Value Reference Tables - MR'!$AA$249</definedName>
    <definedName name="wld_az1_rack7_host13_hostname">'Value Reference Tables - MR'!$AA$230</definedName>
    <definedName name="wld_az1_rack7_host13_mgmt_ip">'Value Reference Tables - MR'!$AA$211</definedName>
    <definedName name="wld_az1_rack7_host14_fqdn">'Value Reference Tables - MR'!$AA$250</definedName>
    <definedName name="wld_az1_rack7_host14_hostname">'Value Reference Tables - MR'!$AA$231</definedName>
    <definedName name="wld_az1_rack7_host14_mgmt_ip">'Value Reference Tables - MR'!$AA$212</definedName>
    <definedName name="wld_az1_rack7_host15_fqdn">'Value Reference Tables - MR'!$AA$251</definedName>
    <definedName name="wld_az1_rack7_host15_hostname">'Value Reference Tables - MR'!$AA$232</definedName>
    <definedName name="wld_az1_rack7_host15_mgmt_ip">'Value Reference Tables - MR'!$AA$213</definedName>
    <definedName name="wld_az1_rack7_host16_fqdn">'Value Reference Tables - MR'!$AA$252</definedName>
    <definedName name="wld_az1_rack7_host16_hostname">'Value Reference Tables - MR'!$AA$233</definedName>
    <definedName name="wld_az1_rack7_host16_mgmt_ip">'Value Reference Tables - MR'!$AA$214</definedName>
    <definedName name="wld_az1_rack7_host2_fqdn">'Value Reference Tables - MR'!$AA$238</definedName>
    <definedName name="wld_az1_rack7_host2_hostname">'Value Reference Tables - MR'!$AA$219</definedName>
    <definedName name="wld_az1_rack7_host2_mgmt_ip">'Value Reference Tables - MR'!$AA$200</definedName>
    <definedName name="wld_az1_rack7_host3_fqdn">'Value Reference Tables - MR'!$AA$239</definedName>
    <definedName name="wld_az1_rack7_host3_hostname">'Value Reference Tables - MR'!$AA$220</definedName>
    <definedName name="wld_az1_rack7_host3_mgmt_ip">'Value Reference Tables - MR'!$AA$201</definedName>
    <definedName name="wld_az1_rack7_host4_fqdn">'Value Reference Tables - MR'!$AA$240</definedName>
    <definedName name="wld_az1_rack7_host4_hostname">'Value Reference Tables - MR'!$AA$221</definedName>
    <definedName name="wld_az1_rack7_host4_mgmt_ip">'Value Reference Tables - MR'!$AA$202</definedName>
    <definedName name="wld_az1_rack7_host5_fqdn">'Value Reference Tables - MR'!$AA$241</definedName>
    <definedName name="wld_az1_rack7_host5_hostname">'Value Reference Tables - MR'!$AA$222</definedName>
    <definedName name="wld_az1_rack7_host5_mgmt_ip">'Value Reference Tables - MR'!$AA$203</definedName>
    <definedName name="wld_az1_rack7_host6_fqdn">'Value Reference Tables - MR'!$AA$242</definedName>
    <definedName name="wld_az1_rack7_host6_hostname">'Value Reference Tables - MR'!$AA$223</definedName>
    <definedName name="wld_az1_rack7_host6_mgmt_ip">'Value Reference Tables - MR'!$AA$204</definedName>
    <definedName name="wld_az1_rack7_host7_fqdn">'Value Reference Tables - MR'!$AA$243</definedName>
    <definedName name="wld_az1_rack7_host7_hostname">'Value Reference Tables - MR'!$AA$224</definedName>
    <definedName name="wld_az1_rack7_host7_mgmt_ip">'Value Reference Tables - MR'!$AA$205</definedName>
    <definedName name="wld_az1_rack7_host8_fqdn">'Value Reference Tables - MR'!$AA$244</definedName>
    <definedName name="wld_az1_rack7_host8_hostname">'Value Reference Tables - MR'!$AA$225</definedName>
    <definedName name="wld_az1_rack7_host8_mgmt_ip">'Value Reference Tables - MR'!$AA$206</definedName>
    <definedName name="wld_az1_rack7_host9_fqdn">'Value Reference Tables - MR'!$AA$245</definedName>
    <definedName name="wld_az1_rack7_host9_hostname">'Value Reference Tables - MR'!$AA$226</definedName>
    <definedName name="wld_az1_rack7_host9_mgmt_ip">'Value Reference Tables - MR'!$AA$207</definedName>
    <definedName name="wld_az1_rack7_mgmt_cidr">'Value Reference Tables - MR'!$AA$24</definedName>
    <definedName name="wld_az1_rack7_mgmt_gateway_cidr">'Value Reference Tables - MR'!$AA$101</definedName>
    <definedName name="wld_az1_rack7_mgmt_gateway_ip">'Value Reference Tables - MR'!$AA$86</definedName>
    <definedName name="wld_az1_rack7_mgmt_mask">'Value Reference Tables - MR'!$AA$195</definedName>
    <definedName name="wld_az1_rack7_mgmt_mtu">'Value Reference Tables - MR'!$AA$70</definedName>
    <definedName name="wld_az1_rack7_mgmt_network">'Value Reference Tables - MR'!$AA$39</definedName>
    <definedName name="wld_az1_rack7_mgmt_pg">'Value Reference Tables - MR'!$AA$126</definedName>
    <definedName name="wld_az1_rack7_mgmt_vlan">'Value Reference Tables - MR'!$AA$9</definedName>
    <definedName name="wld_az1_rack7_mgmt_vm_cidr">'Value Reference Tables - MR'!$AA$23</definedName>
    <definedName name="wld_az1_rack7_mgmt_vm_gateway_cidr">'Value Reference Tables - MR'!$AA$100</definedName>
    <definedName name="wld_az1_rack7_mgmt_vm_gateway_ip">'Value Reference Tables - MR'!$AA$85</definedName>
    <definedName name="wld_az1_rack7_mgmt_vm_mask">'Value Reference Tables - MR'!$AA$194</definedName>
    <definedName name="wld_az1_rack7_mgmt_vm_mtu">'Value Reference Tables - MR'!$AA$69</definedName>
    <definedName name="wld_az1_rack7_mgmt_vm_pg">'Value Reference Tables - MR'!$AA$125</definedName>
    <definedName name="wld_az1_rack7_mgmt_vm_vlan">'Value Reference Tables - MR'!$AA$8</definedName>
    <definedName name="wld_az1_rack7_pool_name">'Value Reference Tables - MR'!$AA$182</definedName>
    <definedName name="wld_az1_rack7_principal_storage_cidr">'Value Reference Tables - MR'!$AA$26</definedName>
    <definedName name="wld_az1_rack7_principal_storage_gateway_cidr">'Value Reference Tables - MR'!$AA$103</definedName>
    <definedName name="wld_az1_rack7_principal_storage_gateway_ip">'Value Reference Tables - MR'!$AA$88</definedName>
    <definedName name="wld_az1_rack7_principal_storage_mask">'Value Reference Tables - MR'!$AA$56</definedName>
    <definedName name="wld_az1_rack7_principal_storage_mtu">'Value Reference Tables - MR'!$AA$72</definedName>
    <definedName name="wld_az1_rack7_principal_storage_network">'Value Reference Tables - MR'!$AA$41</definedName>
    <definedName name="wld_az1_rack7_principal_storage_pg">'Value Reference Tables - MR'!$AA$128</definedName>
    <definedName name="wld_az1_rack7_principal_storage_pool_end_ip">'Value Reference Tables - MR'!$AA$168</definedName>
    <definedName name="wld_az1_rack7_principal_storage_pool_start_ip">'Value Reference Tables - MR'!$AA$167</definedName>
    <definedName name="wld_az1_rack7_principal_storage_vlan">'Value Reference Tables - MR'!$AA$11</definedName>
    <definedName name="wld_az1_rack7_reuse_vcf_networkpool_chosen">'Additional Racks'!$D$498</definedName>
    <definedName name="wld_az1_rack7_rtep_ip_pool_name">'Value Reference Tables - MR'!$AA$189</definedName>
    <definedName name="wld_az1_rack7_rtep_overlay_cidr">'Value Reference Tables - MR'!$AA$33</definedName>
    <definedName name="wld_az1_rack7_rtep_overlay_gateway_ip">'Value Reference Tables - MR'!$AA$95</definedName>
    <definedName name="wld_az1_rack7_rtep_overlay_mtu">'Value Reference Tables - MR'!$AA$79</definedName>
    <definedName name="wld_az1_rack7_rtep_overlay_pool_end_ip">'Value Reference Tables - MR'!$AA$178</definedName>
    <definedName name="wld_az1_rack7_rtep_overlay_pool_start_ip">'Value Reference Tables - MR'!$AA$177</definedName>
    <definedName name="wld_az1_rack7_rtep_overlay_vlan">'Value Reference Tables - MR'!$AA$18</definedName>
    <definedName name="wld_az1_rack7_secondary_storage_cidr">'Value Reference Tables - MR'!$AA$28</definedName>
    <definedName name="wld_az1_rack7_secondary_storage_gateway_cidr">'Value Reference Tables - MR'!$AA$105</definedName>
    <definedName name="wld_az1_rack7_secondary_storage_gateway_ip">'Value Reference Tables - MR'!$AA$90</definedName>
    <definedName name="wld_az1_rack7_secondary_storage_mask">'Value Reference Tables - MR'!$AA$58</definedName>
    <definedName name="wld_az1_rack7_secondary_storage_mtu">'Value Reference Tables - MR'!$AA$74</definedName>
    <definedName name="wld_az1_rack7_secondary_storage_network">'Value Reference Tables - MR'!$AA$44</definedName>
    <definedName name="wld_az1_rack7_secondary_storage_pool_end_ip">'Value Reference Tables - MR'!$AA$172</definedName>
    <definedName name="wld_az1_rack7_secondary_storage_pool_start_ip">'Value Reference Tables - MR'!$AA$171</definedName>
    <definedName name="wld_az1_rack7_secondary_storage_vlan">'Value Reference Tables - MR'!$AA$13</definedName>
    <definedName name="wld_az1_rack7_tor1_peer_asn">'Value Reference Tables - MR'!$AA$117</definedName>
    <definedName name="wld_az1_rack7_tor1_peer_bgp_password">'Value Reference Tables - MR'!$AA$118</definedName>
    <definedName name="wld_az1_rack7_tor1_peer_ip">'Value Reference Tables - MR'!$AA$116</definedName>
    <definedName name="wld_az1_rack7_tor2_peer_asn">'Value Reference Tables - MR'!$AA$120</definedName>
    <definedName name="wld_az1_rack7_tor2_peer_bgp_password">'Value Reference Tables - MR'!$AA$121</definedName>
    <definedName name="wld_az1_rack7_tor2_peer_ip">'Value Reference Tables - MR'!$AA$119</definedName>
    <definedName name="wld_az1_rack7_uplink01_cidr">'Value Reference Tables - MR'!$AA$30</definedName>
    <definedName name="wld_az1_rack7_uplink01_gateway_cidr">'Value Reference Tables - MR'!$AA$107</definedName>
    <definedName name="wld_az1_rack7_uplink01_gateway_ip">'Value Reference Tables - MR'!$AA$92</definedName>
    <definedName name="wld_az1_rack7_uplink01_mask">'Value Reference Tables - MR'!$AA$60</definedName>
    <definedName name="wld_az1_rack7_uplink01_mtu">'Value Reference Tables - MR'!$AA$76</definedName>
    <definedName name="wld_az1_rack7_uplink01_network">'Value Reference Tables - MR'!$AA$45</definedName>
    <definedName name="wld_az1_rack7_uplink01_pg">'Value Reference Tables - MR'!$AA$129</definedName>
    <definedName name="wld_az1_rack7_uplink01_vlan">'Value Reference Tables - MR'!$AA$15</definedName>
    <definedName name="wld_az1_rack7_uplink02_cidr">'Value Reference Tables - MR'!$AA$31</definedName>
    <definedName name="wld_az1_rack7_uplink02_gateway_cidr">'Value Reference Tables - MR'!$AA$108</definedName>
    <definedName name="wld_az1_rack7_uplink02_gateway_ip">'Value Reference Tables - MR'!$AA$93</definedName>
    <definedName name="wld_az1_rack7_uplink02_mask">'Value Reference Tables - MR'!$AA$61</definedName>
    <definedName name="wld_az1_rack7_uplink02_mtu">'Value Reference Tables - MR'!$AA$77</definedName>
    <definedName name="wld_az1_rack7_uplink02_network">'Value Reference Tables - MR'!$AA$46</definedName>
    <definedName name="wld_az1_rack7_uplink02_pg">'Value Reference Tables - MR'!$AA$130</definedName>
    <definedName name="wld_az1_rack7_uplink02_vlan">'Value Reference Tables - MR'!$AA$16</definedName>
    <definedName name="wld_az1_rack7_vmotion_cidr">'Value Reference Tables - MR'!$AA$25</definedName>
    <definedName name="wld_az1_rack7_vmotion_gateway_cidr">'Value Reference Tables - MR'!$AA$102</definedName>
    <definedName name="wld_az1_rack7_vmotion_gateway_ip">'Value Reference Tables - MR'!$AA$87</definedName>
    <definedName name="wld_az1_rack7_vmotion_mask">'Value Reference Tables - MR'!$AA$55</definedName>
    <definedName name="wld_az1_rack7_vmotion_mtu">'Value Reference Tables - MR'!$AA$71</definedName>
    <definedName name="wld_az1_rack7_vmotion_network">'Value Reference Tables - MR'!$AA$40</definedName>
    <definedName name="wld_az1_rack7_vmotion_pg">'Value Reference Tables - MR'!$AA$127</definedName>
    <definedName name="wld_az1_rack7_vmotion_pool_end_ip">'Value Reference Tables - MR'!$AA$166</definedName>
    <definedName name="wld_az1_rack7_vmotion_pool_start_ip">'Value Reference Tables - MR'!$AA$165</definedName>
    <definedName name="wld_az1_rack7_vmotion_vlan">'Value Reference Tables - MR'!$AA$10</definedName>
    <definedName name="wld_az1_rack7_vrms_cidr">'Value Reference Tables - MR'!$AA$34</definedName>
    <definedName name="wld_az1_rack7_vrms_gateway_ip">'Value Reference Tables - MR'!$AA$96</definedName>
    <definedName name="wld_az1_rack7_vrms_mtu">'Value Reference Tables - MR'!$AA$80</definedName>
    <definedName name="wld_az1_rack7_vrms_vlan">'Value Reference Tables - MR'!$AA$19</definedName>
    <definedName name="wld_az1_rack7_vsan_fault_domain">'Value Reference Tables - MR'!$AA$190</definedName>
    <definedName name="wld_az1_rack8_edge_overlay_cidr">'Value Reference Tables - MR'!$AD$32</definedName>
    <definedName name="wld_az1_rack8_edge_overlay_gateway_cidr">'Value Reference Tables - MR'!$AD$109</definedName>
    <definedName name="wld_az1_rack8_edge_overlay_gateway_ip">'Value Reference Tables - MR'!$AD$94</definedName>
    <definedName name="wld_az1_rack8_edge_overlay_mask">'Value Reference Tables - MR'!$AD$62</definedName>
    <definedName name="wld_az1_rack8_edge_overlay_mtu">'Value Reference Tables - MR'!$AD$78</definedName>
    <definedName name="wld_az1_rack8_edge_overlay_network">'Value Reference Tables - MR'!$AD$47</definedName>
    <definedName name="wld_az1_rack8_edge_overlay_network_pool_name">'Value Reference Tables - MR'!$AD$188</definedName>
    <definedName name="wld_az1_rack8_edge_overlay_pool_end_ip">'Value Reference Tables - MR'!$AD$176</definedName>
    <definedName name="wld_az1_rack8_edge_overlay_pool_start_ip">'Value Reference Tables - MR'!$AD$175</definedName>
    <definedName name="wld_az1_rack8_edge_overlay_vlan">'Value Reference Tables - MR'!$AD$17</definedName>
    <definedName name="wld_az1_rack8_en1_edge_overlay_interface_ip_1_ip">'Value Reference Tables - MR'!$AD$260</definedName>
    <definedName name="wld_az1_rack8_en1_edge_overlay_interface_ip_2_ip">'Value Reference Tables - MR'!$AD$261</definedName>
    <definedName name="wld_az1_rack8_en1_fqdn">'Value Reference Tables - MR'!$AD$256</definedName>
    <definedName name="wld_az1_rack8_en1_hostname">'Value Reference Tables - MR'!$AD$255</definedName>
    <definedName name="wld_az1_rack8_en1_mgmt_ip">'Value Reference Tables - MR'!$AD$257</definedName>
    <definedName name="wld_az1_rack8_en1_uplink01_interface_ip">'Value Reference Tables - MR'!$AD$258</definedName>
    <definedName name="wld_az1_rack8_en1_uplink02_interface_ip">'Value Reference Tables - MR'!$AD$259</definedName>
    <definedName name="wld_az1_rack8_en2_fqdn">'Value Reference Tables - MR'!$AD$266</definedName>
    <definedName name="wld_az1_rack8_en2_hostname">'Value Reference Tables - MR'!$AD$265</definedName>
    <definedName name="wld_az1_rack8_en2_mgmt_ip">'Value Reference Tables - MR'!$AD$267</definedName>
    <definedName name="wld_az1_rack8_en2_uplink01_interface_ip">'Value Reference Tables - MR'!$AD$268</definedName>
    <definedName name="wld_az1_rack8_en2_uplink02_interface_ip">'Value Reference Tables - MR'!$AD$269</definedName>
    <definedName name="wld_az1_rack8_host_fqdns">'Value Reference Tables - MR'!$AD$237:$AD$252</definedName>
    <definedName name="wld_az1_rack8_host_hostnames">'Value Reference Tables - MR'!$AD$218:$AD$233</definedName>
    <definedName name="wld_az1_rack8_host_mgmt_ips">'Value Reference Tables - MR'!$AD$199:$AD$214</definedName>
    <definedName name="wld_az1_rack8_host_overlay_cidr">'Value Reference Tables - MR'!$AD$27</definedName>
    <definedName name="wld_az1_rack8_host_overlay_gateway_cidr">'Value Reference Tables - MR'!$AD$104</definedName>
    <definedName name="wld_az1_rack8_host_overlay_gateway_ip">'Value Reference Tables - MR'!$AD$89</definedName>
    <definedName name="wld_az1_rack8_host_overlay_mask">'Value Reference Tables - MR'!$AD$57</definedName>
    <definedName name="wld_az1_rack8_host_overlay_mtu">'Value Reference Tables - MR'!$AD$73</definedName>
    <definedName name="wld_az1_rack8_host_overlay_network">'Value Reference Tables - MR'!$AD$42</definedName>
    <definedName name="wld_az1_rack8_host_overlay_network_pool_name">'Value Reference Tables - MR'!$AD$185</definedName>
    <definedName name="wld_az1_rack8_host_overlay_network_profile_name">'Value Reference Tables - MR'!$AD$183</definedName>
    <definedName name="wld_az1_rack8_host_overlay_new_pool_chosen">'Additional Racks'!$D$637</definedName>
    <definedName name="wld_az1_rack8_host_overlay_pool_end_ip">'Value Reference Tables - MR'!$AD$170</definedName>
    <definedName name="wld_az1_rack8_host_overlay_pool_start_ip">'Value Reference Tables - MR'!$AD$169</definedName>
    <definedName name="wld_az1_rack8_host_overlay_uplink_profile_name">'Value Reference Tables - MR'!$AD$187</definedName>
    <definedName name="wld_az1_rack8_host_overlay_vlan">'Value Reference Tables - MR'!$AD$12</definedName>
    <definedName name="wld_az1_rack8_host1_fqdn">'Value Reference Tables - MR'!$AD$237</definedName>
    <definedName name="wld_az1_rack8_host1_hostname">'Value Reference Tables - MR'!$AD$218</definedName>
    <definedName name="wld_az1_rack8_host1_mgmt_ip">'Value Reference Tables - MR'!$AD$199</definedName>
    <definedName name="wld_az1_rack8_host10_fqdn">'Value Reference Tables - MR'!$AD$246</definedName>
    <definedName name="wld_az1_rack8_host10_hostname">'Value Reference Tables - MR'!$AD$227</definedName>
    <definedName name="wld_az1_rack8_host10_mgmt_ip">'Value Reference Tables - MR'!$AD$208</definedName>
    <definedName name="wld_az1_rack8_host11_fqdn">'Value Reference Tables - MR'!$AD$247</definedName>
    <definedName name="wld_az1_rack8_host11_hostname">'Value Reference Tables - MR'!$AD$228</definedName>
    <definedName name="wld_az1_rack8_host11_mgmt_ip">'Value Reference Tables - MR'!$AD$209</definedName>
    <definedName name="wld_az1_rack8_host12_fqdn">'Value Reference Tables - MR'!$AD$248</definedName>
    <definedName name="wld_az1_rack8_host12_hostname">'Value Reference Tables - MR'!$AD$229</definedName>
    <definedName name="wld_az1_rack8_host12_mgmt_ip">'Value Reference Tables - MR'!$AD$210</definedName>
    <definedName name="wld_az1_rack8_host13_fqdn">'Value Reference Tables - MR'!$AD$249</definedName>
    <definedName name="wld_az1_rack8_host13_hostname">'Value Reference Tables - MR'!$AD$230</definedName>
    <definedName name="wld_az1_rack8_host13_mgmt_ip">'Value Reference Tables - MR'!$AD$211</definedName>
    <definedName name="wld_az1_rack8_host14_fqdn">'Value Reference Tables - MR'!$AD$250</definedName>
    <definedName name="wld_az1_rack8_host14_hostname">'Value Reference Tables - MR'!$AD$231</definedName>
    <definedName name="wld_az1_rack8_host14_mgmt_ip">'Value Reference Tables - MR'!$AD$212</definedName>
    <definedName name="wld_az1_rack8_host15_fqdn">'Value Reference Tables - MR'!$AD$251</definedName>
    <definedName name="wld_az1_rack8_host15_hostname">'Value Reference Tables - MR'!$AD$232</definedName>
    <definedName name="wld_az1_rack8_host15_mgmt_ip">'Value Reference Tables - MR'!$AD$213</definedName>
    <definedName name="wld_az1_rack8_host16_fqdn">'Value Reference Tables - MR'!$AD$252</definedName>
    <definedName name="wld_az1_rack8_host16_hostname">'Value Reference Tables - MR'!$AD$233</definedName>
    <definedName name="wld_az1_rack8_host16_mgmt_ip">'Value Reference Tables - MR'!$AD$214</definedName>
    <definedName name="wld_az1_rack8_host2_fqdn">'Value Reference Tables - MR'!$AD$238</definedName>
    <definedName name="wld_az1_rack8_host2_hostname">'Value Reference Tables - MR'!$AD$219</definedName>
    <definedName name="wld_az1_rack8_host2_mgmt_ip">'Value Reference Tables - MR'!$AD$200</definedName>
    <definedName name="wld_az1_rack8_host3_fqdn">'Value Reference Tables - MR'!$AD$239</definedName>
    <definedName name="wld_az1_rack8_host3_hostname">'Value Reference Tables - MR'!$AD$220</definedName>
    <definedName name="wld_az1_rack8_host3_mgmt_ip">'Value Reference Tables - MR'!$AD$201</definedName>
    <definedName name="wld_az1_rack8_host4_fqdn">'Value Reference Tables - MR'!$AD$240</definedName>
    <definedName name="wld_az1_rack8_host4_hostname">'Value Reference Tables - MR'!$AD$221</definedName>
    <definedName name="wld_az1_rack8_host4_mgmt_ip">'Value Reference Tables - MR'!$AD$202</definedName>
    <definedName name="wld_az1_rack8_host5_fqdn">'Value Reference Tables - MR'!$AD$241</definedName>
    <definedName name="wld_az1_rack8_host5_hostname">'Value Reference Tables - MR'!$AD$222</definedName>
    <definedName name="wld_az1_rack8_host5_mgmt_ip">'Value Reference Tables - MR'!$AD$203</definedName>
    <definedName name="wld_az1_rack8_host6_fqdn">'Value Reference Tables - MR'!$AD$242</definedName>
    <definedName name="wld_az1_rack8_host6_hostname">'Value Reference Tables - MR'!$AD$223</definedName>
    <definedName name="wld_az1_rack8_host6_mgmt_ip">'Value Reference Tables - MR'!$AD$204</definedName>
    <definedName name="wld_az1_rack8_host7_fqdn">'Value Reference Tables - MR'!$AD$243</definedName>
    <definedName name="wld_az1_rack8_host7_hostname">'Value Reference Tables - MR'!$AD$224</definedName>
    <definedName name="wld_az1_rack8_host7_mgmt_ip">'Value Reference Tables - MR'!$AD$205</definedName>
    <definedName name="wld_az1_rack8_host8_fqdn">'Value Reference Tables - MR'!$AD$244</definedName>
    <definedName name="wld_az1_rack8_host8_hostname">'Value Reference Tables - MR'!$AD$225</definedName>
    <definedName name="wld_az1_rack8_host8_mgmt_ip">'Value Reference Tables - MR'!$AD$206</definedName>
    <definedName name="wld_az1_rack8_host9_fqdn">'Value Reference Tables - MR'!$AD$245</definedName>
    <definedName name="wld_az1_rack8_host9_hostname">'Value Reference Tables - MR'!$AD$226</definedName>
    <definedName name="wld_az1_rack8_host9_mgmt_ip">'Value Reference Tables - MR'!$AD$207</definedName>
    <definedName name="wld_az1_rack8_mgmt_cidr">'Value Reference Tables - MR'!$AD$24</definedName>
    <definedName name="wld_az1_rack8_mgmt_gateway_cidr">'Value Reference Tables - MR'!$AD$101</definedName>
    <definedName name="wld_az1_rack8_mgmt_gateway_ip">'Value Reference Tables - MR'!$AD$86</definedName>
    <definedName name="wld_az1_rack8_mgmt_mask">'Value Reference Tables - MR'!$AD$195</definedName>
    <definedName name="wld_az1_rack8_mgmt_mtu">'Value Reference Tables - MR'!$AD$70</definedName>
    <definedName name="wld_az1_rack8_mgmt_network">'Value Reference Tables - MR'!$AD$39</definedName>
    <definedName name="wld_az1_rack8_mgmt_pg">'Value Reference Tables - MR'!$AD$126</definedName>
    <definedName name="wld_az1_rack8_mgmt_vlan">'Value Reference Tables - MR'!$AD$9</definedName>
    <definedName name="wld_az1_rack8_mgmt_vm_cidr">'Value Reference Tables - MR'!$AD$23</definedName>
    <definedName name="wld_az1_rack8_mgmt_vm_gateway_cidr">'Value Reference Tables - MR'!$AD$100</definedName>
    <definedName name="wld_az1_rack8_mgmt_vm_gateway_ip">'Value Reference Tables - MR'!$AD$85</definedName>
    <definedName name="wld_az1_rack8_mgmt_vm_mask">'Value Reference Tables - MR'!$AD$194</definedName>
    <definedName name="wld_az1_rack8_mgmt_vm_mtu">'Value Reference Tables - MR'!$AD$69</definedName>
    <definedName name="wld_az1_rack8_mgmt_vm_pg">'Value Reference Tables - MR'!$AD$125</definedName>
    <definedName name="wld_az1_rack8_mgmt_vm_vlan">'Value Reference Tables - MR'!$AD$8</definedName>
    <definedName name="wld_az1_rack8_pool_name">'Value Reference Tables - MR'!$AD$182</definedName>
    <definedName name="wld_az1_rack8_principal_storage_cidr">'Value Reference Tables - MR'!$AD$26</definedName>
    <definedName name="wld_az1_rack8_principal_storage_gateway_cidr">'Value Reference Tables - MR'!$AD$103</definedName>
    <definedName name="wld_az1_rack8_principal_storage_gateway_ip">'Value Reference Tables - MR'!$AD$88</definedName>
    <definedName name="wld_az1_rack8_principal_storage_mask">'Value Reference Tables - MR'!$AD$56</definedName>
    <definedName name="wld_az1_rack8_principal_storage_mtu">'Value Reference Tables - MR'!$AD$72</definedName>
    <definedName name="wld_az1_rack8_principal_storage_network">'Value Reference Tables - MR'!$AD$41</definedName>
    <definedName name="wld_az1_rack8_principal_storage_pg">'Value Reference Tables - MR'!$AD$128</definedName>
    <definedName name="wld_az1_rack8_principal_storage_pool_end_ip">'Value Reference Tables - MR'!$AD$168</definedName>
    <definedName name="wld_az1_rack8_principal_storage_pool_start_ip">'Value Reference Tables - MR'!$AD$167</definedName>
    <definedName name="wld_az1_rack8_principal_storage_vlan">'Value Reference Tables - MR'!$AD$11</definedName>
    <definedName name="wld_az1_rack8_reuse_vcf_networkpool_chosen">'Additional Racks'!$D$591</definedName>
    <definedName name="wld_az1_rack8_rtep_ip_pool_name">'Value Reference Tables - MR'!$AD$189</definedName>
    <definedName name="wld_az1_rack8_rtep_overlay_cidr">'Value Reference Tables - MR'!$AD$33</definedName>
    <definedName name="wld_az1_rack8_rtep_overlay_gateway_ip">'Value Reference Tables - MR'!$AD$95</definedName>
    <definedName name="wld_az1_rack8_rtep_overlay_mtu">'Value Reference Tables - MR'!$AD$79</definedName>
    <definedName name="wld_az1_rack8_rtep_overlay_pool_end_ip">'Value Reference Tables - MR'!$AD$178</definedName>
    <definedName name="wld_az1_rack8_rtep_overlay_pool_start_ip">'Value Reference Tables - MR'!$AD$177</definedName>
    <definedName name="wld_az1_rack8_rtep_overlay_vlan">'Value Reference Tables - MR'!$AD$18</definedName>
    <definedName name="wld_az1_rack8_secondary_storage_cidr">'Value Reference Tables - MR'!$AD$28</definedName>
    <definedName name="wld_az1_rack8_secondary_storage_gateway_cidr">'Value Reference Tables - MR'!$AD$105</definedName>
    <definedName name="wld_az1_rack8_secondary_storage_gateway_ip">'Value Reference Tables - MR'!$AD$90</definedName>
    <definedName name="wld_az1_rack8_secondary_storage_mask">'Value Reference Tables - MR'!$AD$58</definedName>
    <definedName name="wld_az1_rack8_secondary_storage_mtu">'Value Reference Tables - MR'!$AD$74</definedName>
    <definedName name="wld_az1_rack8_secondary_storage_network">'Value Reference Tables - MR'!$AD$44</definedName>
    <definedName name="wld_az1_rack8_secondary_storage_pool_end_ip">'Value Reference Tables - MR'!$AD$172</definedName>
    <definedName name="wld_az1_rack8_secondary_storage_pool_start_ip">'Value Reference Tables - MR'!$AD$171</definedName>
    <definedName name="wld_az1_rack8_secondary_storage_vlan">'Value Reference Tables - MR'!$AD$13</definedName>
    <definedName name="wld_az1_rack8_tor1_peer_asn">'Value Reference Tables - MR'!$AD$117</definedName>
    <definedName name="wld_az1_rack8_tor1_peer_bgp_password">'Value Reference Tables - MR'!$AD$118</definedName>
    <definedName name="wld_az1_rack8_tor1_peer_ip">'Value Reference Tables - MR'!$AD$116</definedName>
    <definedName name="wld_az1_rack8_tor2_peer_asn">'Value Reference Tables - MR'!$AD$120</definedName>
    <definedName name="wld_az1_rack8_tor2_peer_bgp_password">'Value Reference Tables - MR'!$AD$121</definedName>
    <definedName name="wld_az1_rack8_tor2_peer_ip">'Value Reference Tables - MR'!$AD$119</definedName>
    <definedName name="wld_az1_rack8_uplink01_cidr">'Value Reference Tables - MR'!$AD$30</definedName>
    <definedName name="wld_az1_rack8_uplink01_gateway_cidr">'Value Reference Tables - MR'!$AD$107</definedName>
    <definedName name="wld_az1_rack8_uplink01_gateway_ip">'Value Reference Tables - MR'!$AD$92</definedName>
    <definedName name="wld_az1_rack8_uplink01_mask">'Value Reference Tables - MR'!$AD$60</definedName>
    <definedName name="wld_az1_rack8_uplink01_mtu">'Value Reference Tables - MR'!$AD$76</definedName>
    <definedName name="wld_az1_rack8_uplink01_network">'Value Reference Tables - MR'!$AD$45</definedName>
    <definedName name="wld_az1_rack8_uplink01_pg">'Value Reference Tables - MR'!$AD$129</definedName>
    <definedName name="wld_az1_rack8_uplink01_vlan">'Value Reference Tables - MR'!$AD$15</definedName>
    <definedName name="wld_az1_rack8_uplink02_cidr">'Value Reference Tables - MR'!$AD$31</definedName>
    <definedName name="wld_az1_rack8_uplink02_gateway_cidr">'Value Reference Tables - MR'!$AD$108</definedName>
    <definedName name="wld_az1_rack8_uplink02_gateway_ip">'Value Reference Tables - MR'!$AD$93</definedName>
    <definedName name="wld_az1_rack8_uplink02_mask">'Value Reference Tables - MR'!$AD$61</definedName>
    <definedName name="wld_az1_rack8_uplink02_mtu">'Value Reference Tables - MR'!$AD$77</definedName>
    <definedName name="wld_az1_rack8_uplink02_network">'Value Reference Tables - MR'!$AD$46</definedName>
    <definedName name="wld_az1_rack8_uplink02_pg">'Value Reference Tables - MR'!$AD$130</definedName>
    <definedName name="wld_az1_rack8_uplink02_vlan">'Value Reference Tables - MR'!$AD$16</definedName>
    <definedName name="wld_az1_rack8_vmotion_cidr">'Value Reference Tables - MR'!$AD$25</definedName>
    <definedName name="wld_az1_rack8_vmotion_gateway_cidr">'Value Reference Tables - MR'!$AD$102</definedName>
    <definedName name="wld_az1_rack8_vmotion_gateway_ip">'Value Reference Tables - MR'!$AD$87</definedName>
    <definedName name="wld_az1_rack8_vmotion_mask">'Value Reference Tables - MR'!$AD$55</definedName>
    <definedName name="wld_az1_rack8_vmotion_mtu">'Value Reference Tables - MR'!$AD$71</definedName>
    <definedName name="wld_az1_rack8_vmotion_network">'Value Reference Tables - MR'!$AD$40</definedName>
    <definedName name="wld_az1_rack8_vmotion_pg">'Value Reference Tables - MR'!$AD$127</definedName>
    <definedName name="wld_az1_rack8_vmotion_pool_end_ip">'Value Reference Tables - MR'!$AD$166</definedName>
    <definedName name="wld_az1_rack8_vmotion_pool_start_ip">'Value Reference Tables - MR'!$AD$165</definedName>
    <definedName name="wld_az1_rack8_vmotion_vlan">'Value Reference Tables - MR'!$AD$10</definedName>
    <definedName name="wld_az1_rack8_vrms_cidr">'Value Reference Tables - MR'!$AD$34</definedName>
    <definedName name="wld_az1_rack8_vrms_gateway_ip">'Value Reference Tables - MR'!$AD$96</definedName>
    <definedName name="wld_az1_rack8_vrms_mtu">'Value Reference Tables - MR'!$AD$80</definedName>
    <definedName name="wld_az1_rack8_vrms_vlan">'Value Reference Tables - MR'!$AD$19</definedName>
    <definedName name="wld_az1_rack8_vsan_fault_domain">'Value Reference Tables - MR'!$AD$190</definedName>
    <definedName name="wld_az1_reuse_vcf_networkpool_chosen">'Deploy Workload Domain'!$B$15</definedName>
    <definedName name="wld_az1_reuse_vcf_networkpool_result">'Deploy Workload Domain'!$D$15</definedName>
    <definedName name="wld_az1_rtep_ip_pool_name">'Value Reference Tables - MR'!$I$189</definedName>
    <definedName name="wld_az1_rtep_overlay_cidr">'Value Reference Tables - MR'!$I$33</definedName>
    <definedName name="wld_az1_rtep_overlay_gateway_ip">'Value Reference Tables - MR'!$I$95</definedName>
    <definedName name="wld_az1_rtep_overlay_mtu">'Value Reference Tables - MR'!$I$79</definedName>
    <definedName name="wld_az1_rtep_overlay_network">'Value Reference Tables - MR'!$I$48</definedName>
    <definedName name="wld_az1_rtep_overlay_pg">'Value Reference Tables - MR'!$I$134</definedName>
    <definedName name="wld_az1_rtep_overlay_vlan">'Value Reference Tables - MR'!$I$18</definedName>
    <definedName name="wld_az1_secondary_storage_cidr">'Value Reference Tables - MR'!$I$28</definedName>
    <definedName name="wld_az1_secondary_storage_gateway_cidr">'Value Reference Tables - MR'!$I$105</definedName>
    <definedName name="wld_az1_secondary_storage_gateway_ip">'Value Reference Tables - MR'!$I$90</definedName>
    <definedName name="wld_az1_secondary_storage_ip_assignment_chosen">'Deploy Workload Domain'!$D$109</definedName>
    <definedName name="wld_az1_secondary_storage_ip_scheme_chosen">'Deploy Workload Domain'!$D$106</definedName>
    <definedName name="wld_az1_secondary_storage_mask">'Value Reference Tables - MR'!$I$58</definedName>
    <definedName name="wld_az1_secondary_storage_mtu">'Value Reference Tables - MR'!$I$74</definedName>
    <definedName name="wld_az1_secondary_storage_network">'Value Reference Tables - MR'!$I$43</definedName>
    <definedName name="wld_az1_secondary_storage_pool_end_ip">'Value Reference Tables - MR'!$I$172</definedName>
    <definedName name="wld_az1_secondary_storage_pool_start_ip">'Value Reference Tables - MR'!$I$171</definedName>
    <definedName name="wld_az1_secondary_storage_vlan">'Value Reference Tables - MR'!$I$13</definedName>
    <definedName name="wld_az1_storage_cluster_cidr">'Value Reference Tables - MR'!$I$29</definedName>
    <definedName name="wld_az1_storage_cluster_gateway_cidr">'Value Reference Tables - MR'!$I$106</definedName>
    <definedName name="wld_az1_storage_cluster_gateway_ip">'Value Reference Tables - MR'!$I$91</definedName>
    <definedName name="wld_az1_storage_cluster_ip_assignment_chosen">'Deploy Workload Domain'!$D$120</definedName>
    <definedName name="wld_az1_storage_cluster_ip_scheme_chosen">'Deploy Workload Domain'!$D$117</definedName>
    <definedName name="wld_az1_storage_cluster_mask">'Value Reference Tables - MR'!$I$59</definedName>
    <definedName name="wld_az1_storage_cluster_mtu">'Value Reference Tables - MR'!$I$75</definedName>
    <definedName name="wld_az1_storage_cluster_network">'Value Reference Tables - MR'!$I$44</definedName>
    <definedName name="wld_az1_storage_cluster_pool_end_ip">'Value Reference Tables - MR'!$I$174</definedName>
    <definedName name="wld_az1_storage_cluster_pool_start_ip">'Value Reference Tables - MR'!$I$173</definedName>
    <definedName name="wld_az1_storage_cluster_vlan">'Value Reference Tables - MR'!$I$14</definedName>
    <definedName name="wld_az1_tor1_peer_asn">'Value Reference Tables - MR'!$I$117</definedName>
    <definedName name="wld_az1_tor1_peer_bgp_password">'Value Reference Tables - MR'!$I$118</definedName>
    <definedName name="wld_az1_tor1_peer_ip">'Value Reference Tables - MR'!$I$116</definedName>
    <definedName name="wld_az1_tor2_peer_asn">'Value Reference Tables - MR'!$I$120</definedName>
    <definedName name="wld_az1_tor2_peer_bgp_password">'Value Reference Tables - MR'!$I$121</definedName>
    <definedName name="wld_az1_tor2_peer_ip">'Value Reference Tables - MR'!$I$119</definedName>
    <definedName name="wld_az1_uplink01_cidr">'Value Reference Tables - MR'!$I$30</definedName>
    <definedName name="wld_az1_uplink01_gateway_ip">'Value Reference Tables - MR'!$I$92</definedName>
    <definedName name="wld_az1_uplink01_mask">'Value Reference Tables - MR'!$I$60</definedName>
    <definedName name="wld_az1_uplink01_mtu">'Value Reference Tables - MR'!$I$76</definedName>
    <definedName name="wld_az1_uplink01_network">'Value Reference Tables - MR'!$I$45</definedName>
    <definedName name="wld_az1_uplink01_vlan">'Value Reference Tables - MR'!$I$15</definedName>
    <definedName name="wld_az1_uplink02_cidr">'Value Reference Tables - MR'!$I$31</definedName>
    <definedName name="wld_az1_uplink02_gateway_ip">'Value Reference Tables - MR'!$I$93</definedName>
    <definedName name="wld_az1_uplink02_mask">'Value Reference Tables - MR'!$I$61</definedName>
    <definedName name="wld_az1_uplink02_mtu">'Value Reference Tables - MR'!$I$77</definedName>
    <definedName name="wld_az1_uplink02_network">'Value Reference Tables - MR'!$I$46</definedName>
    <definedName name="wld_az1_uplink02_vlan">'Value Reference Tables - MR'!$I$16</definedName>
    <definedName name="wld_az1_vm_cidr">'Value Reference Tables'!$AD$35</definedName>
    <definedName name="wld_az1_vm_gateway_ip">'Value Reference Tables'!$AD$39</definedName>
    <definedName name="wld_az1_vm_mtu">'Value Reference Tables'!$AD$44</definedName>
    <definedName name="wld_az1_vm_vlan">'Value Reference Tables'!$AD$27</definedName>
    <definedName name="wld_az1_vmotion_cidr">'Value Reference Tables - MR'!$I$25</definedName>
    <definedName name="wld_az1_vmotion_gateway_cidr">'Value Reference Tables - MR'!$I$102</definedName>
    <definedName name="wld_az1_vmotion_gateway_ip">'Value Reference Tables - MR'!$I$87</definedName>
    <definedName name="wld_az1_vmotion_ip_assignment_chosen">'Deploy Workload Domain'!$D$87</definedName>
    <definedName name="wld_az1_vmotion_ip_scheme_chosen">'Deploy Workload Domain'!$D$84</definedName>
    <definedName name="wld_az1_vmotion_mask">'Value Reference Tables - MR'!$I$55</definedName>
    <definedName name="wld_az1_vmotion_mtu">'Value Reference Tables - MR'!$I$71</definedName>
    <definedName name="wld_az1_vmotion_network">'Value Reference Tables - MR'!$I$40</definedName>
    <definedName name="wld_az1_vmotion_pool_end_ip">'Value Reference Tables - MR'!$I$166</definedName>
    <definedName name="wld_az1_vmotion_pool_start_ip">'Value Reference Tables - MR'!$I$165</definedName>
    <definedName name="wld_az1_vmotion_vlan">'Value Reference Tables - MR'!$I$10</definedName>
    <definedName name="wld_az1_vrms_cidr">'Value Reference Tables - MR'!$I$34</definedName>
    <definedName name="wld_az1_vrms_gateway_ip">'Value Reference Tables - MR'!$I$96</definedName>
    <definedName name="wld_az1_vrms_mtu">'Value Reference Tables - MR'!$I$80</definedName>
    <definedName name="wld_az1_vrms_network">'Value Reference Tables - MR'!$I$49</definedName>
    <definedName name="wld_az1_vrms_vlan">'Value Reference Tables - MR'!$I$19</definedName>
    <definedName name="wld_az2_edge_overlay_cidr">'Value Reference Tables - MR'!$I$318</definedName>
    <definedName name="wld_az2_edge_overlay_gateway_ip">'Value Reference Tables - MR'!$I$363</definedName>
    <definedName name="wld_az2_edge_overlay_mask">'Value Reference Tables - MR'!$I$348</definedName>
    <definedName name="wld_az2_edge_overlay_mtu">'Value Reference Tables - MR'!$I$378</definedName>
    <definedName name="wld_az2_edge_overlay_network">'Value Reference Tables - MR'!$I$333</definedName>
    <definedName name="wld_az2_edge_overlay_pg">'Value Reference Tables - MR'!$I$402</definedName>
    <definedName name="wld_az2_edge_overlay_vlan">'Value Reference Tables - MR'!$I$303</definedName>
    <definedName name="wld_az2_host_fqdns">'Value Reference Tables - MR'!$I$493:$I$508</definedName>
    <definedName name="wld_az2_host_hostnames">'Value Reference Tables - MR'!$I$474:$I$489</definedName>
    <definedName name="wld_az2_host_mgmt_ips">'Value Reference Tables - MR'!$I$439:$I$454</definedName>
    <definedName name="wld_az2_host_overlay_cidr">'Value Reference Tables - MR'!$I$313</definedName>
    <definedName name="wld_az2_host_overlay_gateway_ip">'Value Reference Tables - MR'!$I$358</definedName>
    <definedName name="wld_az2_host_overlay_mask">'Value Reference Tables - MR'!$I$343</definedName>
    <definedName name="wld_az2_host_overlay_mtu">'Value Reference Tables - MR'!$I$373</definedName>
    <definedName name="wld_az2_host_overlay_network">'Value Reference Tables - MR'!$I$328</definedName>
    <definedName name="wld_az2_host_overlay_network_pool_name">'Value Reference Tables - MR'!$I$424</definedName>
    <definedName name="wld_az2_host_overlay_network_profile_name">'Value Reference Tables - MR'!$I$423</definedName>
    <definedName name="wld_az2_host_overlay_new_pool_chosen">'Configure Workload Domain'!$D$391</definedName>
    <definedName name="wld_az2_host_overlay_pg">'Value Reference Tables - MR'!$I$398</definedName>
    <definedName name="wld_az2_host_overlay_pool_end_ip">'Value Reference Tables - MR'!$I$412</definedName>
    <definedName name="wld_az2_host_overlay_pool_name">'Value Reference Tables'!$F$120</definedName>
    <definedName name="wld_az2_host_overlay_pool_start_ip">'Value Reference Tables - MR'!$I$411</definedName>
    <definedName name="wld_az2_host_overlay_uplink_profile_name">'Value Reference Tables - MR'!$I$425</definedName>
    <definedName name="wld_az2_host_overlay_vlan">'Value Reference Tables - MR'!$I$298</definedName>
    <definedName name="wld_az2_host_vrms_ips">'Value Reference Tables - MR'!$I$455:$I$470</definedName>
    <definedName name="wld_az2_host1_fqdn">'Value Reference Tables - MR'!$I$493</definedName>
    <definedName name="wld_az2_host1_hostname">'Value Reference Tables - MR'!$I$474</definedName>
    <definedName name="wld_az2_host1_mgmt_ip">'Value Reference Tables - MR'!$I$439</definedName>
    <definedName name="wld_az2_host1_sddc_id">'Value Reference Tables'!$F$115</definedName>
    <definedName name="wld_az2_host1_vrms_ip">'Value Reference Tables - MR'!$I$455</definedName>
    <definedName name="wld_az2_host10_fqdn">'Value Reference Tables - MR'!$I$502</definedName>
    <definedName name="wld_az2_host10_hostname">'Value Reference Tables - MR'!$I$483</definedName>
    <definedName name="wld_az2_host10_mgmt_ip">'Value Reference Tables - MR'!$I$448</definedName>
    <definedName name="wld_az2_host10_vrms_ip">'Value Reference Tables - MR'!$I$464</definedName>
    <definedName name="wld_az2_host11_fqdn">'Value Reference Tables - MR'!$I$503</definedName>
    <definedName name="wld_az2_host11_hostname">'Value Reference Tables - MR'!$I$484</definedName>
    <definedName name="wld_az2_host11_mgmt_ip">'Value Reference Tables - MR'!$I$449</definedName>
    <definedName name="wld_az2_host11_vrms_ip">'Value Reference Tables - MR'!$I$465</definedName>
    <definedName name="wld_az2_host12_fqdn">'Value Reference Tables - MR'!$I$504</definedName>
    <definedName name="wld_az2_host12_hostname">'Value Reference Tables - MR'!$I$485</definedName>
    <definedName name="wld_az2_host12_mgmt_ip">'Value Reference Tables - MR'!$I$450</definedName>
    <definedName name="wld_az2_host12_vrms_ip">'Value Reference Tables - MR'!$I$466</definedName>
    <definedName name="wld_az2_host13_fqdn">'Value Reference Tables - MR'!$I$505</definedName>
    <definedName name="wld_az2_host13_hostname">'Value Reference Tables - MR'!$I$486</definedName>
    <definedName name="wld_az2_host13_mgmt_ip">'Value Reference Tables - MR'!$I$451</definedName>
    <definedName name="wld_az2_host13_vrms_ip">'Value Reference Tables - MR'!$I$467</definedName>
    <definedName name="wld_az2_host14_fqdn">'Value Reference Tables - MR'!$I$506</definedName>
    <definedName name="wld_az2_host14_hostname">'Value Reference Tables - MR'!$I$487</definedName>
    <definedName name="wld_az2_host14_mgmt_ip">'Value Reference Tables - MR'!$I$452</definedName>
    <definedName name="wld_az2_host14_vrms_ip">'Value Reference Tables - MR'!$I$468</definedName>
    <definedName name="wld_az2_host15_fqdn">'Value Reference Tables - MR'!$I$507</definedName>
    <definedName name="wld_az2_host15_hostname">'Value Reference Tables - MR'!$I$488</definedName>
    <definedName name="wld_az2_host15_mgmt_ip">'Value Reference Tables - MR'!$I$453</definedName>
    <definedName name="wld_az2_host15_vrms_ip">'Value Reference Tables - MR'!$I$469</definedName>
    <definedName name="wld_az2_host16_fqdn">'Value Reference Tables - MR'!$I$508</definedName>
    <definedName name="wld_az2_host16_hostname">'Value Reference Tables - MR'!$I$489</definedName>
    <definedName name="wld_az2_host16_mgmt_ip">'Value Reference Tables - MR'!$I$454</definedName>
    <definedName name="wld_az2_host16_vrms_ip">'Value Reference Tables - MR'!$I$470</definedName>
    <definedName name="wld_az2_host2_fqdn">'Value Reference Tables - MR'!$I$494</definedName>
    <definedName name="wld_az2_host2_hostname">'Value Reference Tables - MR'!$I$475</definedName>
    <definedName name="wld_az2_host2_mgmt_ip">'Value Reference Tables - MR'!$I$440</definedName>
    <definedName name="wld_az2_host2_sddc_id">'Value Reference Tables'!$F$116</definedName>
    <definedName name="wld_az2_host2_vrms_ip">'Value Reference Tables - MR'!$I$456</definedName>
    <definedName name="wld_az2_host3_fqdn">'Value Reference Tables - MR'!$I$495</definedName>
    <definedName name="wld_az2_host3_hostname">'Value Reference Tables - MR'!$I$476</definedName>
    <definedName name="wld_az2_host3_mgmt_ip">'Value Reference Tables - MR'!$I$441</definedName>
    <definedName name="wld_az2_host3_sddc_id">'Value Reference Tables'!$F$117</definedName>
    <definedName name="wld_az2_host3_vrms_ip">'Value Reference Tables - MR'!$I$457</definedName>
    <definedName name="wld_az2_host4_fqdn">'Value Reference Tables - MR'!$I$496</definedName>
    <definedName name="wld_az2_host4_hostname">'Value Reference Tables - MR'!$I$477</definedName>
    <definedName name="wld_az2_host4_mgmt_ip">'Value Reference Tables - MR'!$I$442</definedName>
    <definedName name="wld_az2_host4_sddc_id">'Value Reference Tables'!$F$118</definedName>
    <definedName name="wld_az2_host4_vrms_ip">'Value Reference Tables - MR'!$I$458</definedName>
    <definedName name="wld_az2_host5_fqdn">'Value Reference Tables - MR'!$I$497</definedName>
    <definedName name="wld_az2_host5_hostname">'Value Reference Tables - MR'!$I$478</definedName>
    <definedName name="wld_az2_host5_mgmt_ip">'Value Reference Tables - MR'!$I$443</definedName>
    <definedName name="wld_az2_host5_vrms_ip">'Value Reference Tables - MR'!$I$459</definedName>
    <definedName name="wld_az2_host6_fqdn">'Value Reference Tables - MR'!$I$498</definedName>
    <definedName name="wld_az2_host6_hostname">'Value Reference Tables - MR'!$I$479</definedName>
    <definedName name="wld_az2_host6_mgmt_ip">'Value Reference Tables - MR'!$I$444</definedName>
    <definedName name="wld_az2_host6_vrms_ip">'Value Reference Tables - MR'!$I$460</definedName>
    <definedName name="wld_az2_host7_fqdn">'Value Reference Tables - MR'!$I$499</definedName>
    <definedName name="wld_az2_host7_hostname">'Value Reference Tables - MR'!$I$480</definedName>
    <definedName name="wld_az2_host7_mgmt_ip">'Value Reference Tables - MR'!$I$445</definedName>
    <definedName name="wld_az2_host7_vrms_ip">'Value Reference Tables - MR'!$I$461</definedName>
    <definedName name="wld_az2_host8_fqdn">'Value Reference Tables - MR'!$I$500</definedName>
    <definedName name="wld_az2_host8_hostname">'Value Reference Tables - MR'!$I$481</definedName>
    <definedName name="wld_az2_host8_mgmt_ip">'Value Reference Tables - MR'!$I$446</definedName>
    <definedName name="wld_az2_host8_vrms_ip">'Value Reference Tables - MR'!$I$462</definedName>
    <definedName name="wld_az2_host9_fqdn">'Value Reference Tables - MR'!$I$501</definedName>
    <definedName name="wld_az2_host9_hostname">'Value Reference Tables - MR'!$I$482</definedName>
    <definedName name="wld_az2_host9_mgmt_ip">'Value Reference Tables - MR'!$I$447</definedName>
    <definedName name="wld_az2_host9_vrms_ip">'Value Reference Tables - MR'!$I$463</definedName>
    <definedName name="wld_az2_mgmt_cidr">'Value Reference Tables - MR'!$I$310</definedName>
    <definedName name="wld_az2_mgmt_gateway_ip">'Value Reference Tables - MR'!$I$355</definedName>
    <definedName name="wld_az2_mgmt_mask">'Value Reference Tables - MR'!$I$340</definedName>
    <definedName name="wld_az2_mgmt_mtu">'Value Reference Tables - MR'!$I$370</definedName>
    <definedName name="wld_az2_mgmt_network">'Value Reference Tables - MR'!$I$325</definedName>
    <definedName name="wld_az2_mgmt_vlan">'Value Reference Tables - MR'!$I$295</definedName>
    <definedName name="wld_az2_pool_name">'Value Reference Tables - MR'!$I$422</definedName>
    <definedName name="wld_az2_principal_storage_cidr">'Value Reference Tables - MR'!$I$312</definedName>
    <definedName name="wld_az2_principal_storage_gateway_ip">'Value Reference Tables - MR'!$I$357</definedName>
    <definedName name="wld_az2_principal_storage_mask">'Value Reference Tables - MR'!$I$342</definedName>
    <definedName name="wld_az2_principal_storage_mtu">'Value Reference Tables - MR'!$I$372</definedName>
    <definedName name="wld_az2_principal_storage_network">'Value Reference Tables - MR'!$I$327</definedName>
    <definedName name="wld_az2_principal_storage_pool_end_ip">'Value Reference Tables - MR'!$I$410</definedName>
    <definedName name="wld_az2_principal_storage_pool_start_ip">'Value Reference Tables - MR'!$I$409</definedName>
    <definedName name="wld_az2_principal_storage_vlan">'Value Reference Tables - MR'!$I$297</definedName>
    <definedName name="wld_az2_reuse_vcf_networkpool_chosen">'Configure Workload Domain'!$D$265</definedName>
    <definedName name="wld_az2_rtep_overlay_cidr">'Value Reference Tables - MR'!$I$319</definedName>
    <definedName name="wld_az2_rtep_overlay_gateway_ip">'Value Reference Tables - MR'!$I$364</definedName>
    <definedName name="wld_az2_rtep_overlay_mask">'Value Reference Tables - MR'!$I$349</definedName>
    <definedName name="wld_az2_rtep_overlay_mtu">'Value Reference Tables - MR'!$I$379</definedName>
    <definedName name="wld_az2_rtep_overlay_network">'Value Reference Tables - MR'!$I$334</definedName>
    <definedName name="wld_az2_rtep_overlay_pg">'Value Reference Tables - MR'!$I$403</definedName>
    <definedName name="wld_az2_rtep_overlay_vlan">'Value Reference Tables - MR'!$I$304</definedName>
    <definedName name="wld_az2_secondary_storage_cidr">'Value Reference Tables - MR'!$I$314</definedName>
    <definedName name="wld_az2_secondary_storage_gateway_ip">'Value Reference Tables'!$AE$40</definedName>
    <definedName name="wld_az2_secondary_storage_mask">'Value Reference Tables - MR'!$I$344</definedName>
    <definedName name="wld_az2_secondary_storage_mtu">'Value Reference Tables - MR'!$I$374</definedName>
    <definedName name="wld_az2_secondary_storage_network">'Value Reference Tables - MR'!$I$329</definedName>
    <definedName name="wld_az2_secondary_storage_pool_end_ip">'Value Reference Tables - MR'!$I$414</definedName>
    <definedName name="wld_az2_secondary_storage_pool_start_ip">'Value Reference Tables - MR'!$I$413</definedName>
    <definedName name="wld_az2_secondary_storage_vlan">'Value Reference Tables - MR'!$I$299</definedName>
    <definedName name="wld_az2_storage_cluster_gateway_ip">'Value Reference Tables - MR'!$I$360</definedName>
    <definedName name="wld_az2_storage_cluster_mask">'Value Reference Tables - MR'!$I$345</definedName>
    <definedName name="wld_az2_storage_cluster_mtu">'Value Reference Tables - MR'!$I$375</definedName>
    <definedName name="wld_az2_storage_cluster_network">'Value Reference Tables - MR'!$I$330</definedName>
    <definedName name="wld_az2_storage_cluster_pool_end_ip">'Value Reference Tables - MR'!$I$416</definedName>
    <definedName name="wld_az2_storage_cluster_pool_start_ip">'Value Reference Tables - MR'!$I$415</definedName>
    <definedName name="wld_az2_storage_cluster_vlan">'Value Reference Tables - MR'!$I$300</definedName>
    <definedName name="wld_az2_tor1_peer_asn">'Value Reference Tables - MR'!$I$386</definedName>
    <definedName name="wld_az2_tor1_peer_bgp_password">'Value Reference Tables - MR'!$I$387</definedName>
    <definedName name="wld_az2_tor1_peer_ip">'Value Reference Tables - MR'!$I$385</definedName>
    <definedName name="wld_az2_tor2_peer_asn">'Value Reference Tables - MR'!$I$389</definedName>
    <definedName name="wld_az2_tor2_peer_bgp_password">'Value Reference Tables - MR'!$I$390</definedName>
    <definedName name="wld_az2_tor2_peer_ip">'Value Reference Tables - MR'!$I$388</definedName>
    <definedName name="wld_az2_uplink01_cidr">'Value Reference Tables - MR'!$I$316</definedName>
    <definedName name="wld_az2_uplink01_gateway_ip">'Value Reference Tables - MR'!$I$361</definedName>
    <definedName name="wld_az2_uplink01_mask">'Value Reference Tables - MR'!$I$346</definedName>
    <definedName name="wld_az2_uplink01_mtu">'Value Reference Tables - MR'!$I$376</definedName>
    <definedName name="wld_az2_uplink01_network">'Value Reference Tables - MR'!$I$331</definedName>
    <definedName name="wld_az2_uplink01_vlan">'Value Reference Tables - MR'!$I$301</definedName>
    <definedName name="wld_az2_uplink02_cidr">'Value Reference Tables - MR'!$I$317</definedName>
    <definedName name="wld_az2_uplink02_gateway_ip">'Value Reference Tables - MR'!$I$362</definedName>
    <definedName name="wld_az2_uplink02_mask">'Value Reference Tables - MR'!$I$347</definedName>
    <definedName name="wld_az2_uplink02_mtu">'Value Reference Tables - MR'!$I$377</definedName>
    <definedName name="wld_az2_uplink02_network">'Value Reference Tables - MR'!$I$332</definedName>
    <definedName name="wld_az2_uplink02_vlan">'Value Reference Tables - MR'!$I$302</definedName>
    <definedName name="wld_az2_vm_cidr">'Value Reference Tables'!$AE$35</definedName>
    <definedName name="wld_az2_vm_gateway_ip">'Value Reference Tables'!$AE$39</definedName>
    <definedName name="wld_az2_vm_mtu">'Value Reference Tables'!$AE$44</definedName>
    <definedName name="wld_az2_vm_vlan">'Value Reference Tables'!$AE$27</definedName>
    <definedName name="wld_az2_vmotion_cidr">'Value Reference Tables - MR'!$I$311</definedName>
    <definedName name="wld_az2_vmotion_gateway_ip">'Value Reference Tables - MR'!$I$356</definedName>
    <definedName name="wld_az2_vmotion_mask">'Value Reference Tables - MR'!$I$341</definedName>
    <definedName name="wld_az2_vmotion_mtu">'Value Reference Tables - MR'!$I$371</definedName>
    <definedName name="wld_az2_vmotion_network">'Value Reference Tables - MR'!$I$326</definedName>
    <definedName name="wld_az2_vmotion_pool_end_ip">'Value Reference Tables - MR'!$I$408</definedName>
    <definedName name="wld_az2_vmotion_pool_start_ip">'Value Reference Tables - MR'!$I$407</definedName>
    <definedName name="wld_az2_vmotion_vlan">'Value Reference Tables - MR'!$I$296</definedName>
    <definedName name="wld_az2_vrms_cidr">'Value Reference Tables - MR'!$I$320</definedName>
    <definedName name="wld_az2_vrms_gateway_ip">'Value Reference Tables - MR'!$I$365</definedName>
    <definedName name="wld_az2_vrms_mask">'Value Reference Tables - MR'!$I$350</definedName>
    <definedName name="wld_az2_vrms_mtu">'Value Reference Tables - MR'!$I$380</definedName>
    <definedName name="wld_az2_vrms_network">'Value Reference Tables - MR'!$I$335</definedName>
    <definedName name="wld_az2_vrms_vlan">'Value Reference Tables - MR'!$I$305</definedName>
    <definedName name="wld_bf_nsx_appliance_size_chosen">'Deploy Workload Domain'!$D$40</definedName>
    <definedName name="wld_bf_nsx_create_passwords_chosen">'Deploy Workload Domain'!$D$47</definedName>
    <definedName name="wld_bf_nsx_existing_chosen">'Deploy Workload Domain'!$D$33</definedName>
    <definedName name="wld_bf_nsx_ha_mode_chosen">'Deploy Workload Domain'!$D$39</definedName>
    <definedName name="wld_bf_nsx_join_manager_chosen">'Deploy Workload Domain'!$D$38</definedName>
    <definedName name="wld_bf_nsxt_admin_password">'Value Reference Tables'!$I$191</definedName>
    <definedName name="wld_bf_nsxt_audit_password">'Value Reference Tables'!$I$193</definedName>
    <definedName name="wld_bf_nsxt_configure_overlay_on_mgmt_pg_chosen">'Deploy Workload Domain'!$D$46</definedName>
    <definedName name="wld_bf_nsxt_enable_edge_sync_chosen">'Deploy Workload Domain'!$D$45</definedName>
    <definedName name="wld_bf_nsxt_mgra_fqdn">'Value Reference Tables'!$I$184</definedName>
    <definedName name="wld_bf_nsxt_mgrb_fqdn">'Value Reference Tables'!$I$185</definedName>
    <definedName name="wld_bf_nsxt_mgrc_fqdn">'Value Reference Tables'!$I$186</definedName>
    <definedName name="wld_bf_nsxt_root_password">'Value Reference Tables'!$I$192</definedName>
    <definedName name="wld_bf_nsxt_vip_fqdn">'Value Reference Tables'!$I$187</definedName>
    <definedName name="wld_bf_sddc_domain">'Value Reference Tables'!$I$194</definedName>
    <definedName name="wld_bf_vc_fqdn">'Value Reference Tables'!$I$176</definedName>
    <definedName name="wld_bf_vc_root_password">'Value Reference Tables'!$I$177</definedName>
    <definedName name="wld_bf_vc_sso_password">'Value Reference Tables'!$I$179</definedName>
    <definedName name="wld_bf_vc_sso_username">'Value Reference Tables'!$I$178</definedName>
    <definedName name="wld_bf_vcenter_type_chosen">'Deploy Workload Domain'!$D$28</definedName>
    <definedName name="wld_bgp_chosen">'Configure Workload Domain'!$B$12</definedName>
    <definedName name="wld_bgp_result">'Configure Workload Domain'!$D$12</definedName>
    <definedName name="wld_centralized_connectivity_chosen">'Deploy Workload Domain'!$D$196</definedName>
    <definedName name="wld_cl01_az1_mgmt_lbt_chosen">'Deploy Workload Domain'!$D$288</definedName>
    <definedName name="wld_cl01_az1_mgmt_pg">'Value Reference Tables - MR'!$I$126</definedName>
    <definedName name="wld_cl01_az1_mgmt_uplink1_chosen">'Deploy Workload Domain'!$D$289</definedName>
    <definedName name="wld_cl01_az1_mgmt_uplink2_chosen">'Deploy Workload Domain'!$D$290</definedName>
    <definedName name="wld_cl01_az1_mgmt_vm_lbt_chosen">'Deploy Workload Domain'!$D$293</definedName>
    <definedName name="wld_cl01_az1_mgmt_vm_pg">'Value Reference Tables - MR'!$I$125</definedName>
    <definedName name="wld_cl01_az1_mgmt_vm_uplink1_chosen">'Deploy Workload Domain'!$D$294</definedName>
    <definedName name="wld_cl01_az1_mgmt_vm_uplink2_chosen">'Deploy Workload Domain'!$D$295</definedName>
    <definedName name="wld_cl01_az1_nsx_lbt_chosen">'Deploy Workload Domain'!$D$334</definedName>
    <definedName name="wld_cl01_az1_nsx_uplink_count">'Value Reference Tables'!$F$176</definedName>
    <definedName name="wld_cl01_az1_nsx_uplink1_chosen">'Deploy Workload Domain'!$D$331</definedName>
    <definedName name="wld_cl01_az1_nsx_uplink2_chosen">'Deploy Workload Domain'!$D$332</definedName>
    <definedName name="wld_cl01_az1_principal_storage_pg">'Value Reference Tables - MR'!$I$128</definedName>
    <definedName name="wld_cl01_az1_uplink01_pg">'Value Reference Tables - MR'!$I$131</definedName>
    <definedName name="wld_cl01_az1_uplink02_pg">'Value Reference Tables - MR'!$I$132</definedName>
    <definedName name="wld_cl01_az1_vm_pg">'Value Reference Tables'!$AD$31</definedName>
    <definedName name="wld_cl01_az1_vmotion_lbt_chosen">'Deploy Workload Domain'!$D$298</definedName>
    <definedName name="wld_cl01_az1_vmotion_pg">'Value Reference Tables - MR'!$I$127</definedName>
    <definedName name="wld_cl01_az1_vmotion_uplink1_chosen">'Deploy Workload Domain'!$D$299</definedName>
    <definedName name="wld_cl01_az1_vmotion_uplink2_chosen">'Deploy Workload Domain'!$D$300</definedName>
    <definedName name="wld_cl01_az1_vsan_lbt_chosen">'Deploy Workload Domain'!$D$303</definedName>
    <definedName name="wld_cl01_az1_vsan_storage_client_lbt_chosen">'Deploy Workload Domain'!$D$308</definedName>
    <definedName name="wld_cl01_az1_vsan_storage_client_pg">'Value Reference Tables - MR'!$I$135</definedName>
    <definedName name="wld_cl01_az1_vsan_storage_client_uplink1_chosen">'Deploy Workload Domain'!$D$309</definedName>
    <definedName name="wld_cl01_az1_vsan_storage_client_uplink2_chosen">'Deploy Workload Domain'!$D$310</definedName>
    <definedName name="wld_cl01_az1_vsan_uplink1_chosen">'Deploy Workload Domain'!$D$304</definedName>
    <definedName name="wld_cl01_az1_vsan_uplink2_chosen">'Deploy Workload Domain'!$D$305</definedName>
    <definedName name="wld_cl01_az2_mgmt_pg">'Value Reference Tables - MR'!$I$395</definedName>
    <definedName name="wld_cl01_az2_principal_storage_pg">'Value Reference Tables - MR'!$I$397</definedName>
    <definedName name="wld_cl01_az2_uplink01_pg">'Value Reference Tables - MR'!$I$400</definedName>
    <definedName name="wld_cl01_az2_uplink02_pg">'Value Reference Tables - MR'!$I$401</definedName>
    <definedName name="wld_cl01_az2_vm_pg">'Value Reference Tables'!$AE$31</definedName>
    <definedName name="wld_cl01_az2_vmotion_pg">'Value Reference Tables - MR'!$I$396</definedName>
    <definedName name="wld_cl01_cluster">'Value Reference Tables'!$F$67</definedName>
    <definedName name="wld_cl01_cluster_sddc_id">'Value Reference Tables'!$O$64</definedName>
    <definedName name="wld_cl01_cluster_zn_name">'Value Reference Tables'!$F$183</definedName>
    <definedName name="wld_cl01_evc_mode">'Value Reference Tables'!$F$68</definedName>
    <definedName name="wld_cl01_image_name">'Value Reference Tables'!$F$151</definedName>
    <definedName name="wld_cl01_nfs_datastore_name">'Value Reference Tables'!$F$104</definedName>
    <definedName name="wld_cl01_nfs_server_address">'Value Reference Tables'!$F$106</definedName>
    <definedName name="wld_cl01_nfs_share_path">'Value Reference Tables'!$F$105</definedName>
    <definedName name="wld_cl01_nsxt_deployent_type_chosen">'Deploy Workload Domain'!$D$183</definedName>
    <definedName name="wld_cl01_supervisor_control_plane_ip_range">'Value Reference Tables'!$F$184</definedName>
    <definedName name="wld_cl01_supervisor_dns">'Value Reference Tables'!$F$185</definedName>
    <definedName name="wld_cl01_supervisor_name">'Value Reference Tables'!$F$186</definedName>
    <definedName name="wld_cl01_supervisor_nsx_project">'Value Reference Tables'!$F$187</definedName>
    <definedName name="wld_cl01_supervisor_ntp">'Value Reference Tables'!$F$188</definedName>
    <definedName name="wld_cl01_supervisor_private_transit_gateway_cidr">'Value Reference Tables'!$F$190</definedName>
    <definedName name="wld_cl01_supervisor_service_cidr">'Value Reference Tables'!$F$191</definedName>
    <definedName name="wld_cl01_supervisor_use_mgmt_vmk_chosen">'Deploy Workload Domain'!$D$343</definedName>
    <definedName name="wld_cl01_supervisor_vpc_profile">'Value Reference Tables'!$F$193</definedName>
    <definedName name="wld_cl01_vds_copy_profile_chosen">'Deploy Workload Domain'!$D$249</definedName>
    <definedName name="wld_cl01_vds_name">'Value Reference Tables'!$O$65</definedName>
    <definedName name="wld_cl01_vds_profile_chosen">'Deploy Workload Domain'!$D$248</definedName>
    <definedName name="wld_cl01_vds_standard_preconfigured_profiles">'Static Reference Tables'!$C$479:$C$483</definedName>
    <definedName name="wld_cl01_vds_vsanmax_preconfigured_profiles">'Static Reference Tables'!$B$479:$B$480</definedName>
    <definedName name="wld_cl01_vds01_lacp_mode_chosen">'Deploy Workload Domain'!$D$258</definedName>
    <definedName name="wld_cl01_vds01_lacp_timeout_chosen">'Deploy Workload Domain'!$D$260</definedName>
    <definedName name="wld_cl01_vds01_lag_lbt_chosen">'Deploy Workload Domain'!$D$259</definedName>
    <definedName name="wld_cl01_vds01_lag_name">'Value Reference Tables'!$F$80</definedName>
    <definedName name="wld_cl01_vds01_link_type_chosen">'Deploy Workload Domain'!$D$256</definedName>
    <definedName name="wld_cl01_vds01_mtu">'Value Reference Tables'!$F$77</definedName>
    <definedName name="wld_cl01_vds01_name">'Value Reference Tables'!$F$74</definedName>
    <definedName name="wld_cl01_vds01_pnics">'Value Reference Tables'!$F$75</definedName>
    <definedName name="wld_cl01_vds01_traffic_type">'Value Reference Tables'!$F$79</definedName>
    <definedName name="wld_cl01_vds01_uplink_count">'Value Reference Tables'!$F$76</definedName>
    <definedName name="wld_cl01_vds02_lacp_mode_chosen">'Deploy Workload Domain'!$D$269</definedName>
    <definedName name="wld_cl01_vds02_lacp_timeout_chosen">'Deploy Workload Domain'!$D$271</definedName>
    <definedName name="wld_cl01_vds02_lag_lbt_chosen">'Deploy Workload Domain'!$D$270</definedName>
    <definedName name="wld_cl01_vds02_lag_name">'Value Reference Tables'!$F$88</definedName>
    <definedName name="wld_cl01_vds02_link_type_chosen">'Deploy Workload Domain'!$D$267</definedName>
    <definedName name="wld_cl01_vds02_mtu">'Value Reference Tables'!$F$85</definedName>
    <definedName name="wld_cl01_vds02_name">'Value Reference Tables'!$F$82</definedName>
    <definedName name="wld_cl01_vds02_pnics">'Value Reference Tables'!$F$83</definedName>
    <definedName name="wld_cl01_vds02_traffic_type">'Value Reference Tables'!$F$87</definedName>
    <definedName name="wld_cl01_vds02_uplink_count">'Value Reference Tables'!$F$84</definedName>
    <definedName name="wld_cl01_vds03_lacp_mode_chosen">'Deploy Workload Domain'!$D$280</definedName>
    <definedName name="wld_cl01_vds03_lacp_timeout_chosen">'Deploy Workload Domain'!$D$282</definedName>
    <definedName name="wld_cl01_vds03_lag_lbt_chosen">'Deploy Workload Domain'!$D$281</definedName>
    <definedName name="wld_cl01_vds03_lag_name">'Value Reference Tables'!$F$96</definedName>
    <definedName name="wld_cl01_vds03_link_type_chosen">'Deploy Workload Domain'!$D$278</definedName>
    <definedName name="wld_cl01_vds03_mtu">'Value Reference Tables'!$F$91</definedName>
    <definedName name="wld_cl01_vds03_name">'Value Reference Tables'!$F$90</definedName>
    <definedName name="wld_cl01_vds03_pnics">'Value Reference Tables'!$F$92</definedName>
    <definedName name="wld_cl01_vds03_traffic_type">'Value Reference Tables'!$F$95</definedName>
    <definedName name="wld_cl01_vds03_uplink_count">'Value Reference Tables'!$F$93</definedName>
    <definedName name="wld_cl01_vmfs_datastore_name">'Value Reference Tables'!$F$103</definedName>
    <definedName name="wld_cl01_vsan_client_network">'Deploy Workload Domain'!$D$213</definedName>
    <definedName name="wld_cl01_vsan_datastore">'Value Reference Tables'!$F$100</definedName>
    <definedName name="wld_cl01_vsan_dedupe_compression_chosen">'Deploy Workload Domain'!$D$219</definedName>
    <definedName name="wld_cl01_vsan_dit_chosen">'Deploy Workload Domain'!$D$215</definedName>
    <definedName name="wld_cl01_vsan_dit_rekey_type_chosen">'Deploy Workload Domain'!$D$216</definedName>
    <definedName name="wld_cl01_vsan_ftt_chosen">'Deploy Workload Domain'!$D$214</definedName>
    <definedName name="wld_cluster_compute_edge">'Static Reference Tables'!$B$432:$B$433</definedName>
    <definedName name="wld_cluster_compute_only">'Static Reference Tables'!$B$432</definedName>
    <definedName name="wld_cluster_edge">'Static Reference Tables'!$B$433</definedName>
    <definedName name="wld_compute_hosts_per_rack">'Value Reference Tables'!$F$8</definedName>
    <definedName name="wld_compute_hosts_per_rack_chosen">'Deploy Workload Domain'!$B$11</definedName>
    <definedName name="wld_compute_hosts_per_rack_result">'Deploy Workload Domain'!$D$11</definedName>
    <definedName name="wld_compute_total_number_hosts">'Value Reference Tables'!$F$9</definedName>
    <definedName name="wld_datacenter">'Value Reference Tables'!$O$87</definedName>
    <definedName name="wld_dedicated_edge_cluster_chosen_exclude">'Static Reference Tables'!$B$437</definedName>
    <definedName name="wld_dedicated_edge_cluster_chosen_include">'Static Reference Tables'!$B$436:$B$437</definedName>
    <definedName name="wld_domain_chosen">'Deploy Workload Domain'!$B$10</definedName>
    <definedName name="wld_domain_deployment_dual_stack_chosen">'Deploy Workload Domain'!$D$162</definedName>
    <definedName name="wld_domain_deployment_type">'Deploy Workload Domain'!$D$160</definedName>
    <definedName name="wld_domain_number_chosen">'Value Reference Tables'!$F$7</definedName>
    <definedName name="wld_domain_password_creation_chosen">'Deploy Workload Domain'!$D$357</definedName>
    <definedName name="wld_domain_result">'Deploy Workload Domain'!$D$10</definedName>
    <definedName name="wld_dpg_separation_chosen">'Deploy Workload Domain'!$B$13</definedName>
    <definedName name="wld_dpg_separation_result">'Deploy Workload Domain'!$D$13</definedName>
    <definedName name="wld_ec_api_chosen">'Configure Workload Domain'!$D$171</definedName>
    <definedName name="wld_ec_formfactor_chosen">'Configure Workload Domain'!$D$40</definedName>
    <definedName name="wld_ec_gateway_type">'Value Reference Tables'!$F$156</definedName>
    <definedName name="wld_ec_ip_assignment_chosen">'Configure Workload Domain'!$D$48</definedName>
    <definedName name="wld_ec_mtu">'Value Reference Tables'!$F$194</definedName>
    <definedName name="wld_ec_name">'Value Reference Tables'!$O$66</definedName>
    <definedName name="wld_ec_rp_name">'Value Reference Tables'!$F$157</definedName>
    <definedName name="wld_ec01_en01_host_group_affinity_rule_name">'Value Reference Tables'!$F$159</definedName>
    <definedName name="wld_ec01_en02_host_group_affinity_rule_name">'Value Reference Tables'!$F$160</definedName>
    <definedName name="wld_ec01_host_group_affinity_rule_chosen">'Configure Workload Domain'!$D$45</definedName>
    <definedName name="wld_ec01_use_host_overlay_chosen">'Configure Workload Domain'!$D$53</definedName>
    <definedName name="wld_en_asn">'Value Reference Tables - MR'!$I$115</definedName>
    <definedName name="wld_en01_bfd_chosen">'Configure Workload Domain'!$D$107</definedName>
    <definedName name="wld_en02_bfd_chosen">'Configure Workload Domain'!$D$122</definedName>
    <definedName name="wld_esx_root_password">'Value Reference Tables'!$C$206</definedName>
    <definedName name="wld_esx_root_username">'Value Reference Tables'!$L$40</definedName>
    <definedName name="wld_esxi_external_certs_chosen">'Deploy Workload Domain'!$B$17</definedName>
    <definedName name="wld_esxi_external_certs_result">'Deploy Workload Domain'!$D$17</definedName>
    <definedName name="wld_existing_active_nsx_gm">'Value Reference Tables'!$O$84</definedName>
    <definedName name="wld_existing_cross_instance_t0_name">'Value Reference Tables'!$O$85</definedName>
    <definedName name="wld_gateway_routing_type_chosen">'Configure Workload Domain'!$D$101</definedName>
    <definedName name="wld_host_overlay_addressing_chosen">'Deploy Workload Domain'!$D$319</definedName>
    <definedName name="wld_iaas_chosen">'Deploy Workload Domain'!$B$18</definedName>
    <definedName name="wld_iaas_result">'Deploy Workload Domain'!$D$18</definedName>
    <definedName name="wld_iaas_service_chosen">'Value Reference Tables'!$F$171</definedName>
    <definedName name="wld_multi_rack_count_chosen">'Deploy Workload Domain'!$B$12</definedName>
    <definedName name="wld_multi_rack_count_result">'Deploy Workload Domain'!$D$12</definedName>
    <definedName name="wld_multirack_calc">'Value Reference Tables'!$E$10</definedName>
    <definedName name="wld_multirack_result">'Value Reference Tables'!$F$10</definedName>
    <definedName name="wld_nsx_default_operation_mode_chosen">'Deploy Workload Domain'!$D$312</definedName>
    <definedName name="wld_nsx_ha_mode_chosen">'Deploy Workload Domain'!$D$186</definedName>
    <definedName name="wld_nsx_operation_mode_chosen">'Deploy Workload Domain'!$D$313</definedName>
    <definedName name="wld_nsx_overlay_transport_zone_chosen">'Deploy Workload Domain'!$D$314</definedName>
    <definedName name="wld_nsx_vlan_transport_zone_chosen">'Deploy Workload Domain'!$D$315</definedName>
    <definedName name="wld_nsx_vlan_transport_zone_name">'Value Reference Tables'!$F$177</definedName>
    <definedName name="wld_nsxt_appliance_size_chosen">'Deploy Workload Domain'!$D$187</definedName>
    <definedName name="wld_nsxt_en_admin_password">'Value Reference Tables'!$F$195</definedName>
    <definedName name="wld_nsxt_en_root_password">'Value Reference Tables'!$F$196</definedName>
    <definedName name="wld_nsxt_federation_chosen">'Configure Workload Domain'!$B$16</definedName>
    <definedName name="wld_nsxt_federation_global_manager_name">'Value Reference Tables'!$O$79</definedName>
    <definedName name="wld_nsxt_federation_location_name">'Value Reference Tables'!$O$80</definedName>
    <definedName name="wld_nsxt_federation_result">'Configure Workload Domain'!$D$16</definedName>
    <definedName name="wld_nsxt_global_mgr_anti_affinity_rule_name">'Value Reference Tables'!$O$76</definedName>
    <definedName name="wld_nsxt_global_mgr_certificate_id">'Value Reference Tables'!$O$77</definedName>
    <definedName name="wld_nsxt_global_mgr_cluster_id">'Value Reference Tables'!$O$75</definedName>
    <definedName name="wld_nsxt_global_mgr_vmca_signed_thumbprint">'Value Reference Tables'!$O$74</definedName>
    <definedName name="wld_nsxt_global_mgra_fqdn">'Value Reference Tables'!$F$51</definedName>
    <definedName name="wld_nsxt_global_mgra_hostname">'Value Reference Tables'!$F$38</definedName>
    <definedName name="wld_nsxt_global_mgra_ip">'Value Reference Tables'!$F$20</definedName>
    <definedName name="wld_nsxt_global_mgrb_fqdn">'Value Reference Tables'!$F$52</definedName>
    <definedName name="wld_nsxt_global_mgrb_hostname">'Value Reference Tables'!$F$39</definedName>
    <definedName name="wld_nsxt_global_mgrb_ip">'Value Reference Tables'!$F$21</definedName>
    <definedName name="wld_nsxt_global_mgrc_fqdn">'Value Reference Tables'!$F$53</definedName>
    <definedName name="wld_nsxt_global_mgrc_hostname">'Value Reference Tables'!$F$40</definedName>
    <definedName name="wld_nsxt_global_mgrc_ip">'Value Reference Tables'!$F$22</definedName>
    <definedName name="wld_nsxt_gm_admin_password">'Value Reference Tables'!$L$25</definedName>
    <definedName name="wld_nsxt_gm_audit_password">'Value Reference Tables'!$L$26</definedName>
    <definedName name="wld_nsxt_gm_fingerprint">'Value Reference Tables'!$O$82</definedName>
    <definedName name="wld_nsxt_gm_hostname">'Value Reference Tables'!$F$37</definedName>
    <definedName name="wld_nsxt_gm_root_password">'Value Reference Tables'!$L$24</definedName>
    <definedName name="wld_nsxt_gm_vip_fqdn">'Value Reference Tables'!$F$50</definedName>
    <definedName name="wld_nsxt_gm_vip_ip">'Value Reference Tables'!$F$19</definedName>
    <definedName name="wld_nsxt_hostname">'Value Reference Tables'!$F$33</definedName>
    <definedName name="wld_nsxt_lm_admin_password">'Value Reference Tables'!$F$154</definedName>
    <definedName name="wld_nsxt_lm_audit_password">'Value Reference Tables'!$F$153</definedName>
    <definedName name="wld_nsxt_lm_fingerprint">'Value Reference Tables'!$O$81</definedName>
    <definedName name="wld_nsxt_mgra_fqdn">'Value Reference Tables'!$F$47</definedName>
    <definedName name="wld_nsxt_mgra_hostname">'Value Reference Tables'!$F$34</definedName>
    <definedName name="wld_nsxt_mgra_ip">'Value Reference Tables'!$F$16</definedName>
    <definedName name="wld_nsxt_mgrb_fqdn">'Value Reference Tables'!$F$48</definedName>
    <definedName name="wld_nsxt_mgrb_hostname">'Value Reference Tables'!$F$35</definedName>
    <definedName name="wld_nsxt_mgrb_ip">'Value Reference Tables'!$F$17</definedName>
    <definedName name="wld_nsxt_mgrc_fqdn">'Value Reference Tables'!$F$49</definedName>
    <definedName name="wld_nsxt_mgrc_hostname">'Value Reference Tables'!$F$36</definedName>
    <definedName name="wld_nsxt_mgrc_ip">'Value Reference Tables'!$F$18</definedName>
    <definedName name="wld_nsxt_vip_fqdn">'Value Reference Tables'!$F$46</definedName>
    <definedName name="wld_nsxt_vip_ip">'Value Reference Tables'!$F$15</definedName>
    <definedName name="wld_nsxt_xreg_t1_name">'Value Reference Tables'!$O$83</definedName>
    <definedName name="wld_principal_storage_chosen">'Deploy Workload Domain'!$B$14</definedName>
    <definedName name="wld_principal_storage_result">'Deploy Workload Domain'!$D$14</definedName>
    <definedName name="wld_rack2_en_asn">'Value Reference Tables - MR'!$L$115</definedName>
    <definedName name="wld_rack3_en_asn">'Value Reference Tables - MR'!$O$115</definedName>
    <definedName name="wld_rack4_en_asn">'Value Reference Tables - MR'!$R$115</definedName>
    <definedName name="wld_rack5_en_asn">'Value Reference Tables - MR'!$U$115</definedName>
    <definedName name="wld_rack6_en_asn">'Value Reference Tables - MR'!$X$115</definedName>
    <definedName name="wld_rack7_en_asn">'Value Reference Tables - MR'!$AA$115</definedName>
    <definedName name="wld_rack8_en_asn">'Value Reference Tables - MR'!$AD$115</definedName>
    <definedName name="wld_rtep_ip_pool_name">'Value Reference Tables'!$O$78</definedName>
    <definedName name="wld_rtep_overlay_pool_end_ip">'Value Reference Tables - MR'!$I$178</definedName>
    <definedName name="wld_rtep_overlay_pool_start_ip">'Value Reference Tables - MR'!$I$177</definedName>
    <definedName name="wld_rwr_az1_vrms_gateway_ip">'Value Reference Tables'!$U$202</definedName>
    <definedName name="wld_rwr_az1_vrms_gateway_mask">'Value Reference Tables'!$U$204</definedName>
    <definedName name="wld_rwr_cl02_cluster">'Value Reference Tables'!$U$191</definedName>
    <definedName name="wld_rwr_recovery_site_az1_vrms_cidr">'Value Reference Tables'!$U$203</definedName>
    <definedName name="wld_rwr_recovery_site_vc_fqdn">'Value Reference Tables'!$U$198</definedName>
    <definedName name="wld_rwr_recoverysite_fd">'Value Reference Tables'!$U$200</definedName>
    <definedName name="wld_rwr_recoverysite_prefix">'Value Reference Tables'!$U$201</definedName>
    <definedName name="wld_rwr_vc_fqdn">'Value Reference Tables'!$U$188</definedName>
    <definedName name="wld_rwr_vcfops_vlsr_username">'Value Reference Tables'!$U$206</definedName>
    <definedName name="wld_rwr_vcfops_vr_username">'Value Reference Tables'!$U$207</definedName>
    <definedName name="wld_sddc_domain">'Value Reference Tables'!$O$63</definedName>
    <definedName name="wld_secondary_storage_chosen">'Deploy Workload Domain'!$B$16</definedName>
    <definedName name="wld_secondary_storage_result">'Deploy Workload Domain'!$D$16</definedName>
    <definedName name="wld_signed_certs_chosen">'Configure Workload Domain'!$B$11</definedName>
    <definedName name="wld_signed_certs_result">'Configure Workload Domain'!$D$11</definedName>
    <definedName name="wld_srm_admin_email">'Value Reference Tables'!$U$111</definedName>
    <definedName name="wld_srm_admin_password">'Value Reference Tables'!$U$108</definedName>
    <definedName name="wld_srm_database_password">'Value Reference Tables'!$U$109</definedName>
    <definedName name="wld_srm_fqdn">'Value Reference Tables'!$R$128</definedName>
    <definedName name="wld_srm_hostname">'Value Reference Tables'!$R$118</definedName>
    <definedName name="wld_srm_ip">'Value Reference Tables'!$R$108</definedName>
    <definedName name="wld_srm_p12_password">'Value Reference Tables'!$U$112</definedName>
    <definedName name="wld_srm_recovery_vcenter_fqdn">'Value Reference Tables'!$U$114</definedName>
    <definedName name="wld_srm_recovery_vcenter_password">'Value Reference Tables'!$U$116</definedName>
    <definedName name="wld_srm_recovery_vcenter_username">'Value Reference Tables'!$U$115</definedName>
    <definedName name="wld_srm_root_password">'Value Reference Tables'!$U$107</definedName>
    <definedName name="wld_srm_site_name">'Value Reference Tables'!$U$110</definedName>
    <definedName name="wld_srm_sso_domain_membership">'Value Reference Tables'!$U$118</definedName>
    <definedName name="wld_srm_vm_folder">'Value Reference Tables'!$U$106</definedName>
    <definedName name="wld_srm_vm_size">'Value Reference Tables'!$U$113</definedName>
    <definedName name="wld_sso_domain_administrator">'Value Reference Tables'!$F$150</definedName>
    <definedName name="wld_sso_domain_administrator_password">'Value Reference Tables'!$F$149</definedName>
    <definedName name="wld_sso_domain_name">'Value Reference Tables'!$F$148</definedName>
    <definedName name="wld_stretched_cluster_chosen">'Configure Workload Domain'!$B$15</definedName>
    <definedName name="wld_stretched_cluster_result">'Configure Workload Domain'!$D$15</definedName>
    <definedName name="wld_supervisor_chosen">'Configure Workload Domain'!$B$13</definedName>
    <definedName name="wld_supervisor_result">'Configure Workload Domain'!$D$13</definedName>
    <definedName name="wld_supvr_api_server_fqdn">'Value Reference Tables'!$F$237</definedName>
    <definedName name="wld_supvr_cp_storage_policy">'Value Reference Tables'!$F$222</definedName>
    <definedName name="wld_supvr_ctrl_plane_ha_chosen">'Configure Workload Domain'!$D$189</definedName>
    <definedName name="wld_supvr_ctrl_plane_size_chosen">'Configure Workload Domain'!$D$215</definedName>
    <definedName name="wld_supvr_ed_storage_policy">'Value Reference Tables'!$F$223</definedName>
    <definedName name="wld_supvr_ic_storage_policy">'Value Reference Tables'!$F$224</definedName>
    <definedName name="wld_supvr_ip_address_range">'Value Reference Tables'!$F$225</definedName>
    <definedName name="wld_supvr_ip_mode_chosen">'Configure Workload Domain'!$D$197</definedName>
    <definedName name="wld_supvr_location_chosen">'Configure Workload Domain'!$D$187</definedName>
    <definedName name="wld_supvr_mgmt_dns_server">'Value Reference Tables'!$F$226</definedName>
    <definedName name="wld_supvr_mgmt_dns_zones">'Value Reference Tables'!$F$227</definedName>
    <definedName name="wld_supvr_mgmt_ntp_server">'Value Reference Tables'!$F$228</definedName>
    <definedName name="wld_supvr_name">'Value Reference Tables'!$F$220</definedName>
    <definedName name="wld_supvr_networking_stack_chosen">'Configure Workload Domain'!$D$185</definedName>
    <definedName name="wld_supvr_nsx_project">'Value Reference Tables'!$F$229</definedName>
    <definedName name="wld_supvr_vpc_connectivity_profile">'Value Reference Tables'!$F$230</definedName>
    <definedName name="wld_supvr_vpc_ext_ip_blocks_name">'Value Reference Tables'!$F$231</definedName>
    <definedName name="wld_supvr_vpc_priv_cidr">'Value Reference Tables'!$F$233</definedName>
    <definedName name="wld_supvr_vpc_priv_ip_blocks_name">'Value Reference Tables'!$F$232</definedName>
    <definedName name="wld_supvr_vpc_service_cidr">'Value Reference Tables'!$F$234</definedName>
    <definedName name="wld_supvr_wld_dns_server">'Value Reference Tables'!$F$235</definedName>
    <definedName name="wld_supvr_wld_ntp_server">'Value Reference Tables'!$F$236</definedName>
    <definedName name="wld_supvr_zone_name">'Value Reference Tables'!$F$221</definedName>
    <definedName name="wld_tier0_ha_chosen">'Configure Workload Domain'!$D$100</definedName>
    <definedName name="wld_tier0_name">'Value Reference Tables'!$O$68</definedName>
    <definedName name="wld_vc_fqdn">'Value Reference Tables'!$F$45</definedName>
    <definedName name="wld_vc_hostname">'Value Reference Tables'!$F$32</definedName>
    <definedName name="wld_vc_ip">'Value Reference Tables'!$F$14</definedName>
    <definedName name="wld_vcenter_root_password">'Value Reference Tables'!$C$207</definedName>
    <definedName name="wld_vlr_fqdn">'Value Reference Tables'!$U$190</definedName>
    <definedName name="wld_vlr_hostname">'Value Reference Tables'!$U$189</definedName>
    <definedName name="wld_vlr_replication_user">'Value Reference Tables'!$U$194</definedName>
    <definedName name="wld_vna_ip_assignment_address_type_chosen">'Configure Workload Domain'!$D$155</definedName>
    <definedName name="wld_vna_ip_assignment_chosen">'Configure Workload Domain'!$D$156</definedName>
    <definedName name="wld_vna_rp_name">'Value Reference Tables'!$F$215</definedName>
    <definedName name="wld_vnaa_fqdn">'Value Reference Tables'!$F$211</definedName>
    <definedName name="wld_vnaa_ip">'Value Reference Tables'!$F$27</definedName>
    <definedName name="wld_vnab_fqdn">'Value Reference Tables'!$F$212</definedName>
    <definedName name="wld_vnab_ip">'Value Reference Tables'!$F$28</definedName>
    <definedName name="wld_vpc_ext_ip_blocks">'Static Reference Tables'!$C$272</definedName>
    <definedName name="wld_vpc_ext_ip_blocks_cidr">'Value Reference Tables'!$F$202</definedName>
    <definedName name="wld_vpc_ext_ip_blocks_excluded_ips">'Value Reference Tables'!$F$203</definedName>
    <definedName name="wld_vpc_ext_ip_blocks_name">'Value Reference Tables'!$F$200</definedName>
    <definedName name="wld_vpc_ext_ip_blocks_reserved">'Value Reference Tables'!$F$204</definedName>
    <definedName name="wld_vpc_ext_ip_blocks_visability">'Value Reference Tables'!$F$201</definedName>
    <definedName name="wld_vpc_priv_ip_blocks_excluded_ips">'Value Reference Tables'!$F$208</definedName>
    <definedName name="wld_vpc_priv_ip_blocks_name">'Value Reference Tables'!$F$205</definedName>
    <definedName name="wld_vpc_priv_ip_blocks_reserved">'Value Reference Tables'!$F$209</definedName>
    <definedName name="wld_vpc_priv_ip_blocks_visability">'Value Reference Tables'!$F$206</definedName>
    <definedName name="wld_vpc_transit_gateway_ip_blocks_cidr">'Value Reference Tables'!$F$207</definedName>
    <definedName name="wld_vpc_vna_cluster_name">'Value Reference Tables'!$F$210</definedName>
    <definedName name="wld_vpc_vna_cluster_size_chosen">'Configure Workload Domain'!$D$149</definedName>
    <definedName name="wld_vrms_admin_email">'Value Reference Tables'!$U$103</definedName>
    <definedName name="wld_vrms_admin_password">'Value Reference Tables'!$U$101</definedName>
    <definedName name="wld_vrms_fqdn">'Value Reference Tables'!$R$127</definedName>
    <definedName name="wld_vrms_hostname">'Value Reference Tables'!$R$117</definedName>
    <definedName name="wld_vrms_mask">'Value Reference Tables'!$AA$15</definedName>
    <definedName name="wld_vrms_mgmt_ip">'Value Reference Tables'!$R$106</definedName>
    <definedName name="wld_vrms_p12_password">'Value Reference Tables'!$U$105</definedName>
    <definedName name="wld_vrms_pg">'Value Reference Tables'!$U$104</definedName>
    <definedName name="wld_vrms_recovery_replication_cidr">'Value Reference Tables'!$U$117</definedName>
    <definedName name="wld_vrms_root_password">'Value Reference Tables'!$U$100</definedName>
    <definedName name="wld_vrms_site_name">'Value Reference Tables'!$U$102</definedName>
    <definedName name="wld_vrms_vm_folder">'Value Reference Tables'!$U$99</definedName>
    <definedName name="wld_vrms_vrms_ip">'Value Reference Tables'!$R$107</definedName>
    <definedName name="wld_vsan_type">'Value Reference Tables'!$F$174</definedName>
    <definedName name="wld_vsan_type_chosen">'Configure Workload Domain'!$D$320</definedName>
    <definedName name="wld_witness_az_mgmt_mask">'Value Reference Tables'!$AA$12</definedName>
    <definedName name="wld_witness_cluster">'Value Reference Tables'!$F$125</definedName>
    <definedName name="wld_witness_dns1_ip">'Value Reference Tables'!$F$127</definedName>
    <definedName name="wld_witness_dns2_ip">'Value Reference Tables'!$F$128</definedName>
    <definedName name="wld_witness_fqdn">'Value Reference Tables'!$F$63</definedName>
    <definedName name="wld_witness_hostname">'Value Reference Tables'!$F$111</definedName>
    <definedName name="wld_witness_ip">'Value Reference Tables'!$F$136</definedName>
    <definedName name="wld_witness_mgmt_ip">'Value Reference Tables'!$F$135</definedName>
    <definedName name="wld_witness_mgmt_pg">'Value Reference Tables'!$X$36</definedName>
    <definedName name="wld_witness_ntp1_server">'Value Reference Tables'!$F$129</definedName>
    <definedName name="wld_witness_ntp2_server">'Value Reference Tables'!$F$130</definedName>
    <definedName name="wld_witness_root_password">'Value Reference Tables'!$L$35</definedName>
    <definedName name="wld_witness_vc_fqdn">'Value Reference Tables'!$F$62</definedName>
    <definedName name="wld_witness_vm_folder">'Value Reference Tables'!$F$126</definedName>
    <definedName name="wld_witness_vsan_datastore">'Value Reference Tables'!$F$124</definedName>
    <definedName name="wld_witness_zone_vc_fqdn">'Value Reference Tables'!$F$137</definedName>
    <definedName name="wld_witness_zone_vc_hostname">'Value Reference Tables'!$F$110</definedName>
    <definedName name="wld_witness_zone_vc_ip">'Value Reference Tables'!$F$134</definedName>
    <definedName name="wld_witnessaz_gateway_ip">'Value Reference Tables'!$X$44</definedName>
    <definedName name="wld_witnessaz_mgmt_cidr">'Value Reference Tables'!$F$138</definedName>
    <definedName name="wld_witnessaz_mgmt_gateway_ip">'Value Reference Tables'!$F$139</definedName>
    <definedName name="wld_witnessaz_mgmt_mask">'Value Reference Tables'!$F$141</definedName>
    <definedName name="wld_witnessaz_mgmt_mtu">'Value Reference Tables'!$X$48</definedName>
    <definedName name="wld_witnessaz_mgmt_network">'Value Reference Tables'!$F$140</definedName>
    <definedName name="wld_witnessaz_mgmt_vlan">'Value Reference Tables'!$X$32</definedName>
    <definedName name="workload_descriptor">'Value Reference Tables'!$AA$21</definedName>
    <definedName name="xreg_vra_admin_password">'Value Reference Tables'!$C$208</definedName>
    <definedName name="xreg_vra_nodea_ip">'Value Reference Tables'!$R$35</definedName>
    <definedName name="xreg_vra_nodeb_ip">'Value Reference Tables'!$R$36</definedName>
    <definedName name="xreg_vra_nodec_ip">'Value Reference Tables'!$R$37</definedName>
    <definedName name="xreg_vra_noded_ip">'Value Reference Tables'!$R$38</definedName>
    <definedName name="xreg_vra_nodee_ip">'Value Reference Tables'!$R$39</definedName>
    <definedName name="xreg_vra_nodef_ip">'Value Reference Tables'!$R$40</definedName>
    <definedName name="xreg_vra_virtual_fqdn">'Value Reference Tables'!$R$49</definedName>
    <definedName name="xreg_vra_virtual_hostname">'Value Reference Tables'!$R$45</definedName>
    <definedName name="xreg_vra_virtual_ip">'Value Reference Tables'!$R$34</definedName>
    <definedName name="xreg_vra_vm_folder">'Dumping Ground'!$D$107</definedName>
    <definedName name="xreg_vrni_nodea_hostname">'Value Reference Tables'!$R$137</definedName>
    <definedName name="xreg_vrni_nodea_ip">'Value Reference Tables'!$R$132</definedName>
    <definedName name="xreg_vrops_admin_password">'Value Reference Tables'!$C$209</definedName>
    <definedName name="xreg_vrops_collector_fqdn">'Value Reference Tables'!$R$95</definedName>
    <definedName name="xreg_vrops_collector_hostname">'Value Reference Tables'!$R$87</definedName>
    <definedName name="xreg_vrops_collector_ip">'Value Reference Tables'!$F$143</definedName>
    <definedName name="xreg_vrops_collector_root_password">'Value Reference Tables'!$L$39</definedName>
    <definedName name="xreg_vrops_nodea_fqdn">'Value Reference Tables'!$R$92</definedName>
    <definedName name="xreg_vrops_nodea_hostname">'Value Reference Tables'!$R$84</definedName>
    <definedName name="xreg_vrops_nodea_ip">'Value Reference Tables'!$R$76</definedName>
    <definedName name="xreg_vrops_nodeb_fqdn">'Value Reference Tables'!$R$93</definedName>
    <definedName name="xreg_vrops_nodeb_hostname">'Value Reference Tables'!$R$85</definedName>
    <definedName name="xreg_vrops_nodeb_ip">'Value Reference Tables'!$R$77</definedName>
    <definedName name="xreg_vrops_nodec_fqdn">'Value Reference Tables'!$R$94</definedName>
    <definedName name="xreg_vrops_nodec_hostname">'Value Reference Tables'!$R$86</definedName>
    <definedName name="xreg_vrops_nodec_ip">'Value Reference Tables'!$R$78</definedName>
    <definedName name="xreg_vrops_root_password">'Value Reference Tables'!$C$210</definedName>
    <definedName name="xreg_vrops_srm_sso_password">'Value Reference Tables'!$U$56</definedName>
    <definedName name="xreg_vrops_srm_sso_username">'Value Reference Tables'!$U$55</definedName>
    <definedName name="xreg_vrops_virtual_fqdn">'Value Reference Tables'!$R$91</definedName>
    <definedName name="xreg_vrops_virtual_hostname">'Value Reference Tables'!$R$83</definedName>
    <definedName name="xreg_vrops_virtual_ip">'Value Reference Tables'!$R$75</definedName>
    <definedName name="xreg_vrops_vm_folder">'Dumping Ground'!$D$106</definedName>
    <definedName name="xreg_vrops_vrms_sso_password">'Value Reference Tables'!$U$54</definedName>
    <definedName name="xreg_vrops_vrms_sso_username">'Value Reference Tables'!$U$53</definedName>
    <definedName name="xreg_wsa_vm_folder">'Dumping Ground'!$D$105</definedName>
    <definedName name="xregion_dns1_ip">'Value Reference Tables'!$L$53</definedName>
    <definedName name="xregion_dns2_ip">'Value Reference Tables'!$L$54</definedName>
    <definedName name="xregion_ntp1_server">'Value Reference Tables'!$L$47</definedName>
    <definedName name="xregion_ntp2_server">'Value Reference Tables'!$L$48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7" i="63" l="1"/>
  <c r="F216" i="63"/>
  <c r="G35" i="54" l="1"/>
  <c r="J18" i="54"/>
  <c r="J14" i="54"/>
  <c r="M18" i="54"/>
  <c r="L18" i="54"/>
  <c r="K18" i="54"/>
  <c r="K89" i="54"/>
  <c r="F272" i="63" l="1"/>
  <c r="F271" i="63"/>
  <c r="AD107" i="87" l="1"/>
  <c r="AD108" i="87"/>
  <c r="AD109" i="87"/>
  <c r="AD102" i="87"/>
  <c r="AD103" i="87"/>
  <c r="AD104" i="87"/>
  <c r="AD105" i="87"/>
  <c r="AA107" i="87"/>
  <c r="AA108" i="87"/>
  <c r="AA109" i="87"/>
  <c r="AA102" i="87"/>
  <c r="AA103" i="87"/>
  <c r="AA104" i="87"/>
  <c r="AA105" i="87"/>
  <c r="X107" i="87"/>
  <c r="X108" i="87"/>
  <c r="X109" i="87"/>
  <c r="X102" i="87"/>
  <c r="X103" i="87"/>
  <c r="X104" i="87"/>
  <c r="X105" i="87"/>
  <c r="U107" i="87"/>
  <c r="U108" i="87"/>
  <c r="U109" i="87"/>
  <c r="U102" i="87"/>
  <c r="U103" i="87"/>
  <c r="U104" i="87"/>
  <c r="U105" i="87"/>
  <c r="R107" i="87"/>
  <c r="R108" i="87"/>
  <c r="R109" i="87"/>
  <c r="R102" i="87"/>
  <c r="R103" i="87"/>
  <c r="R104" i="87"/>
  <c r="R105" i="87"/>
  <c r="O107" i="87"/>
  <c r="O108" i="87"/>
  <c r="O109" i="87"/>
  <c r="O102" i="87"/>
  <c r="O103" i="87"/>
  <c r="O104" i="87"/>
  <c r="O105" i="87"/>
  <c r="O35" i="54" l="1"/>
  <c r="W78" i="54"/>
  <c r="W77" i="54"/>
  <c r="W76" i="54"/>
  <c r="W75" i="54"/>
  <c r="W74" i="54"/>
  <c r="W73" i="54"/>
  <c r="W72" i="54"/>
  <c r="W71" i="54"/>
  <c r="W70" i="54"/>
  <c r="W69" i="54"/>
  <c r="W68" i="54"/>
  <c r="W67" i="54"/>
  <c r="W66" i="54"/>
  <c r="W65" i="54"/>
  <c r="W64" i="54"/>
  <c r="W63" i="54"/>
  <c r="W62" i="54"/>
  <c r="W61" i="54"/>
  <c r="W60" i="54"/>
  <c r="W59" i="54"/>
  <c r="W58" i="54"/>
  <c r="W57" i="54"/>
  <c r="W56" i="54"/>
  <c r="W55" i="54"/>
  <c r="W54" i="54"/>
  <c r="W53" i="54"/>
  <c r="W52" i="54"/>
  <c r="W51" i="54"/>
  <c r="W50" i="54"/>
  <c r="W49" i="54"/>
  <c r="W48" i="54"/>
  <c r="W47" i="54"/>
  <c r="W46" i="54"/>
  <c r="W45" i="54"/>
  <c r="W44" i="54"/>
  <c r="M19" i="54"/>
  <c r="L19" i="54"/>
  <c r="K19" i="54"/>
  <c r="J19" i="54"/>
  <c r="C139" i="109" l="1"/>
  <c r="C196" i="108"/>
  <c r="E9" i="118" l="1"/>
  <c r="E155" i="118" l="1"/>
  <c r="E153" i="118"/>
  <c r="L328" i="63" l="1"/>
  <c r="L327" i="63"/>
  <c r="X76" i="123"/>
  <c r="C68" i="118"/>
  <c r="E63" i="118" l="1"/>
  <c r="E62" i="118"/>
  <c r="F268" i="63"/>
  <c r="F267" i="63"/>
  <c r="F266" i="63"/>
  <c r="F265" i="63"/>
  <c r="F270" i="63"/>
  <c r="F269" i="63"/>
  <c r="J27" i="54" l="1"/>
  <c r="E56" i="118"/>
  <c r="E60" i="118"/>
  <c r="X74" i="123"/>
  <c r="X75" i="123"/>
  <c r="C56" i="118"/>
  <c r="C60" i="118"/>
  <c r="V40" i="54" l="1"/>
  <c r="M14" i="54"/>
  <c r="L14" i="54"/>
  <c r="K14" i="54"/>
  <c r="M117" i="62"/>
  <c r="F207" i="63" l="1"/>
  <c r="G89" i="54"/>
  <c r="J17" i="54"/>
  <c r="M17" i="54"/>
  <c r="L17" i="54"/>
  <c r="K17" i="54"/>
  <c r="B488" i="56"/>
  <c r="M16" i="54" s="1"/>
  <c r="B487" i="56"/>
  <c r="L16" i="54" s="1"/>
  <c r="B486" i="56"/>
  <c r="K16" i="54" s="1"/>
  <c r="J16" i="54"/>
  <c r="B489" i="56"/>
  <c r="M15" i="54"/>
  <c r="L15" i="54"/>
  <c r="K15" i="54"/>
  <c r="J15" i="54"/>
  <c r="X78" i="54"/>
  <c r="X77" i="54"/>
  <c r="X76" i="54"/>
  <c r="X75" i="54"/>
  <c r="X74" i="54"/>
  <c r="X73" i="54"/>
  <c r="X72" i="54"/>
  <c r="X71" i="54"/>
  <c r="X70" i="54"/>
  <c r="X69" i="54"/>
  <c r="X68" i="54"/>
  <c r="X67" i="54"/>
  <c r="X54" i="54"/>
  <c r="T78" i="54"/>
  <c r="T77" i="54"/>
  <c r="T76" i="54"/>
  <c r="T75" i="54"/>
  <c r="T74" i="54"/>
  <c r="T73" i="54"/>
  <c r="T72" i="54"/>
  <c r="T71" i="54"/>
  <c r="T70" i="54"/>
  <c r="T69" i="54"/>
  <c r="T68" i="54"/>
  <c r="Q78" i="54"/>
  <c r="Q77" i="54"/>
  <c r="Q76" i="54"/>
  <c r="Q75" i="54"/>
  <c r="Q74" i="54"/>
  <c r="Q73" i="54"/>
  <c r="Q72" i="54"/>
  <c r="Q71" i="54"/>
  <c r="Q70" i="54"/>
  <c r="Q69" i="54"/>
  <c r="Q68" i="54"/>
  <c r="N78" i="54"/>
  <c r="N77" i="54"/>
  <c r="N76" i="54"/>
  <c r="N75" i="54"/>
  <c r="N74" i="54"/>
  <c r="N73" i="54"/>
  <c r="N72" i="54"/>
  <c r="N71" i="54"/>
  <c r="N70" i="54"/>
  <c r="N69" i="54"/>
  <c r="N68" i="54"/>
  <c r="G68" i="54"/>
  <c r="J68" i="54"/>
  <c r="J78" i="54"/>
  <c r="J77" i="54"/>
  <c r="J76" i="54"/>
  <c r="J75" i="54"/>
  <c r="J74" i="54"/>
  <c r="J73" i="54"/>
  <c r="J72" i="54"/>
  <c r="J71" i="54"/>
  <c r="J70" i="54"/>
  <c r="J69" i="54"/>
  <c r="G78" i="54"/>
  <c r="G77" i="54"/>
  <c r="G76" i="54"/>
  <c r="G75" i="54"/>
  <c r="G74" i="54"/>
  <c r="G73" i="54"/>
  <c r="G72" i="54"/>
  <c r="G71" i="54"/>
  <c r="G70" i="54"/>
  <c r="G69" i="54"/>
  <c r="E78" i="54"/>
  <c r="E77" i="54"/>
  <c r="E76" i="54"/>
  <c r="E75" i="54"/>
  <c r="E74" i="54"/>
  <c r="E73" i="54"/>
  <c r="E72" i="54"/>
  <c r="E71" i="54"/>
  <c r="E70" i="54"/>
  <c r="E69" i="54"/>
  <c r="E68" i="54"/>
  <c r="O33" i="54"/>
  <c r="J25" i="54"/>
  <c r="M25" i="54" s="1"/>
  <c r="O34" i="54"/>
  <c r="O37" i="54"/>
  <c r="M23" i="54"/>
  <c r="L23" i="54"/>
  <c r="K23" i="54"/>
  <c r="J23" i="54"/>
  <c r="J22" i="54"/>
  <c r="L22" i="54" s="1"/>
  <c r="H40" i="54"/>
  <c r="J10" i="54" s="1"/>
  <c r="I40" i="54"/>
  <c r="D40" i="54"/>
  <c r="F40" i="54"/>
  <c r="M22" i="54" l="1"/>
  <c r="K25" i="54"/>
  <c r="L25" i="54"/>
  <c r="K22" i="54"/>
  <c r="M10" i="54"/>
  <c r="K10" i="54"/>
  <c r="L10" i="54"/>
  <c r="M325" i="62" l="1"/>
  <c r="M328" i="62"/>
  <c r="X66" i="123"/>
  <c r="K328" i="62"/>
  <c r="M323" i="62"/>
  <c r="X70" i="123"/>
  <c r="X71" i="123"/>
  <c r="X68" i="123"/>
  <c r="X69" i="123"/>
  <c r="K325" i="62"/>
  <c r="K323" i="62"/>
  <c r="X67" i="123"/>
  <c r="X65" i="123"/>
  <c r="F352" i="87" l="1"/>
  <c r="C145" i="63" l="1"/>
  <c r="I329" i="87"/>
  <c r="E285" i="65"/>
  <c r="E274" i="65"/>
  <c r="E38" i="65"/>
  <c r="E23" i="65"/>
  <c r="E28" i="65"/>
  <c r="M112" i="62"/>
  <c r="M120" i="62"/>
  <c r="M119" i="62"/>
  <c r="M139" i="62"/>
  <c r="M138" i="62"/>
  <c r="M131" i="62"/>
  <c r="M130" i="62"/>
  <c r="M115" i="62"/>
  <c r="M110" i="62"/>
  <c r="M105" i="62"/>
  <c r="M175" i="62" l="1"/>
  <c r="AA50" i="63" l="1"/>
  <c r="F275" i="63" l="1"/>
  <c r="F276" i="63"/>
  <c r="F277" i="63"/>
  <c r="D86" i="127" s="1"/>
  <c r="F278" i="63"/>
  <c r="F279" i="63"/>
  <c r="D73" i="127" s="1"/>
  <c r="F280" i="63"/>
  <c r="D117" i="127" s="1"/>
  <c r="F281" i="63"/>
  <c r="D170" i="127" s="1"/>
  <c r="F282" i="63"/>
  <c r="D50" i="127" s="1"/>
  <c r="D169" i="127" l="1"/>
  <c r="D125" i="127"/>
  <c r="D153" i="127"/>
  <c r="D162" i="127"/>
  <c r="D131" i="127"/>
  <c r="D132" i="127"/>
  <c r="D154" i="127"/>
  <c r="D163" i="127"/>
  <c r="D48" i="127"/>
  <c r="D55" i="127"/>
  <c r="D42" i="127"/>
  <c r="D93" i="127"/>
  <c r="D102" i="127"/>
  <c r="D182" i="127"/>
  <c r="D52" i="127"/>
  <c r="D214" i="127"/>
  <c r="D196" i="127"/>
  <c r="D206" i="127"/>
  <c r="D41" i="127"/>
  <c r="D60" i="127"/>
  <c r="D71" i="127"/>
  <c r="D49" i="127"/>
  <c r="L31" i="54" l="1"/>
  <c r="K31" i="54"/>
  <c r="L30" i="54"/>
  <c r="K30" i="54"/>
  <c r="K330" i="62" l="1"/>
  <c r="K327" i="62"/>
  <c r="M321" i="62"/>
  <c r="L11" i="54"/>
  <c r="J11" i="54"/>
  <c r="M11" i="54" s="1"/>
  <c r="J12" i="54"/>
  <c r="L12" i="54" s="1"/>
  <c r="J20" i="54"/>
  <c r="L20" i="54" s="1"/>
  <c r="J21" i="54"/>
  <c r="J24" i="54"/>
  <c r="K24" i="54" s="1"/>
  <c r="J26" i="54"/>
  <c r="M26" i="54"/>
  <c r="L27" i="54"/>
  <c r="K27" i="54"/>
  <c r="J28" i="54"/>
  <c r="M28" i="54" s="1"/>
  <c r="L28" i="54"/>
  <c r="J29" i="54"/>
  <c r="L29" i="54" s="1"/>
  <c r="M29" i="54"/>
  <c r="J30" i="54"/>
  <c r="M30" i="54"/>
  <c r="J31" i="54"/>
  <c r="M31" i="54"/>
  <c r="E17" i="65"/>
  <c r="E15" i="108"/>
  <c r="M306" i="62"/>
  <c r="M387" i="62"/>
  <c r="M330" i="62"/>
  <c r="M192" i="62"/>
  <c r="M191" i="62"/>
  <c r="D630" i="117"/>
  <c r="D629" i="117"/>
  <c r="D537" i="117"/>
  <c r="D536" i="117"/>
  <c r="D444" i="117"/>
  <c r="D443" i="117"/>
  <c r="D351" i="117"/>
  <c r="D350" i="117"/>
  <c r="D258" i="117"/>
  <c r="D257" i="117"/>
  <c r="D165" i="117"/>
  <c r="D164" i="117"/>
  <c r="D72" i="117"/>
  <c r="D71" i="117"/>
  <c r="AA60" i="63" a="1"/>
  <c r="AA60" i="63" s="1"/>
  <c r="AA59" i="63" a="1"/>
  <c r="AA59" i="63" s="1"/>
  <c r="F10" i="63"/>
  <c r="E12" i="115"/>
  <c r="D10" i="115"/>
  <c r="D14" i="109"/>
  <c r="E16" i="65"/>
  <c r="L19" i="106"/>
  <c r="I82" i="54"/>
  <c r="E18" i="65"/>
  <c r="E15" i="65"/>
  <c r="E14" i="65"/>
  <c r="E12" i="65"/>
  <c r="C10" i="65"/>
  <c r="M19" i="106"/>
  <c r="F264" i="63"/>
  <c r="F263" i="63"/>
  <c r="F262" i="63"/>
  <c r="F261" i="63"/>
  <c r="F260" i="63"/>
  <c r="F259" i="63"/>
  <c r="F258" i="63"/>
  <c r="F257" i="63"/>
  <c r="F256" i="63"/>
  <c r="F255" i="63"/>
  <c r="F254" i="63"/>
  <c r="F253" i="63"/>
  <c r="F252" i="63"/>
  <c r="F251" i="63"/>
  <c r="F250" i="63"/>
  <c r="F249" i="63"/>
  <c r="F248" i="63"/>
  <c r="F247" i="63"/>
  <c r="F246" i="63"/>
  <c r="F245" i="63"/>
  <c r="F244" i="63"/>
  <c r="F243" i="63"/>
  <c r="F242" i="63"/>
  <c r="M234" i="62"/>
  <c r="M233" i="62"/>
  <c r="M232" i="62"/>
  <c r="M231" i="62"/>
  <c r="M223" i="62"/>
  <c r="M222" i="62"/>
  <c r="M221" i="62"/>
  <c r="M220" i="62"/>
  <c r="M212" i="62"/>
  <c r="M211" i="62"/>
  <c r="M210" i="62"/>
  <c r="M209" i="62"/>
  <c r="M229" i="62"/>
  <c r="M230" i="62"/>
  <c r="M219" i="62"/>
  <c r="K28" i="54" l="1"/>
  <c r="L26" i="54"/>
  <c r="K26" i="54"/>
  <c r="M27" i="54"/>
  <c r="K21" i="54"/>
  <c r="J82" i="54"/>
  <c r="AA49" i="63"/>
  <c r="K29" i="54"/>
  <c r="M12" i="54"/>
  <c r="K12" i="54"/>
  <c r="K11" i="54"/>
  <c r="M24" i="54"/>
  <c r="K20" i="54"/>
  <c r="M20" i="54"/>
  <c r="L24" i="54"/>
  <c r="M21" i="54"/>
  <c r="L21" i="54"/>
  <c r="C138" i="63" l="1"/>
  <c r="B80" i="118"/>
  <c r="B78" i="118"/>
  <c r="C74" i="118"/>
  <c r="E76" i="118"/>
  <c r="E148" i="118"/>
  <c r="E162" i="118"/>
  <c r="E161" i="118"/>
  <c r="E159" i="118"/>
  <c r="E158" i="118"/>
  <c r="E152" i="118"/>
  <c r="E154" i="118"/>
  <c r="E196" i="65"/>
  <c r="E183" i="65"/>
  <c r="E174" i="65"/>
  <c r="E150" i="118"/>
  <c r="M377" i="62"/>
  <c r="E89" i="109" l="1"/>
  <c r="E60" i="109"/>
  <c r="E117" i="108"/>
  <c r="E134" i="109"/>
  <c r="E13" i="108"/>
  <c r="M53" i="62"/>
  <c r="D13" i="108"/>
  <c r="N269" i="62"/>
  <c r="C98" i="118" l="1"/>
  <c r="C97" i="118"/>
  <c r="L304" i="63" a="1"/>
  <c r="L304" i="63" s="1"/>
  <c r="L302" i="63"/>
  <c r="L301" i="63"/>
  <c r="C79" i="118"/>
  <c r="X53" i="123"/>
  <c r="X44" i="123"/>
  <c r="X34" i="123"/>
  <c r="X33" i="123"/>
  <c r="X17" i="123"/>
  <c r="X16" i="123"/>
  <c r="X15" i="123"/>
  <c r="X24" i="123" s="1"/>
  <c r="Z14" i="123"/>
  <c r="C78" i="118"/>
  <c r="X49" i="123" s="1"/>
  <c r="X50" i="123" l="1"/>
  <c r="X51" i="123"/>
  <c r="F32" i="54" l="1"/>
  <c r="O36" i="54"/>
  <c r="E191" i="108" l="1"/>
  <c r="E14" i="108"/>
  <c r="F237" i="63"/>
  <c r="F236" i="63"/>
  <c r="F235" i="63"/>
  <c r="F234" i="63"/>
  <c r="F233" i="63"/>
  <c r="F232" i="63"/>
  <c r="F231" i="63"/>
  <c r="F230" i="63"/>
  <c r="F229" i="63"/>
  <c r="F228" i="63"/>
  <c r="F227" i="63"/>
  <c r="F226" i="63"/>
  <c r="F225" i="63"/>
  <c r="F224" i="63"/>
  <c r="F223" i="63"/>
  <c r="F222" i="63"/>
  <c r="F220" i="63"/>
  <c r="F221" i="63" a="1"/>
  <c r="F221" i="63" s="1"/>
  <c r="C280" i="63"/>
  <c r="C279" i="63"/>
  <c r="C278" i="63"/>
  <c r="C277" i="63"/>
  <c r="C276" i="63"/>
  <c r="C275" i="63"/>
  <c r="C274" i="63"/>
  <c r="C273" i="63"/>
  <c r="C272" i="63"/>
  <c r="C271" i="63"/>
  <c r="C270" i="63"/>
  <c r="C269" i="63"/>
  <c r="C268" i="63"/>
  <c r="C267" i="63"/>
  <c r="C266" i="63"/>
  <c r="C265" i="63"/>
  <c r="C264" i="63"/>
  <c r="C263" i="63"/>
  <c r="D166" i="109" l="1"/>
  <c r="D165" i="109"/>
  <c r="F215" i="63" a="1"/>
  <c r="F215" i="63" s="1"/>
  <c r="D163" i="109" s="1" a="1"/>
  <c r="D163" i="109" s="1"/>
  <c r="F214" i="63" a="1"/>
  <c r="F214" i="63" s="1"/>
  <c r="F213" i="63" a="1"/>
  <c r="F213" i="63" s="1"/>
  <c r="F212" i="63"/>
  <c r="F211" i="63"/>
  <c r="F210" i="63" a="1"/>
  <c r="F210" i="63" s="1"/>
  <c r="F209" i="63" a="1"/>
  <c r="F209" i="63" s="1"/>
  <c r="F208" i="63" a="1"/>
  <c r="F208" i="63" s="1"/>
  <c r="F206" i="63" a="1"/>
  <c r="F206" i="63" s="1"/>
  <c r="F205" i="63" a="1"/>
  <c r="F205" i="63" s="1"/>
  <c r="F204" i="63" a="1"/>
  <c r="F204" i="63" s="1"/>
  <c r="F203" i="63" a="1"/>
  <c r="F203" i="63" s="1"/>
  <c r="F202" i="63" a="1"/>
  <c r="F202" i="63" s="1"/>
  <c r="F200" i="63" a="1"/>
  <c r="F200" i="63" s="1"/>
  <c r="F201" i="63" a="1"/>
  <c r="F201" i="63" s="1"/>
  <c r="C144" i="109"/>
  <c r="C260" i="63"/>
  <c r="D220" i="108" s="1" a="1"/>
  <c r="D220" i="108" s="1"/>
  <c r="C259" i="63"/>
  <c r="C258" i="63"/>
  <c r="C257" i="63"/>
  <c r="C256" i="63"/>
  <c r="C255" i="63"/>
  <c r="C254" i="63"/>
  <c r="C253" i="63"/>
  <c r="C252" i="63"/>
  <c r="C251" i="63"/>
  <c r="C250" i="63"/>
  <c r="C249" i="63"/>
  <c r="C248" i="63"/>
  <c r="C247" i="63"/>
  <c r="C246" i="63"/>
  <c r="C245" i="63"/>
  <c r="D222" i="108"/>
  <c r="D223" i="108" a="1"/>
  <c r="D223" i="108" s="1"/>
  <c r="E215" i="108"/>
  <c r="E225" i="108"/>
  <c r="E171" i="109" l="1"/>
  <c r="C226" i="109"/>
  <c r="F28" i="63"/>
  <c r="F27" i="63"/>
  <c r="F58" i="63"/>
  <c r="B403" i="65" s="1" a="1"/>
  <c r="B403" i="65" s="1"/>
  <c r="F57" i="63"/>
  <c r="B404" i="65" a="1"/>
  <c r="B404" i="65" s="1"/>
  <c r="D160" i="65"/>
  <c r="M283" i="62" l="1"/>
  <c r="L26" i="62" l="1"/>
  <c r="X40" i="54"/>
  <c r="E24" i="54"/>
  <c r="F136" i="87"/>
  <c r="F75" i="87" l="1"/>
  <c r="L345" i="62" s="1" a="1"/>
  <c r="L345" i="62" s="1"/>
  <c r="F106" i="87"/>
  <c r="F44" i="87" s="1"/>
  <c r="F29" i="87" s="1"/>
  <c r="F14" i="87"/>
  <c r="L343" i="62" s="1" a="1"/>
  <c r="L343" i="62" s="1"/>
  <c r="K345" i="62"/>
  <c r="L344" i="62" l="1" a="1"/>
  <c r="L344" i="62" s="1"/>
  <c r="F91" i="87"/>
  <c r="F58" i="87"/>
  <c r="E139" i="118" l="1"/>
  <c r="E140" i="118"/>
  <c r="E95" i="118"/>
  <c r="E149" i="118" l="1"/>
  <c r="C158" i="118"/>
  <c r="E137" i="118"/>
  <c r="E136" i="118"/>
  <c r="E135" i="118"/>
  <c r="C135" i="118"/>
  <c r="C112" i="108" l="1"/>
  <c r="M169" i="62"/>
  <c r="C41" i="118" l="1"/>
  <c r="C40" i="118"/>
  <c r="C38" i="118"/>
  <c r="E34" i="118"/>
  <c r="C34" i="118"/>
  <c r="E32" i="118"/>
  <c r="C32" i="118"/>
  <c r="E31" i="118"/>
  <c r="C31" i="118"/>
  <c r="C30" i="118"/>
  <c r="E21" i="118"/>
  <c r="M157" i="62"/>
  <c r="M40" i="62"/>
  <c r="M296" i="62"/>
  <c r="J237" i="62"/>
  <c r="J236" i="62"/>
  <c r="M33" i="62"/>
  <c r="E313" i="65"/>
  <c r="M270" i="62"/>
  <c r="E194" i="65"/>
  <c r="E161" i="65"/>
  <c r="M301" i="62"/>
  <c r="I33" i="63"/>
  <c r="I30" i="63" s="1"/>
  <c r="I23" i="63"/>
  <c r="I20" i="63" s="1"/>
  <c r="I43" i="63"/>
  <c r="I40" i="63" s="1"/>
  <c r="I53" i="63"/>
  <c r="I50" i="63" s="1"/>
  <c r="I100" i="87" a="1"/>
  <c r="I100" i="87" s="1"/>
  <c r="I106" i="87"/>
  <c r="I59" i="87" s="1"/>
  <c r="I103" i="87"/>
  <c r="D383" i="65" s="1"/>
  <c r="I105" i="87"/>
  <c r="I90" i="87" s="1"/>
  <c r="I102" i="87"/>
  <c r="I87" i="87" s="1" a="1"/>
  <c r="I87" i="87" s="1"/>
  <c r="I101" i="87"/>
  <c r="I86" i="87" s="1" a="1"/>
  <c r="I86" i="87" s="1"/>
  <c r="I110" i="87"/>
  <c r="I109" i="87"/>
  <c r="I108" i="87"/>
  <c r="I107" i="87"/>
  <c r="I53" i="87" l="1"/>
  <c r="D200" i="109" s="1"/>
  <c r="D11" i="116"/>
  <c r="I39" i="63"/>
  <c r="I41" i="63" s="1"/>
  <c r="I19" i="63"/>
  <c r="I29" i="63"/>
  <c r="I32" i="63"/>
  <c r="I49" i="63"/>
  <c r="I51" i="63" s="1"/>
  <c r="I38" i="87"/>
  <c r="I23" i="87" s="1"/>
  <c r="I52" i="63"/>
  <c r="I42" i="63"/>
  <c r="I22" i="63"/>
  <c r="I85" i="87"/>
  <c r="D201" i="109" s="1"/>
  <c r="D369" i="65"/>
  <c r="D377" i="65"/>
  <c r="I54" i="87"/>
  <c r="I55" i="87"/>
  <c r="I43" i="87"/>
  <c r="I44" i="87"/>
  <c r="I29" i="87" s="1"/>
  <c r="I39" i="87"/>
  <c r="I56" i="87"/>
  <c r="I40" i="87"/>
  <c r="I88" i="87" a="1"/>
  <c r="I88" i="87" s="1"/>
  <c r="I41" i="87"/>
  <c r="I91" i="87"/>
  <c r="I58" i="87"/>
  <c r="D158" i="109" l="1"/>
  <c r="D168" i="109"/>
  <c r="I28" i="87"/>
  <c r="I25" i="87"/>
  <c r="I24" i="87"/>
  <c r="I26" i="87"/>
  <c r="U76" i="63" l="1"/>
  <c r="M161" i="62" l="1"/>
  <c r="M158" i="62"/>
  <c r="M159" i="62"/>
  <c r="R50" i="63"/>
  <c r="J382" i="62" s="1" a="1"/>
  <c r="J382" i="62" s="1"/>
  <c r="C33" i="63" l="1"/>
  <c r="L372" i="62" s="1"/>
  <c r="C32" i="63"/>
  <c r="L371" i="62" s="1"/>
  <c r="C31" i="63"/>
  <c r="L384" i="62" s="1"/>
  <c r="C30" i="63"/>
  <c r="L383" i="62" s="1"/>
  <c r="K176" i="62"/>
  <c r="C73" i="63"/>
  <c r="J367" i="62" s="1"/>
  <c r="C72" i="63"/>
  <c r="J369" i="62" s="1"/>
  <c r="C71" i="63"/>
  <c r="K169" i="62"/>
  <c r="C50" i="63" l="1"/>
  <c r="J370" i="62"/>
  <c r="R35" i="63"/>
  <c r="R37" i="63" s="1"/>
  <c r="C51" i="63"/>
  <c r="C52" i="63"/>
  <c r="R40" i="63" l="1"/>
  <c r="R39" i="63"/>
  <c r="R38" i="63"/>
  <c r="R36" i="63"/>
  <c r="K165" i="62"/>
  <c r="K167" i="62" l="1"/>
  <c r="M299" i="62" l="1"/>
  <c r="M298" i="62"/>
  <c r="M59" i="62"/>
  <c r="M237" i="62"/>
  <c r="M236" i="62"/>
  <c r="M235" i="62"/>
  <c r="Z10" i="123" l="1"/>
  <c r="F101" i="87"/>
  <c r="F110" i="87"/>
  <c r="F109" i="87"/>
  <c r="F108" i="87"/>
  <c r="F107" i="87"/>
  <c r="F105" i="87"/>
  <c r="F43" i="87" s="1"/>
  <c r="F28" i="87" s="1"/>
  <c r="F104" i="87"/>
  <c r="F103" i="87"/>
  <c r="E103" i="87"/>
  <c r="F102" i="87"/>
  <c r="F100" i="87"/>
  <c r="Z7" i="123"/>
  <c r="Z6" i="123"/>
  <c r="Z5" i="123"/>
  <c r="F38" i="87" l="1"/>
  <c r="F23" i="87" s="1"/>
  <c r="F85" i="87"/>
  <c r="F86" i="87"/>
  <c r="F39" i="87"/>
  <c r="F24" i="87" s="1"/>
  <c r="F40" i="87"/>
  <c r="F25" i="87" s="1"/>
  <c r="F87" i="87"/>
  <c r="F88" i="87"/>
  <c r="F41" i="87"/>
  <c r="F26" i="87" s="1"/>
  <c r="F89" i="87"/>
  <c r="F42" i="87"/>
  <c r="F27" i="87" s="1"/>
  <c r="F90" i="87"/>
  <c r="F56" i="87"/>
  <c r="L354" i="62"/>
  <c r="L360" i="62"/>
  <c r="L340" i="62"/>
  <c r="L348" i="62"/>
  <c r="F53" i="87"/>
  <c r="F55" i="87"/>
  <c r="F59" i="87"/>
  <c r="F57" i="87"/>
  <c r="F54" i="87"/>
  <c r="D258" i="108" l="1"/>
  <c r="D225" i="108"/>
  <c r="D215" i="108"/>
  <c r="D257" i="108"/>
  <c r="L47" i="63"/>
  <c r="C196" i="63"/>
  <c r="U187" i="63"/>
  <c r="I253" i="63"/>
  <c r="I252" i="63"/>
  <c r="I251" i="63"/>
  <c r="I249" i="63"/>
  <c r="I248" i="63"/>
  <c r="I247" i="63"/>
  <c r="I246" i="63"/>
  <c r="I241" i="63"/>
  <c r="I239" i="63"/>
  <c r="I242" i="63"/>
  <c r="F126" i="63"/>
  <c r="F355" i="87"/>
  <c r="I238" i="63"/>
  <c r="I243" i="63"/>
  <c r="I244" i="63"/>
  <c r="I240" i="63"/>
  <c r="I304" i="63"/>
  <c r="I303" i="63"/>
  <c r="I302" i="63"/>
  <c r="I301" i="63"/>
  <c r="E252" i="115"/>
  <c r="I123" i="63"/>
  <c r="D210" i="115" s="1"/>
  <c r="E227" i="115"/>
  <c r="E228" i="115"/>
  <c r="D12" i="115"/>
  <c r="D142" i="115" s="1"/>
  <c r="B301" i="65"/>
  <c r="B226" i="115"/>
  <c r="B60" i="115"/>
  <c r="I111" i="63"/>
  <c r="I117" i="63"/>
  <c r="E204" i="115"/>
  <c r="E193" i="115"/>
  <c r="E182" i="115"/>
  <c r="C279" i="65"/>
  <c r="K231" i="62"/>
  <c r="K220" i="62"/>
  <c r="K209" i="62"/>
  <c r="C268" i="65"/>
  <c r="C257" i="65"/>
  <c r="E267" i="65"/>
  <c r="E279" i="65"/>
  <c r="E268" i="65"/>
  <c r="E257" i="65"/>
  <c r="F79" i="63"/>
  <c r="F87" i="63"/>
  <c r="E317" i="65"/>
  <c r="E302" i="65"/>
  <c r="E297" i="65"/>
  <c r="E273" i="65"/>
  <c r="E272" i="65"/>
  <c r="E271" i="65"/>
  <c r="E270" i="65"/>
  <c r="E269" i="65"/>
  <c r="E265" i="65"/>
  <c r="E266" i="65"/>
  <c r="E284" i="65"/>
  <c r="E283" i="65"/>
  <c r="E282" i="65"/>
  <c r="E281" i="65"/>
  <c r="E280" i="65"/>
  <c r="E278" i="65"/>
  <c r="E277" i="65"/>
  <c r="E276" i="65"/>
  <c r="M218" i="62"/>
  <c r="M226" i="62"/>
  <c r="M225" i="62"/>
  <c r="M224" i="62"/>
  <c r="E256" i="65"/>
  <c r="E261" i="115"/>
  <c r="E260" i="115"/>
  <c r="E259" i="115"/>
  <c r="E334" i="65"/>
  <c r="E230" i="115"/>
  <c r="E229" i="115"/>
  <c r="E181" i="115"/>
  <c r="E203" i="115"/>
  <c r="E192" i="115"/>
  <c r="E225" i="115"/>
  <c r="E224" i="115"/>
  <c r="E223" i="115"/>
  <c r="E222" i="115"/>
  <c r="E220" i="115"/>
  <c r="E219" i="115"/>
  <c r="E218" i="115"/>
  <c r="E215" i="115"/>
  <c r="E214" i="115"/>
  <c r="E213" i="115"/>
  <c r="E207" i="115"/>
  <c r="E205" i="115"/>
  <c r="E206" i="115"/>
  <c r="E185" i="115"/>
  <c r="E184" i="115"/>
  <c r="E183" i="115"/>
  <c r="E195" i="115"/>
  <c r="E194" i="115"/>
  <c r="E196" i="115"/>
  <c r="I118" i="63" a="1"/>
  <c r="I118" i="63" s="1"/>
  <c r="I124" i="63" a="1"/>
  <c r="I124" i="63" s="1"/>
  <c r="I112" i="63"/>
  <c r="I250" i="63" l="1"/>
  <c r="E336" i="65"/>
  <c r="E335" i="65"/>
  <c r="E305" i="65"/>
  <c r="E304" i="65" l="1"/>
  <c r="E303" i="65"/>
  <c r="E300" i="65"/>
  <c r="E299" i="65"/>
  <c r="E298" i="65"/>
  <c r="E295" i="65"/>
  <c r="E294" i="65"/>
  <c r="E293" i="65"/>
  <c r="E290" i="65"/>
  <c r="E289" i="65"/>
  <c r="E288" i="65"/>
  <c r="E260" i="65"/>
  <c r="E259" i="65"/>
  <c r="E258" i="65"/>
  <c r="F96" i="63" a="1"/>
  <c r="F96" i="63" s="1"/>
  <c r="F88" i="63" a="1"/>
  <c r="F88" i="63" s="1"/>
  <c r="F80" i="63"/>
  <c r="M239" i="62"/>
  <c r="M240" i="62"/>
  <c r="M241" i="62"/>
  <c r="M242" i="62"/>
  <c r="M257" i="62"/>
  <c r="M256" i="62"/>
  <c r="M255" i="62"/>
  <c r="M247" i="62"/>
  <c r="M246" i="62"/>
  <c r="M245" i="62"/>
  <c r="M271" i="62"/>
  <c r="M273" i="62"/>
  <c r="M272" i="62"/>
  <c r="M264" i="62"/>
  <c r="M262" i="62"/>
  <c r="M261" i="62"/>
  <c r="M260" i="62"/>
  <c r="C113" i="63" a="1"/>
  <c r="C113" i="63" s="1"/>
  <c r="C106" i="63"/>
  <c r="J226" i="62" s="1"/>
  <c r="C99" i="63"/>
  <c r="J215" i="62" s="1"/>
  <c r="J225" i="62" l="1"/>
  <c r="J214" i="62"/>
  <c r="I377" i="87"/>
  <c r="I376" i="87"/>
  <c r="H166" i="112" s="1"/>
  <c r="F315" i="87"/>
  <c r="F314" i="87"/>
  <c r="F316" i="87"/>
  <c r="D229" i="85"/>
  <c r="D228" i="85"/>
  <c r="D227" i="85"/>
  <c r="C223" i="85"/>
  <c r="C222" i="85"/>
  <c r="C221" i="85"/>
  <c r="C220" i="85"/>
  <c r="C219" i="85"/>
  <c r="C218" i="85"/>
  <c r="C210" i="85"/>
  <c r="D210" i="85" s="1"/>
  <c r="C209" i="85"/>
  <c r="D209" i="85" s="1"/>
  <c r="D199" i="85"/>
  <c r="C179" i="85"/>
  <c r="C157" i="85"/>
  <c r="C156" i="85"/>
  <c r="C155" i="85"/>
  <c r="C150" i="85"/>
  <c r="D149" i="85"/>
  <c r="D148" i="85"/>
  <c r="D147" i="85"/>
  <c r="C146" i="85"/>
  <c r="C145" i="85"/>
  <c r="C134" i="85"/>
  <c r="C128" i="85"/>
  <c r="C125" i="85"/>
  <c r="C121" i="85"/>
  <c r="C120" i="85"/>
  <c r="C111" i="85"/>
  <c r="C110" i="85"/>
  <c r="C102" i="85"/>
  <c r="D101" i="85"/>
  <c r="C97" i="85"/>
  <c r="C92" i="85"/>
  <c r="D91" i="85"/>
  <c r="D90" i="85"/>
  <c r="D89" i="85"/>
  <c r="C88" i="85"/>
  <c r="C87" i="85"/>
  <c r="C82" i="85"/>
  <c r="C81" i="85"/>
  <c r="C80" i="85"/>
  <c r="C79" i="85"/>
  <c r="C78" i="85"/>
  <c r="C77" i="85"/>
  <c r="C76" i="85"/>
  <c r="D75" i="85"/>
  <c r="C53" i="85"/>
  <c r="C52" i="85"/>
  <c r="C46" i="85"/>
  <c r="D166" i="86"/>
  <c r="C166" i="86"/>
  <c r="D165" i="86"/>
  <c r="C165" i="86"/>
  <c r="D156" i="86"/>
  <c r="C155" i="86"/>
  <c r="C154" i="86"/>
  <c r="D153" i="86"/>
  <c r="D148" i="86"/>
  <c r="C144" i="86"/>
  <c r="C143" i="86"/>
  <c r="D140" i="86"/>
  <c r="C120" i="86"/>
  <c r="C119" i="86"/>
  <c r="C118" i="86"/>
  <c r="C117" i="86"/>
  <c r="D116" i="86"/>
  <c r="C116" i="86"/>
  <c r="D113" i="86"/>
  <c r="C108" i="86" a="1"/>
  <c r="C108" i="86" s="1"/>
  <c r="C107" i="86" a="1"/>
  <c r="C107" i="86" s="1"/>
  <c r="D102" i="86"/>
  <c r="D100" i="86"/>
  <c r="C93" i="86" a="1"/>
  <c r="C93" i="86" s="1"/>
  <c r="C86" i="86" a="1"/>
  <c r="C86" i="86" s="1"/>
  <c r="C85" i="86"/>
  <c r="C80" i="86" a="1"/>
  <c r="C80" i="86"/>
  <c r="C79" i="86"/>
  <c r="C74" i="86"/>
  <c r="C69" i="86" a="1"/>
  <c r="C69" i="86" s="1"/>
  <c r="D68" i="86"/>
  <c r="D67" i="86"/>
  <c r="D66" i="86"/>
  <c r="C65" i="86" a="1"/>
  <c r="C65" i="86" s="1"/>
  <c r="C64" i="86" a="1"/>
  <c r="C64" i="86" s="1"/>
  <c r="C59" i="86" a="1"/>
  <c r="C59" i="86" s="1"/>
  <c r="C58" i="86" a="1"/>
  <c r="C58" i="86"/>
  <c r="C57" i="86" a="1"/>
  <c r="C57" i="86" s="1"/>
  <c r="C56" i="86" a="1"/>
  <c r="C56" i="86" s="1"/>
  <c r="C55" i="86" a="1"/>
  <c r="C55" i="86" s="1"/>
  <c r="C54" i="86" a="1"/>
  <c r="C54" i="86" s="1"/>
  <c r="C53" i="86" a="1"/>
  <c r="C53" i="86" s="1"/>
  <c r="D52" i="86"/>
  <c r="C70" i="95"/>
  <c r="C69" i="95"/>
  <c r="D61" i="95"/>
  <c r="D60" i="95"/>
  <c r="C54" i="95"/>
  <c r="C53" i="95"/>
  <c r="C169" i="112"/>
  <c r="H144" i="112"/>
  <c r="C144" i="112"/>
  <c r="H143" i="112"/>
  <c r="C143" i="112"/>
  <c r="C139" i="112"/>
  <c r="C45" i="112"/>
  <c r="H41" i="112"/>
  <c r="G41" i="112"/>
  <c r="F41" i="112" a="1"/>
  <c r="F41" i="112" s="1"/>
  <c r="E41" i="112"/>
  <c r="C20" i="112"/>
  <c r="C19" i="112"/>
  <c r="G16" i="112"/>
  <c r="F16" i="112" a="1"/>
  <c r="F16" i="112" s="1"/>
  <c r="E16" i="112"/>
  <c r="C15" i="112" a="1"/>
  <c r="C15" i="112" s="1"/>
  <c r="C97" i="116"/>
  <c r="C94" i="116"/>
  <c r="C84" i="116"/>
  <c r="C78" i="116"/>
  <c r="C72" i="116"/>
  <c r="C66" i="116"/>
  <c r="C62" i="116"/>
  <c r="C49" i="116"/>
  <c r="C31" i="116"/>
  <c r="C28" i="116"/>
  <c r="C20" i="116"/>
  <c r="C16" i="116"/>
  <c r="B141" i="113"/>
  <c r="B136" i="113"/>
  <c r="C126" i="113"/>
  <c r="C119" i="113"/>
  <c r="C116" i="113"/>
  <c r="D94" i="113"/>
  <c r="C81" i="113"/>
  <c r="C74" i="113"/>
  <c r="C68" i="113"/>
  <c r="C63" i="113"/>
  <c r="C50" i="113"/>
  <c r="C32" i="113"/>
  <c r="C29" i="113"/>
  <c r="C24" i="113"/>
  <c r="C20" i="113"/>
  <c r="C16" i="113"/>
  <c r="C12" i="113"/>
  <c r="C134" i="119"/>
  <c r="E97" i="119"/>
  <c r="C91" i="119"/>
  <c r="C88" i="119"/>
  <c r="C85" i="119"/>
  <c r="E78" i="119"/>
  <c r="E71" i="119"/>
  <c r="E70" i="119"/>
  <c r="C62" i="119"/>
  <c r="C32" i="119"/>
  <c r="C519" i="75"/>
  <c r="C518" i="75"/>
  <c r="C517" i="75"/>
  <c r="C508" i="75"/>
  <c r="C507" i="75"/>
  <c r="C506" i="75"/>
  <c r="D491" i="75"/>
  <c r="C490" i="75"/>
  <c r="D489" i="75"/>
  <c r="C488" i="75"/>
  <c r="C487" i="75"/>
  <c r="C477" i="75"/>
  <c r="C466" i="75"/>
  <c r="C431" i="75"/>
  <c r="C430" i="75"/>
  <c r="C415" i="75"/>
  <c r="C408" i="75"/>
  <c r="C380" i="75"/>
  <c r="C379" i="75"/>
  <c r="C358" i="75"/>
  <c r="C357" i="75"/>
  <c r="C356" i="75"/>
  <c r="C355" i="75"/>
  <c r="C353" i="75"/>
  <c r="C352" i="75"/>
  <c r="C351" i="75"/>
  <c r="C350" i="75"/>
  <c r="C347" i="75"/>
  <c r="C346" i="75"/>
  <c r="C345" i="75"/>
  <c r="C344" i="75"/>
  <c r="C361" i="75" s="1"/>
  <c r="C336" i="75"/>
  <c r="C335" i="75"/>
  <c r="C334" i="75"/>
  <c r="C332" i="75"/>
  <c r="C331" i="75"/>
  <c r="C330" i="75"/>
  <c r="C328" i="75"/>
  <c r="C327" i="75"/>
  <c r="C326" i="75"/>
  <c r="C318" i="75"/>
  <c r="C317" i="75"/>
  <c r="C316" i="75"/>
  <c r="C315" i="75"/>
  <c r="C306" i="75"/>
  <c r="C305" i="75"/>
  <c r="C304" i="75"/>
  <c r="C302" i="75"/>
  <c r="C301" i="75"/>
  <c r="C300" i="75"/>
  <c r="C293" i="75"/>
  <c r="C292" i="75"/>
  <c r="C291" i="75"/>
  <c r="C290" i="75"/>
  <c r="C281" i="75"/>
  <c r="C280" i="75"/>
  <c r="C279" i="75"/>
  <c r="C277" i="75"/>
  <c r="C276" i="75"/>
  <c r="C275" i="75"/>
  <c r="C268" i="75"/>
  <c r="C267" i="75"/>
  <c r="C266" i="75"/>
  <c r="C265" i="75"/>
  <c r="C264" i="75"/>
  <c r="C251" i="75"/>
  <c r="C250" i="75"/>
  <c r="C249" i="75"/>
  <c r="C248" i="75"/>
  <c r="C348" i="75" s="1"/>
  <c r="C218" i="75"/>
  <c r="C153" i="75"/>
  <c r="C149" i="75"/>
  <c r="C142" i="75"/>
  <c r="C141" i="75"/>
  <c r="C134" i="75"/>
  <c r="C124" i="75"/>
  <c r="C123" i="75"/>
  <c r="C122" i="75"/>
  <c r="C121" i="75"/>
  <c r="C120" i="75"/>
  <c r="C107" i="75"/>
  <c r="C106" i="75"/>
  <c r="D76" i="75"/>
  <c r="D68" i="75"/>
  <c r="C67" i="75"/>
  <c r="C40" i="75"/>
  <c r="C62" i="75" s="1"/>
  <c r="C39" i="75"/>
  <c r="C61" i="75" s="1"/>
  <c r="C38" i="75"/>
  <c r="C59" i="75" s="1"/>
  <c r="C37" i="75"/>
  <c r="C54" i="75" s="1"/>
  <c r="C36" i="75"/>
  <c r="C53" i="75" s="1"/>
  <c r="C35" i="75"/>
  <c r="C51" i="75" s="1"/>
  <c r="C34" i="75"/>
  <c r="C33" i="75"/>
  <c r="C32" i="75"/>
  <c r="D30" i="75"/>
  <c r="C21" i="75"/>
  <c r="C514" i="75" s="1"/>
  <c r="C13" i="75"/>
  <c r="E637" i="117"/>
  <c r="D633" i="117"/>
  <c r="E591" i="117"/>
  <c r="E544" i="117"/>
  <c r="E498" i="117"/>
  <c r="E451" i="117"/>
  <c r="E405" i="117"/>
  <c r="E358" i="117"/>
  <c r="E312" i="117"/>
  <c r="E265" i="117"/>
  <c r="E219" i="117"/>
  <c r="E172" i="117"/>
  <c r="E126" i="117"/>
  <c r="E79" i="117"/>
  <c r="E33" i="117"/>
  <c r="E562" i="120"/>
  <c r="E561" i="120"/>
  <c r="B555" i="120"/>
  <c r="E554" i="120"/>
  <c r="E553" i="120"/>
  <c r="B547" i="120"/>
  <c r="E546" i="120"/>
  <c r="E545" i="120"/>
  <c r="B539" i="120"/>
  <c r="E538" i="120"/>
  <c r="E537" i="120"/>
  <c r="B531" i="120"/>
  <c r="E530" i="120"/>
  <c r="E529" i="120"/>
  <c r="B523" i="120"/>
  <c r="E522" i="120"/>
  <c r="E521" i="120"/>
  <c r="B515" i="120"/>
  <c r="E514" i="120"/>
  <c r="E513" i="120"/>
  <c r="B507" i="120"/>
  <c r="C417" i="120"/>
  <c r="C416" i="120"/>
  <c r="D404" i="120"/>
  <c r="C394" i="120"/>
  <c r="D393" i="120"/>
  <c r="C387" i="120"/>
  <c r="C376" i="120"/>
  <c r="C373" i="120"/>
  <c r="C372" i="120"/>
  <c r="C256" i="120"/>
  <c r="D255" i="120"/>
  <c r="C249" i="120"/>
  <c r="C236" i="120"/>
  <c r="C235" i="120"/>
  <c r="D213" i="120"/>
  <c r="D212" i="120"/>
  <c r="D210" i="120"/>
  <c r="D209" i="120"/>
  <c r="D208" i="120"/>
  <c r="D207" i="120"/>
  <c r="D205" i="120"/>
  <c r="D199" i="120"/>
  <c r="D198" i="120"/>
  <c r="D192" i="120"/>
  <c r="D190" i="120"/>
  <c r="D188" i="120"/>
  <c r="D186" i="120"/>
  <c r="D185" i="120"/>
  <c r="D179" i="120"/>
  <c r="D173" i="120"/>
  <c r="D172" i="120"/>
  <c r="D170" i="120"/>
  <c r="D169" i="120"/>
  <c r="D168" i="120"/>
  <c r="D167" i="120"/>
  <c r="D166" i="120"/>
  <c r="D164" i="120"/>
  <c r="D158" i="120"/>
  <c r="D157" i="120"/>
  <c r="D156" i="120"/>
  <c r="D150" i="120"/>
  <c r="D148" i="120"/>
  <c r="D146" i="120"/>
  <c r="D144" i="120"/>
  <c r="D143" i="120"/>
  <c r="D137" i="120"/>
  <c r="D125" i="120"/>
  <c r="D119" i="120"/>
  <c r="C117" i="120"/>
  <c r="D115" i="120"/>
  <c r="D113" i="120"/>
  <c r="C104" i="120" a="1"/>
  <c r="C104" i="120"/>
  <c r="D98" i="120"/>
  <c r="C82" i="120"/>
  <c r="C397" i="120" s="1"/>
  <c r="C73" i="120"/>
  <c r="C259" i="120" s="1"/>
  <c r="C41" i="120"/>
  <c r="L325" i="63"/>
  <c r="L324" i="63"/>
  <c r="L323" i="63"/>
  <c r="L322" i="63"/>
  <c r="L321" i="63"/>
  <c r="L320" i="63"/>
  <c r="L319" i="63"/>
  <c r="L318" i="63"/>
  <c r="L317" i="63"/>
  <c r="L316" i="63"/>
  <c r="L315" i="63"/>
  <c r="L314" i="63"/>
  <c r="L313" i="63"/>
  <c r="L312" i="63"/>
  <c r="L311" i="63"/>
  <c r="L310" i="63"/>
  <c r="L309" i="63"/>
  <c r="L308" i="63"/>
  <c r="L307" i="63"/>
  <c r="L306" i="63"/>
  <c r="L305" i="63"/>
  <c r="L303" i="63"/>
  <c r="Y54" i="123" s="1" a="1"/>
  <c r="Y54" i="123" s="1"/>
  <c r="L300" i="63"/>
  <c r="L299" i="63"/>
  <c r="L298" i="63"/>
  <c r="L297" i="63"/>
  <c r="L296" i="63"/>
  <c r="L295" i="63"/>
  <c r="L294" i="63"/>
  <c r="L293" i="63"/>
  <c r="L292" i="63"/>
  <c r="Y50" i="123" s="1" a="1"/>
  <c r="Y50" i="123" s="1"/>
  <c r="L291" i="63"/>
  <c r="L290" i="63"/>
  <c r="L289" i="63"/>
  <c r="L288" i="63"/>
  <c r="I309" i="63"/>
  <c r="I308" i="63"/>
  <c r="I307" i="63"/>
  <c r="I306" i="63"/>
  <c r="I305" i="63"/>
  <c r="I300" i="63"/>
  <c r="I299" i="63"/>
  <c r="I298" i="63"/>
  <c r="I297" i="63"/>
  <c r="I296" i="63"/>
  <c r="I295" i="63"/>
  <c r="I294" i="63"/>
  <c r="I293" i="63"/>
  <c r="I292" i="63"/>
  <c r="I291" i="63"/>
  <c r="I290" i="63"/>
  <c r="I289" i="63"/>
  <c r="I288" i="63"/>
  <c r="D438" i="115" s="1" a="1"/>
  <c r="D438" i="115" s="1"/>
  <c r="I287" i="63"/>
  <c r="I286" i="63"/>
  <c r="I285" i="63"/>
  <c r="I284" i="63"/>
  <c r="I283" i="63"/>
  <c r="I282" i="63"/>
  <c r="I281" i="63"/>
  <c r="I280" i="63"/>
  <c r="I279" i="63"/>
  <c r="I278" i="63"/>
  <c r="D427" i="115" s="1"/>
  <c r="I277" i="63"/>
  <c r="D393" i="115" s="1" a="1"/>
  <c r="I276" i="63"/>
  <c r="D392" i="115" s="1"/>
  <c r="I275" i="63"/>
  <c r="I274" i="63"/>
  <c r="I273" i="63" a="1"/>
  <c r="I273" i="63" s="1"/>
  <c r="I272" i="63"/>
  <c r="L270" i="63"/>
  <c r="I270" i="63"/>
  <c r="D429" i="115" s="1"/>
  <c r="I266" i="63"/>
  <c r="D368" i="115" s="1"/>
  <c r="I265" i="63"/>
  <c r="I264" i="63"/>
  <c r="I263" i="63"/>
  <c r="I262" i="63" a="1"/>
  <c r="I262" i="63" s="1"/>
  <c r="I261" i="63"/>
  <c r="I260" i="63"/>
  <c r="I259" i="63"/>
  <c r="I269" i="63" s="1"/>
  <c r="I258" i="63"/>
  <c r="D372" i="115" s="1" a="1"/>
  <c r="D372" i="115" s="1"/>
  <c r="I257" i="63"/>
  <c r="C242" i="63"/>
  <c r="C241" i="63"/>
  <c r="C240" i="63"/>
  <c r="C239" i="63"/>
  <c r="C238" i="63"/>
  <c r="C237" i="63"/>
  <c r="C236" i="63"/>
  <c r="C235" i="63"/>
  <c r="L248" i="63"/>
  <c r="D162" i="118" s="1" a="1"/>
  <c r="D162" i="118" s="1"/>
  <c r="C233" i="63"/>
  <c r="C232" i="63"/>
  <c r="C231" i="63"/>
  <c r="L245" i="63"/>
  <c r="D159" i="118" s="1"/>
  <c r="C230" i="63"/>
  <c r="L244" i="63"/>
  <c r="L252" i="63" s="1"/>
  <c r="C229" i="63"/>
  <c r="C228" i="63"/>
  <c r="C227" i="63"/>
  <c r="L241" i="63"/>
  <c r="L249" i="63" s="1"/>
  <c r="C226" i="63"/>
  <c r="I236" i="63"/>
  <c r="I235" i="63"/>
  <c r="I234" i="63"/>
  <c r="I232" i="63"/>
  <c r="I231" i="63"/>
  <c r="I230" i="63"/>
  <c r="C215" i="63"/>
  <c r="I229" i="63"/>
  <c r="C214" i="63"/>
  <c r="I227" i="63"/>
  <c r="C212" i="63"/>
  <c r="I226" i="63"/>
  <c r="I225" i="63"/>
  <c r="C211" i="63"/>
  <c r="C210" i="63"/>
  <c r="I223" i="63"/>
  <c r="C209" i="63"/>
  <c r="I222" i="63"/>
  <c r="C208" i="63"/>
  <c r="I221" i="63"/>
  <c r="C207" i="63"/>
  <c r="L220" i="63"/>
  <c r="I220" i="63"/>
  <c r="C206" i="63"/>
  <c r="C205" i="63"/>
  <c r="I218" i="63"/>
  <c r="D348" i="115" s="1"/>
  <c r="I217" i="63"/>
  <c r="I216" i="63"/>
  <c r="L215" i="63"/>
  <c r="I215" i="63"/>
  <c r="I214" i="63"/>
  <c r="I213" i="63"/>
  <c r="C199" i="63"/>
  <c r="I212" i="63"/>
  <c r="C198" i="63"/>
  <c r="U207" i="63"/>
  <c r="D242" i="119" s="1"/>
  <c r="I211" i="63"/>
  <c r="C197" i="63"/>
  <c r="D93" i="113" s="1"/>
  <c r="U206" i="63"/>
  <c r="D231" i="119" s="1"/>
  <c r="L210" i="63"/>
  <c r="I210" i="63"/>
  <c r="U205" i="63"/>
  <c r="I209" i="63"/>
  <c r="U204" i="63"/>
  <c r="L208" i="63"/>
  <c r="I208" i="63"/>
  <c r="U203" i="63"/>
  <c r="I207" i="63"/>
  <c r="U202" i="63"/>
  <c r="I206" i="63"/>
  <c r="C192" i="63"/>
  <c r="I205" i="63"/>
  <c r="C191" i="63"/>
  <c r="U200" i="63"/>
  <c r="I204" i="63"/>
  <c r="C190" i="63"/>
  <c r="U199" i="63"/>
  <c r="I203" i="63"/>
  <c r="C189" i="63"/>
  <c r="U198" i="63"/>
  <c r="D156" i="119" s="1" a="1"/>
  <c r="D156" i="119" s="1"/>
  <c r="I202" i="63"/>
  <c r="U197" i="63"/>
  <c r="D79" i="119" s="1"/>
  <c r="I201" i="63"/>
  <c r="U196" i="63"/>
  <c r="I200" i="63"/>
  <c r="U195" i="63"/>
  <c r="D21" i="119" s="1"/>
  <c r="I199" i="63"/>
  <c r="C185" i="63"/>
  <c r="U194" i="63"/>
  <c r="I198" i="63"/>
  <c r="C184" i="63"/>
  <c r="U193" i="63"/>
  <c r="C183" i="63"/>
  <c r="U192" i="63"/>
  <c r="C182" i="63"/>
  <c r="U191" i="63" a="1"/>
  <c r="U191" i="63" s="1"/>
  <c r="D97" i="119" s="1" a="1"/>
  <c r="D97" i="119" s="1"/>
  <c r="L195" i="63"/>
  <c r="C181" i="63"/>
  <c r="I194" i="63"/>
  <c r="C180" i="63"/>
  <c r="U189" i="63"/>
  <c r="I193" i="63"/>
  <c r="U188" i="63"/>
  <c r="I192" i="63"/>
  <c r="L191" i="63"/>
  <c r="D142" i="118" s="1" a="1"/>
  <c r="D142" i="118" s="1"/>
  <c r="I191" i="63"/>
  <c r="I190" i="63"/>
  <c r="C176" i="63"/>
  <c r="B88" i="116" s="1"/>
  <c r="I189" i="63"/>
  <c r="C175" i="63"/>
  <c r="C78" i="63" s="1"/>
  <c r="U184" i="63"/>
  <c r="D200" i="85" s="1"/>
  <c r="I188" i="63"/>
  <c r="U183" i="63"/>
  <c r="I187" i="63"/>
  <c r="F196" i="63"/>
  <c r="U182" i="63" a="1"/>
  <c r="U182" i="63" s="1"/>
  <c r="D176" i="85" s="1"/>
  <c r="I186" i="63"/>
  <c r="F195" i="63"/>
  <c r="U181" i="63" a="1"/>
  <c r="U181" i="63" s="1"/>
  <c r="D166" i="85" s="1"/>
  <c r="I185" i="63"/>
  <c r="F194" i="63"/>
  <c r="C171" i="63"/>
  <c r="U180" i="63"/>
  <c r="D157" i="85" s="1"/>
  <c r="I184" i="63"/>
  <c r="F193" i="63"/>
  <c r="C170" i="63"/>
  <c r="U179" i="63"/>
  <c r="D156" i="85" s="1"/>
  <c r="I183" i="63"/>
  <c r="F192" i="63"/>
  <c r="C169" i="63"/>
  <c r="U178" i="63"/>
  <c r="D155" i="85" s="1"/>
  <c r="I182" i="63"/>
  <c r="F191" i="63"/>
  <c r="C168" i="63"/>
  <c r="U177" i="63"/>
  <c r="I181" i="63"/>
  <c r="F190" i="63"/>
  <c r="C167" i="63"/>
  <c r="U176" i="63"/>
  <c r="D111" i="85" s="1"/>
  <c r="I180" i="63"/>
  <c r="C166" i="63"/>
  <c r="U175" i="63"/>
  <c r="L179" i="63"/>
  <c r="I179" i="63"/>
  <c r="F188" i="63"/>
  <c r="C165" i="63"/>
  <c r="U174" i="63"/>
  <c r="L178" i="63"/>
  <c r="D61" i="113" s="1"/>
  <c r="I178" i="63"/>
  <c r="F187" i="63"/>
  <c r="C164" i="63"/>
  <c r="U173" i="63"/>
  <c r="D121" i="85" s="1"/>
  <c r="L177" i="63"/>
  <c r="D443" i="108" s="1"/>
  <c r="I177" i="63"/>
  <c r="F186" i="63"/>
  <c r="C163" i="63"/>
  <c r="U172" i="63"/>
  <c r="D120" i="85" s="1"/>
  <c r="L176" i="63"/>
  <c r="I176" i="63"/>
  <c r="F185" i="63"/>
  <c r="C162" i="63"/>
  <c r="U171" i="63"/>
  <c r="I175" i="63"/>
  <c r="F184" i="63"/>
  <c r="C161" i="63"/>
  <c r="U170" i="63"/>
  <c r="F183" i="63"/>
  <c r="C160" i="63"/>
  <c r="U169" i="63"/>
  <c r="D145" i="85" s="1"/>
  <c r="F182" i="63"/>
  <c r="C159" i="63"/>
  <c r="U168" i="63"/>
  <c r="D87" i="85" s="1"/>
  <c r="F181" i="63"/>
  <c r="C158" i="63"/>
  <c r="U167" i="63"/>
  <c r="D82" i="85" s="1"/>
  <c r="L171" i="63"/>
  <c r="I171" i="63"/>
  <c r="F180" i="63"/>
  <c r="C157" i="63"/>
  <c r="U166" i="63"/>
  <c r="D81" i="85" s="1"/>
  <c r="L170" i="63"/>
  <c r="I170" i="63"/>
  <c r="F179" i="63"/>
  <c r="C156" i="63"/>
  <c r="U165" i="63"/>
  <c r="D80" i="85" s="1"/>
  <c r="L169" i="63"/>
  <c r="I169" i="63"/>
  <c r="F178" i="63"/>
  <c r="C155" i="63"/>
  <c r="U164" i="63"/>
  <c r="D79" i="85" s="1"/>
  <c r="L168" i="63"/>
  <c r="I168" i="63"/>
  <c r="F177" i="63"/>
  <c r="C154" i="63"/>
  <c r="U163" i="63"/>
  <c r="D78" i="85" s="1"/>
  <c r="L167" i="63"/>
  <c r="B94" i="113" s="1" a="1"/>
  <c r="B94" i="113" s="1"/>
  <c r="I167" i="63"/>
  <c r="F176" i="63"/>
  <c r="C153" i="63"/>
  <c r="U162" i="63"/>
  <c r="D77" i="85" s="1"/>
  <c r="I166" i="63"/>
  <c r="F175" i="63"/>
  <c r="C152" i="63"/>
  <c r="U161" i="63"/>
  <c r="I165" i="63"/>
  <c r="C151" i="63"/>
  <c r="U160" i="63" a="1"/>
  <c r="U160" i="63" s="1"/>
  <c r="D128" i="85" s="1"/>
  <c r="I164" i="63"/>
  <c r="F173" i="63"/>
  <c r="C150" i="63"/>
  <c r="U159" i="63"/>
  <c r="I163" i="63"/>
  <c r="F172" i="63"/>
  <c r="C149" i="63"/>
  <c r="U158" i="63"/>
  <c r="D186" i="85" s="1"/>
  <c r="I162" i="63"/>
  <c r="U157" i="63"/>
  <c r="D188" i="85" s="1"/>
  <c r="I161" i="63"/>
  <c r="F170" i="63"/>
  <c r="U156" i="63"/>
  <c r="L160" i="63"/>
  <c r="I160" i="63"/>
  <c r="U155" i="63"/>
  <c r="D125" i="85" s="1"/>
  <c r="L159" i="63"/>
  <c r="I159" i="63"/>
  <c r="F168" i="63"/>
  <c r="U154" i="63"/>
  <c r="L158" i="63"/>
  <c r="I158" i="63"/>
  <c r="F167" i="63"/>
  <c r="U153" i="63"/>
  <c r="L157" i="63"/>
  <c r="I157" i="63"/>
  <c r="F166" i="63"/>
  <c r="L156" i="63"/>
  <c r="I156" i="63"/>
  <c r="F165" i="63"/>
  <c r="L155" i="63"/>
  <c r="I155" i="63"/>
  <c r="F164" i="63"/>
  <c r="L154" i="63"/>
  <c r="I154" i="63"/>
  <c r="U149" i="63"/>
  <c r="L153" i="63"/>
  <c r="F162" i="63"/>
  <c r="U148" i="63"/>
  <c r="L152" i="63"/>
  <c r="F161" i="63"/>
  <c r="U147" i="63"/>
  <c r="D155" i="86" s="1"/>
  <c r="L151" i="63"/>
  <c r="F160" i="63"/>
  <c r="U146" i="63"/>
  <c r="D154" i="86" s="1"/>
  <c r="L150" i="63"/>
  <c r="I152" i="63"/>
  <c r="F159" i="63"/>
  <c r="U145" i="63"/>
  <c r="D127" i="86" s="1"/>
  <c r="L149" i="63"/>
  <c r="I151" i="63"/>
  <c r="F158" i="63"/>
  <c r="U144" i="63"/>
  <c r="D109" i="86" s="1" a="1"/>
  <c r="D109" i="86" s="1"/>
  <c r="L148" i="63"/>
  <c r="F157" i="63"/>
  <c r="D73" i="109" s="1"/>
  <c r="U143" i="63"/>
  <c r="D108" i="86" s="1" a="1"/>
  <c r="D108" i="86" s="1"/>
  <c r="L147" i="63"/>
  <c r="I149" i="63"/>
  <c r="U142" i="63"/>
  <c r="D107" i="86" s="1" a="1"/>
  <c r="D107" i="86" s="1"/>
  <c r="L146" i="63"/>
  <c r="I148" i="63"/>
  <c r="F155" i="63"/>
  <c r="U141" i="63"/>
  <c r="D93" i="86" s="1" a="1"/>
  <c r="D93" i="86" s="1"/>
  <c r="L145" i="63"/>
  <c r="I147" i="63"/>
  <c r="F154" i="63"/>
  <c r="D567" i="109" s="1"/>
  <c r="U140" i="63"/>
  <c r="L144" i="63"/>
  <c r="I146" i="63"/>
  <c r="F153" i="63"/>
  <c r="U139" i="63"/>
  <c r="L143" i="63"/>
  <c r="F152" i="63"/>
  <c r="U138" i="63"/>
  <c r="L142" i="63"/>
  <c r="I144" i="63"/>
  <c r="F151" i="63"/>
  <c r="U137" i="63" a="1"/>
  <c r="U137" i="63" s="1"/>
  <c r="L141" i="63"/>
  <c r="I143" i="63"/>
  <c r="F150" i="63"/>
  <c r="U136" i="63"/>
  <c r="D86" i="86" s="1" a="1"/>
  <c r="D86" i="86" s="1"/>
  <c r="L140" i="63"/>
  <c r="I142" i="63"/>
  <c r="F149" i="63"/>
  <c r="C144" i="63"/>
  <c r="U135" i="63"/>
  <c r="L139" i="63"/>
  <c r="I141" i="63"/>
  <c r="F148" i="63"/>
  <c r="D51" i="119" s="1"/>
  <c r="U134" i="63"/>
  <c r="D64" i="86" s="1" a="1"/>
  <c r="D64" i="86" s="1"/>
  <c r="L138" i="63"/>
  <c r="C143" i="63"/>
  <c r="U133" i="63"/>
  <c r="D59" i="86" s="1"/>
  <c r="L137" i="63"/>
  <c r="I139" i="63"/>
  <c r="C142" i="63"/>
  <c r="U132" i="63"/>
  <c r="D58" i="86" s="1" a="1"/>
  <c r="D58" i="86" s="1"/>
  <c r="L136" i="63"/>
  <c r="I138" i="63"/>
  <c r="C141" i="63"/>
  <c r="U131" i="63"/>
  <c r="D57" i="86" s="1"/>
  <c r="L135" i="63"/>
  <c r="I137" i="63"/>
  <c r="F144" i="63"/>
  <c r="C140" i="63"/>
  <c r="U130" i="63"/>
  <c r="D56" i="86" s="1"/>
  <c r="L134" i="63"/>
  <c r="I136" i="63"/>
  <c r="F143" i="63"/>
  <c r="C139" i="63"/>
  <c r="U129" i="63"/>
  <c r="D55" i="86" s="1"/>
  <c r="L133" i="63"/>
  <c r="F142" i="63"/>
  <c r="U128" i="63"/>
  <c r="L132" i="63"/>
  <c r="D54" i="95" s="1"/>
  <c r="K132" i="63"/>
  <c r="I134" i="63"/>
  <c r="F139" i="63"/>
  <c r="D60" i="116" s="1"/>
  <c r="C137" i="63"/>
  <c r="U127" i="63"/>
  <c r="D53" i="86" s="1"/>
  <c r="L131" i="63"/>
  <c r="D53" i="95" s="1"/>
  <c r="K131" i="63"/>
  <c r="I133" i="63"/>
  <c r="F138" i="63"/>
  <c r="C136" i="63" a="1"/>
  <c r="C136" i="63" s="1"/>
  <c r="U126" i="63"/>
  <c r="O129" i="63"/>
  <c r="D150" i="75" s="1"/>
  <c r="I132" i="63"/>
  <c r="F137" i="63"/>
  <c r="C135" i="63" a="1"/>
  <c r="C135" i="63" s="1"/>
  <c r="U125" i="63"/>
  <c r="O128" i="63"/>
  <c r="I131" i="63"/>
  <c r="F136" i="63"/>
  <c r="C134" i="63"/>
  <c r="U124" i="63"/>
  <c r="F135" i="63"/>
  <c r="D88" i="116" s="1"/>
  <c r="C133" i="63"/>
  <c r="D130" i="108" s="1"/>
  <c r="U123" i="63"/>
  <c r="D120" i="86" s="1"/>
  <c r="O126" i="63"/>
  <c r="L127" i="63"/>
  <c r="I129" i="63"/>
  <c r="F134" i="63"/>
  <c r="D89" i="116" s="1"/>
  <c r="C132" i="63"/>
  <c r="O125" i="63"/>
  <c r="L126" i="63"/>
  <c r="I128" i="63"/>
  <c r="C131" i="63"/>
  <c r="O124" i="63"/>
  <c r="I127" i="63"/>
  <c r="O123" i="63"/>
  <c r="D290" i="75" s="1" a="1"/>
  <c r="D290" i="75" s="1"/>
  <c r="I126" i="63"/>
  <c r="O122" i="63"/>
  <c r="U118" i="63"/>
  <c r="D414" i="120" s="1"/>
  <c r="O121" i="63"/>
  <c r="L122" i="63"/>
  <c r="U117" i="63"/>
  <c r="L121" i="63"/>
  <c r="I122" i="63"/>
  <c r="F128" i="63"/>
  <c r="C126" i="63"/>
  <c r="U116" i="63"/>
  <c r="D417" i="120" s="1"/>
  <c r="R118" i="63"/>
  <c r="L120" i="63"/>
  <c r="I121" i="63"/>
  <c r="F127" i="63"/>
  <c r="C125" i="63"/>
  <c r="U115" i="63"/>
  <c r="D416" i="120" s="1"/>
  <c r="R117" i="63"/>
  <c r="D277" i="120" s="1"/>
  <c r="L119" i="63"/>
  <c r="I120" i="63"/>
  <c r="C124" i="63"/>
  <c r="U114" i="63"/>
  <c r="L118" i="63"/>
  <c r="I119" i="63"/>
  <c r="F125" i="63"/>
  <c r="C123" i="63"/>
  <c r="U113" i="63"/>
  <c r="D199" i="115" a="1"/>
  <c r="D199" i="115" s="1"/>
  <c r="F124" i="63"/>
  <c r="C122" i="63"/>
  <c r="U112" i="63"/>
  <c r="D387" i="120" s="1"/>
  <c r="L116" i="63"/>
  <c r="I116" i="63"/>
  <c r="C121" i="63"/>
  <c r="U111" i="63"/>
  <c r="D397" i="120" s="1"/>
  <c r="R113" i="63"/>
  <c r="L115" i="63"/>
  <c r="I115" i="63"/>
  <c r="C120" i="63"/>
  <c r="U110" i="63"/>
  <c r="D396" i="120" s="1"/>
  <c r="R112" i="63"/>
  <c r="L114" i="63"/>
  <c r="I114" i="63"/>
  <c r="U109" i="63"/>
  <c r="D376" i="120" s="1"/>
  <c r="L113" i="63"/>
  <c r="I113" i="63"/>
  <c r="F120" i="63"/>
  <c r="U108" i="63"/>
  <c r="D373" i="120" s="1"/>
  <c r="L112" i="63"/>
  <c r="D188" i="115"/>
  <c r="F119" i="63"/>
  <c r="U107" i="63"/>
  <c r="D372" i="120" s="1"/>
  <c r="O110" i="63"/>
  <c r="D141" i="75" s="1"/>
  <c r="L111" i="63"/>
  <c r="I110" i="63"/>
  <c r="F118" i="63"/>
  <c r="C116" i="63"/>
  <c r="U106" i="63"/>
  <c r="D368" i="120" s="1"/>
  <c r="R108" i="63"/>
  <c r="D381" i="120" s="1"/>
  <c r="O109" i="63"/>
  <c r="I109" i="63"/>
  <c r="F117" i="63"/>
  <c r="U105" i="63"/>
  <c r="D249" i="120" s="1"/>
  <c r="R107" i="63"/>
  <c r="O108" i="63"/>
  <c r="D102" i="75" s="1"/>
  <c r="I108" i="63"/>
  <c r="F116" i="63"/>
  <c r="U104" i="63"/>
  <c r="D291" i="120" s="1"/>
  <c r="R106" i="63"/>
  <c r="D243" i="120" s="1"/>
  <c r="O107" i="63"/>
  <c r="I107" i="63"/>
  <c r="F115" i="63"/>
  <c r="C112" i="63"/>
  <c r="U103" i="63"/>
  <c r="D259" i="120" s="1"/>
  <c r="O106" i="63"/>
  <c r="D75" i="75" s="1"/>
  <c r="L107" i="63"/>
  <c r="I106" i="63"/>
  <c r="C111" i="63"/>
  <c r="U102" i="63"/>
  <c r="D258" i="120" s="1"/>
  <c r="O105" i="63"/>
  <c r="D62" i="75" s="1"/>
  <c r="L106" i="63"/>
  <c r="C110" i="63"/>
  <c r="U101" i="63"/>
  <c r="D236" i="120" s="1"/>
  <c r="O104" i="63"/>
  <c r="L105" i="63"/>
  <c r="I104" i="63"/>
  <c r="C109" i="63"/>
  <c r="U100" i="63"/>
  <c r="D235" i="120" s="1"/>
  <c r="R102" i="63"/>
  <c r="O103" i="63"/>
  <c r="D59" i="75" s="1"/>
  <c r="L104" i="63"/>
  <c r="I103" i="63"/>
  <c r="F111" i="63"/>
  <c r="D349" i="109" s="1"/>
  <c r="C108" i="63"/>
  <c r="U99" i="63"/>
  <c r="D224" i="120" s="1"/>
  <c r="R101" i="63"/>
  <c r="O102" i="63"/>
  <c r="L103" i="63"/>
  <c r="I102" i="63"/>
  <c r="F110" i="63"/>
  <c r="B89" i="116" s="1"/>
  <c r="R100" i="63"/>
  <c r="O101" i="63"/>
  <c r="D53" i="75" s="1"/>
  <c r="I101" i="63"/>
  <c r="C105" i="63"/>
  <c r="R99" i="63"/>
  <c r="D126" i="75" s="1"/>
  <c r="O100" i="63"/>
  <c r="O115" i="63" s="1"/>
  <c r="I100" i="63"/>
  <c r="C104" i="63"/>
  <c r="O99" i="63" a="1"/>
  <c r="O99" i="63" s="1"/>
  <c r="O114" i="63" s="1"/>
  <c r="L100" i="63"/>
  <c r="I99" i="63"/>
  <c r="C103" i="63"/>
  <c r="U95" i="63"/>
  <c r="O98" i="63" a="1"/>
  <c r="O98" i="63" s="1"/>
  <c r="O113" i="63" s="1"/>
  <c r="I98" i="63"/>
  <c r="F106" i="63"/>
  <c r="C102" i="63"/>
  <c r="U94" i="63"/>
  <c r="O97" i="63"/>
  <c r="F105" i="63"/>
  <c r="C101" i="63"/>
  <c r="U93" i="63"/>
  <c r="R95" i="63"/>
  <c r="O96" i="63"/>
  <c r="O111" i="63" s="1"/>
  <c r="I97" i="63"/>
  <c r="F104" i="63"/>
  <c r="U92" i="63"/>
  <c r="D375" i="75" s="1"/>
  <c r="R94" i="63"/>
  <c r="J376" i="62" s="1"/>
  <c r="O95" i="63"/>
  <c r="I96" i="63"/>
  <c r="F103" i="63"/>
  <c r="C98" i="63"/>
  <c r="U91" i="63"/>
  <c r="D114" i="120" s="1"/>
  <c r="R93" i="63"/>
  <c r="J375" i="62" s="1"/>
  <c r="O94" i="63"/>
  <c r="D85" i="75" s="1" a="1"/>
  <c r="D85" i="75" s="1"/>
  <c r="F102" i="63"/>
  <c r="C97" i="63"/>
  <c r="U90" i="63"/>
  <c r="D163" i="120" s="1"/>
  <c r="R92" i="63"/>
  <c r="C94" i="112" s="1"/>
  <c r="O93" i="63"/>
  <c r="I95" i="63"/>
  <c r="C96" i="63"/>
  <c r="U89" i="63"/>
  <c r="R91" i="63"/>
  <c r="J379" i="62" s="1"/>
  <c r="O92" i="63"/>
  <c r="D60" i="75" s="1"/>
  <c r="I94" i="63"/>
  <c r="F100" i="63"/>
  <c r="C95" i="63"/>
  <c r="U88" i="63"/>
  <c r="I93" i="63"/>
  <c r="D384" i="115" s="1"/>
  <c r="C94" i="63"/>
  <c r="D265" i="120" s="1"/>
  <c r="U87" i="63"/>
  <c r="I92" i="63"/>
  <c r="D349" i="115" s="1"/>
  <c r="U86" i="63"/>
  <c r="C92" i="63"/>
  <c r="U85" i="63"/>
  <c r="O88" i="63"/>
  <c r="F95" i="63"/>
  <c r="D285" i="65" s="1"/>
  <c r="U84" i="63"/>
  <c r="O87" i="63"/>
  <c r="D368" i="109" s="1"/>
  <c r="L88" i="63"/>
  <c r="F94" i="63"/>
  <c r="U83" i="63"/>
  <c r="D264" i="75" s="1"/>
  <c r="L87" i="63"/>
  <c r="I91" i="63"/>
  <c r="F93" i="63" a="1"/>
  <c r="F93" i="63" s="1"/>
  <c r="U82" i="63"/>
  <c r="O85" i="63"/>
  <c r="D627" i="109" s="1"/>
  <c r="I90" i="63"/>
  <c r="F92" i="63"/>
  <c r="C88" i="63"/>
  <c r="U81" i="63"/>
  <c r="O84" i="63"/>
  <c r="D626" i="109" s="1"/>
  <c r="I89" i="63"/>
  <c r="F91" i="63"/>
  <c r="C87" i="63"/>
  <c r="U80" i="63"/>
  <c r="O83" i="63"/>
  <c r="I88" i="63"/>
  <c r="F90" i="63"/>
  <c r="C86" i="63"/>
  <c r="U79" i="63"/>
  <c r="O82" i="63"/>
  <c r="D557" i="109" s="1"/>
  <c r="L83" i="63"/>
  <c r="I87" i="63"/>
  <c r="AA38" i="63"/>
  <c r="U78" i="63"/>
  <c r="D305" i="75" s="1"/>
  <c r="O81" i="63"/>
  <c r="D568" i="109" s="1"/>
  <c r="L82" i="63"/>
  <c r="I86" i="63"/>
  <c r="D274" i="65"/>
  <c r="U77" i="63"/>
  <c r="R79" i="63"/>
  <c r="O80" i="63"/>
  <c r="D628" i="109" s="1"/>
  <c r="I85" i="63"/>
  <c r="F86" i="63"/>
  <c r="R78" i="63"/>
  <c r="E96" i="112" s="1"/>
  <c r="O79" i="63"/>
  <c r="D553" i="109" s="1"/>
  <c r="I84" i="63"/>
  <c r="F85" i="63"/>
  <c r="U75" i="63"/>
  <c r="R77" i="63"/>
  <c r="E95" i="112" s="1"/>
  <c r="O78" i="63"/>
  <c r="I83" i="63"/>
  <c r="F84" i="63" a="1"/>
  <c r="F84" i="63" s="1"/>
  <c r="U74" i="63"/>
  <c r="R76" i="63"/>
  <c r="E94" i="112" s="1"/>
  <c r="O77" i="63"/>
  <c r="D532" i="109" s="1"/>
  <c r="L78" i="63"/>
  <c r="I82" i="63"/>
  <c r="F83" i="63"/>
  <c r="C85" i="63"/>
  <c r="U73" i="63"/>
  <c r="R75" i="63"/>
  <c r="E97" i="112" s="1"/>
  <c r="O76" i="63"/>
  <c r="L77" i="63"/>
  <c r="I81" i="63"/>
  <c r="F82" i="63"/>
  <c r="C84" i="63"/>
  <c r="U72" i="63"/>
  <c r="O75" i="63"/>
  <c r="D491" i="109" s="1"/>
  <c r="I80" i="63"/>
  <c r="C83" i="63"/>
  <c r="D450" i="109" s="1"/>
  <c r="U71" i="63"/>
  <c r="O74" i="63"/>
  <c r="D500" i="109" s="1"/>
  <c r="I79" i="63"/>
  <c r="D263" i="65"/>
  <c r="U70" i="63"/>
  <c r="O73" i="63"/>
  <c r="I78" i="63"/>
  <c r="F78" i="63"/>
  <c r="U69" i="63"/>
  <c r="R71" i="63"/>
  <c r="O72" i="63" a="1"/>
  <c r="O72" i="63" s="1"/>
  <c r="L73" i="63"/>
  <c r="I77" i="63"/>
  <c r="F77" i="63" a="1"/>
  <c r="F77" i="63" s="1"/>
  <c r="AA30" i="63"/>
  <c r="R70" i="63"/>
  <c r="O71" i="63"/>
  <c r="L72" i="63"/>
  <c r="I76" i="63"/>
  <c r="F76" i="63"/>
  <c r="C79" i="63"/>
  <c r="B93" i="113" s="1"/>
  <c r="U67" i="63"/>
  <c r="R69" i="63"/>
  <c r="O70" i="63"/>
  <c r="I75" i="63"/>
  <c r="F75" i="63"/>
  <c r="U66" i="63"/>
  <c r="F130" i="87" s="1"/>
  <c r="R68" i="63"/>
  <c r="F74" i="63"/>
  <c r="U65" i="63"/>
  <c r="O68" i="63"/>
  <c r="D577" i="109" s="1"/>
  <c r="I73" i="63"/>
  <c r="D115" i="115" s="1"/>
  <c r="X48" i="63"/>
  <c r="U64" i="63"/>
  <c r="O67" i="63"/>
  <c r="L68" i="63"/>
  <c r="I72" i="63"/>
  <c r="F72" i="63"/>
  <c r="U63" i="63"/>
  <c r="O66" i="63"/>
  <c r="D579" i="109" s="1"/>
  <c r="L67" i="63"/>
  <c r="D446" i="109" s="1"/>
  <c r="I71" i="63"/>
  <c r="C70" i="63"/>
  <c r="U62" i="63"/>
  <c r="O65" i="63"/>
  <c r="L66" i="63"/>
  <c r="I70" i="63"/>
  <c r="C69" i="63"/>
  <c r="C48" i="63" s="1"/>
  <c r="U61" i="63"/>
  <c r="O64" i="63"/>
  <c r="I69" i="63"/>
  <c r="C68" i="63"/>
  <c r="F282" i="87" s="1"/>
  <c r="D93" i="112" s="1"/>
  <c r="X44" i="63"/>
  <c r="U60" i="63"/>
  <c r="I68" i="63"/>
  <c r="F68" i="63"/>
  <c r="C67" i="63"/>
  <c r="F272" i="87" s="1"/>
  <c r="O63" i="63"/>
  <c r="I67" i="63"/>
  <c r="F67" i="63"/>
  <c r="C66" i="63"/>
  <c r="B135" i="113" s="1"/>
  <c r="L62" i="63"/>
  <c r="I66" i="63"/>
  <c r="C65" i="63"/>
  <c r="D557" i="108" s="1"/>
  <c r="L61" i="63"/>
  <c r="I65" i="63"/>
  <c r="C64" i="63"/>
  <c r="D553" i="108" s="1"/>
  <c r="X40" i="63"/>
  <c r="U56" i="63"/>
  <c r="D508" i="75" s="1"/>
  <c r="L60" i="63"/>
  <c r="D218" i="85" s="1"/>
  <c r="I64" i="63"/>
  <c r="C63" i="63"/>
  <c r="C44" i="63" s="1"/>
  <c r="AA19" i="63"/>
  <c r="U55" i="63"/>
  <c r="O59" i="63" a="1"/>
  <c r="O59" i="63" s="1"/>
  <c r="C10" i="87" s="1"/>
  <c r="L59" i="63"/>
  <c r="I63" i="63"/>
  <c r="F63" i="63"/>
  <c r="D400" i="109" s="1"/>
  <c r="C62" i="63"/>
  <c r="C91" i="112" s="1"/>
  <c r="U54" i="63"/>
  <c r="D519" i="75" s="1"/>
  <c r="O58" i="63"/>
  <c r="C9" i="87" s="1"/>
  <c r="L58" i="63"/>
  <c r="D54" i="108" s="1"/>
  <c r="I62" i="63"/>
  <c r="C61" i="63"/>
  <c r="C54" i="87" s="1"/>
  <c r="U53" i="63"/>
  <c r="O57" i="63"/>
  <c r="L57" i="63"/>
  <c r="I61" i="63"/>
  <c r="C60" i="63"/>
  <c r="C89" i="112" s="1"/>
  <c r="X36" i="63"/>
  <c r="D343" i="109" s="1"/>
  <c r="O56" i="63"/>
  <c r="C16" i="87" s="1"/>
  <c r="L56" i="63"/>
  <c r="I60" i="63"/>
  <c r="C59" i="63"/>
  <c r="C88" i="112" s="1"/>
  <c r="O55" i="63"/>
  <c r="L55" i="63"/>
  <c r="I59" i="63"/>
  <c r="C58" i="63"/>
  <c r="U50" i="63"/>
  <c r="O54" i="63"/>
  <c r="L54" i="63"/>
  <c r="I58" i="63"/>
  <c r="F56" i="63"/>
  <c r="F41" i="63" s="1"/>
  <c r="C57" i="63"/>
  <c r="C38" i="63" s="1"/>
  <c r="D86" i="112" s="1"/>
  <c r="U49" i="63"/>
  <c r="L53" i="63"/>
  <c r="I57" i="63"/>
  <c r="F55" i="63"/>
  <c r="I283" i="87" s="1"/>
  <c r="C56" i="63"/>
  <c r="C37" i="63" s="1"/>
  <c r="X32" i="63"/>
  <c r="D59" i="116" s="1"/>
  <c r="U48" i="63"/>
  <c r="R49" i="63"/>
  <c r="J381" i="62" s="1"/>
  <c r="L52" i="63"/>
  <c r="D170" i="85" s="1"/>
  <c r="F54" i="63"/>
  <c r="I271" i="87" s="1"/>
  <c r="O51" i="63"/>
  <c r="L51" i="63"/>
  <c r="I55" i="63"/>
  <c r="F53" i="63"/>
  <c r="B113" i="116" s="1"/>
  <c r="AA15" i="63"/>
  <c r="O50" i="63"/>
  <c r="L50" i="63"/>
  <c r="I54" i="63"/>
  <c r="F52" i="63" a="1"/>
  <c r="F52" i="63" s="1"/>
  <c r="D489" i="109" s="1"/>
  <c r="O49" i="63"/>
  <c r="D223" i="85" s="1"/>
  <c r="L49" i="63"/>
  <c r="F51" i="63"/>
  <c r="D524" i="109" s="1"/>
  <c r="X28" i="63"/>
  <c r="D63" i="113" s="1"/>
  <c r="O48" i="63"/>
  <c r="D221" i="85" s="1"/>
  <c r="L48" i="63"/>
  <c r="F50" i="63"/>
  <c r="F37" i="63" s="1"/>
  <c r="AA14" i="63"/>
  <c r="U43" i="63"/>
  <c r="O47" i="63"/>
  <c r="D220" i="85" s="1"/>
  <c r="F49" i="63"/>
  <c r="C208" i="112" s="1"/>
  <c r="AA13" i="63"/>
  <c r="U42" i="63"/>
  <c r="O46" i="63"/>
  <c r="D219" i="85" s="1"/>
  <c r="F48" i="63"/>
  <c r="B400" i="65" s="1"/>
  <c r="U41" i="63"/>
  <c r="O45" i="63"/>
  <c r="D27" i="109" s="1"/>
  <c r="L45" i="63"/>
  <c r="I48" i="63"/>
  <c r="F47" i="63"/>
  <c r="F34" i="63" s="1"/>
  <c r="D206" i="112" s="1"/>
  <c r="X24" i="63"/>
  <c r="U40" i="63"/>
  <c r="O44" i="63"/>
  <c r="D24" i="109" s="1"/>
  <c r="L44" i="63"/>
  <c r="I47" i="63"/>
  <c r="F46" i="63"/>
  <c r="F33" i="63" s="1"/>
  <c r="AE40" i="63"/>
  <c r="D77" i="116" s="1"/>
  <c r="AA12" i="63"/>
  <c r="R41" i="63"/>
  <c r="O43" i="63"/>
  <c r="D25" i="109" s="1"/>
  <c r="F45" i="63"/>
  <c r="D362" i="109" s="1"/>
  <c r="E102" i="112"/>
  <c r="O42" i="63"/>
  <c r="D26" i="109" s="1"/>
  <c r="I45" i="63"/>
  <c r="O41" i="63"/>
  <c r="D23" i="109" s="1"/>
  <c r="I44" i="63"/>
  <c r="X20" i="63"/>
  <c r="O40" i="63"/>
  <c r="D22" i="109" s="1"/>
  <c r="L40" i="63"/>
  <c r="AA10" i="63"/>
  <c r="U35" i="63"/>
  <c r="E99" i="112"/>
  <c r="O39" i="63"/>
  <c r="D21" i="109" s="1"/>
  <c r="L39" i="63"/>
  <c r="AA9" i="63"/>
  <c r="U34" i="63"/>
  <c r="D70" i="95" s="1"/>
  <c r="R34" i="63"/>
  <c r="O38" i="63"/>
  <c r="D28" i="109" s="1"/>
  <c r="L38" i="63"/>
  <c r="AA8" i="63"/>
  <c r="O37" i="63"/>
  <c r="D57" i="108" s="1"/>
  <c r="L37" i="63"/>
  <c r="X16" i="63"/>
  <c r="D388" i="108" s="1"/>
  <c r="O36" i="63"/>
  <c r="I38" i="63"/>
  <c r="O35" i="63"/>
  <c r="L35" i="63"/>
  <c r="D359" i="109" s="1"/>
  <c r="I37" i="63"/>
  <c r="U33" i="63"/>
  <c r="O34" i="63"/>
  <c r="L34" i="63" a="1"/>
  <c r="L34" i="63" s="1"/>
  <c r="D403" i="108" s="1"/>
  <c r="AE31" i="63"/>
  <c r="L33" i="63"/>
  <c r="D222" i="85" s="1"/>
  <c r="I35" i="63"/>
  <c r="X12" i="63"/>
  <c r="D60" i="113" s="1"/>
  <c r="L32" i="63"/>
  <c r="I34" i="63"/>
  <c r="O31" i="63"/>
  <c r="L31" i="63"/>
  <c r="D50" i="108" s="1"/>
  <c r="O30" i="63"/>
  <c r="L30" i="63"/>
  <c r="C11" i="87" s="1"/>
  <c r="L29" i="63"/>
  <c r="C29" i="63"/>
  <c r="E103" i="112" s="1"/>
  <c r="X8" i="63"/>
  <c r="L28" i="63"/>
  <c r="C28" i="63"/>
  <c r="U26" i="63"/>
  <c r="O27" i="63"/>
  <c r="D644" i="108" s="1"/>
  <c r="L27" i="63"/>
  <c r="I28" i="63"/>
  <c r="C27" i="63"/>
  <c r="U25" i="63"/>
  <c r="D69" i="95" s="1"/>
  <c r="O26" i="63"/>
  <c r="D578" i="108" s="1"/>
  <c r="L26" i="63"/>
  <c r="D474" i="109" s="1" a="1"/>
  <c r="D474" i="109" s="1"/>
  <c r="I27" i="63"/>
  <c r="F26" i="63"/>
  <c r="D54" i="116" s="1"/>
  <c r="C26" i="63"/>
  <c r="D53" i="113" s="1"/>
  <c r="U24" i="63"/>
  <c r="R21" i="63"/>
  <c r="O25" i="63"/>
  <c r="D587" i="108" s="1"/>
  <c r="L25" i="63"/>
  <c r="D456" i="109" s="1" a="1"/>
  <c r="D456" i="109" s="1"/>
  <c r="F25" i="63"/>
  <c r="D53" i="116" s="1"/>
  <c r="C25" i="63"/>
  <c r="D52" i="113" s="1"/>
  <c r="U23" i="63"/>
  <c r="R20" i="63"/>
  <c r="O24" i="63"/>
  <c r="D637" i="108" s="1"/>
  <c r="L24" i="63"/>
  <c r="D472" i="109" s="1" a="1"/>
  <c r="D472" i="109" s="1"/>
  <c r="I25" i="63"/>
  <c r="F24" i="63"/>
  <c r="D52" i="116" s="1"/>
  <c r="C24" i="63"/>
  <c r="D135" i="113" s="1"/>
  <c r="O23" i="63"/>
  <c r="D574" i="108" s="1"/>
  <c r="L23" i="63"/>
  <c r="D513" i="108" s="1"/>
  <c r="I24" i="63"/>
  <c r="F23" i="63"/>
  <c r="D51" i="116" s="1"/>
  <c r="C23" i="63"/>
  <c r="D134" i="113" s="1"/>
  <c r="O22" i="63"/>
  <c r="D554" i="108" s="1"/>
  <c r="L22" i="63"/>
  <c r="D530" i="108" s="1"/>
  <c r="F22" i="63"/>
  <c r="D113" i="116" s="1"/>
  <c r="C22" i="63"/>
  <c r="D133" i="113" s="1"/>
  <c r="O21" i="63"/>
  <c r="L21" i="63"/>
  <c r="D494" i="108" s="1"/>
  <c r="F21" i="63"/>
  <c r="D112" i="116" s="1"/>
  <c r="C21" i="63"/>
  <c r="D132" i="113" s="1"/>
  <c r="U19" i="63"/>
  <c r="O20" i="63"/>
  <c r="D528" i="108" s="1"/>
  <c r="L20" i="63"/>
  <c r="F20" i="63"/>
  <c r="D111" i="116" s="1"/>
  <c r="C20" i="63"/>
  <c r="E91" i="112" s="1"/>
  <c r="U18" i="63"/>
  <c r="O19" i="63"/>
  <c r="D531" i="108" s="1"/>
  <c r="L19" i="63"/>
  <c r="F19" i="63"/>
  <c r="D110" i="116" s="1"/>
  <c r="C19" i="63"/>
  <c r="E90" i="112" s="1"/>
  <c r="U17" i="63"/>
  <c r="O18" i="63"/>
  <c r="L18" i="63"/>
  <c r="I18" i="63"/>
  <c r="F18" i="63"/>
  <c r="E208" i="112" s="1"/>
  <c r="C18" i="63"/>
  <c r="E89" i="112" s="1"/>
  <c r="O17" i="63"/>
  <c r="L17" i="63"/>
  <c r="D586" i="108" s="1"/>
  <c r="I17" i="63"/>
  <c r="F17" i="63"/>
  <c r="E207" i="112" s="1"/>
  <c r="C17" i="63"/>
  <c r="E88" i="112" s="1"/>
  <c r="R16" i="63"/>
  <c r="J366" i="62" s="1"/>
  <c r="O16" i="63"/>
  <c r="L16" i="63"/>
  <c r="F16" i="63"/>
  <c r="E206" i="112" s="1"/>
  <c r="C16" i="63"/>
  <c r="E87" i="112" s="1"/>
  <c r="O15" i="63"/>
  <c r="D646" i="108" s="1"/>
  <c r="L15" i="63"/>
  <c r="I15" i="63"/>
  <c r="F15" i="63"/>
  <c r="E205" i="112" s="1"/>
  <c r="C15" i="63"/>
  <c r="E86" i="112" s="1"/>
  <c r="O14" i="63"/>
  <c r="L14" i="63"/>
  <c r="D117" i="86" s="1"/>
  <c r="I14" i="63"/>
  <c r="F14" i="63"/>
  <c r="C14" i="63"/>
  <c r="O13" i="63"/>
  <c r="L13" i="63"/>
  <c r="I13" i="63"/>
  <c r="O12" i="63"/>
  <c r="I12" i="63"/>
  <c r="O11" i="63"/>
  <c r="O10" i="63"/>
  <c r="D55" i="108" s="1"/>
  <c r="I10" i="63"/>
  <c r="E10" i="63"/>
  <c r="I9" i="63"/>
  <c r="R8" i="63"/>
  <c r="O8" i="63"/>
  <c r="L8" i="63"/>
  <c r="D44" i="108" s="1"/>
  <c r="F8" i="63"/>
  <c r="F9" i="63" s="1"/>
  <c r="C7" i="63"/>
  <c r="I508" i="87"/>
  <c r="C230" i="112" s="1"/>
  <c r="I507" i="87"/>
  <c r="C229" i="112" s="1"/>
  <c r="I506" i="87"/>
  <c r="I505" i="87"/>
  <c r="C227" i="112" s="1"/>
  <c r="I504" i="87"/>
  <c r="C226" i="112" s="1"/>
  <c r="I503" i="87"/>
  <c r="C225" i="112" s="1"/>
  <c r="I502" i="87"/>
  <c r="C224" i="112" s="1"/>
  <c r="I501" i="87"/>
  <c r="C223" i="112" s="1"/>
  <c r="I500" i="87"/>
  <c r="C222" i="112" s="1"/>
  <c r="F500" i="87"/>
  <c r="I499" i="87"/>
  <c r="C221" i="112" s="1"/>
  <c r="F499" i="87"/>
  <c r="C127" i="112" s="1"/>
  <c r="I498" i="87"/>
  <c r="C220" i="112" s="1"/>
  <c r="F498" i="87"/>
  <c r="C126" i="112" s="1"/>
  <c r="I497" i="87"/>
  <c r="C219" i="112" s="1"/>
  <c r="F497" i="87"/>
  <c r="C125" i="112" s="1"/>
  <c r="I496" i="87"/>
  <c r="I477" i="87" s="1"/>
  <c r="D218" i="112" s="1"/>
  <c r="F496" i="87"/>
  <c r="C124" i="112" s="1"/>
  <c r="I495" i="87"/>
  <c r="I476" i="87" s="1"/>
  <c r="D217" i="112" s="1"/>
  <c r="F495" i="87"/>
  <c r="C123" i="112" s="1"/>
  <c r="I494" i="87"/>
  <c r="I475" i="87" s="1"/>
  <c r="D216" i="112" s="1"/>
  <c r="F494" i="87"/>
  <c r="C122" i="112" s="1"/>
  <c r="I493" i="87"/>
  <c r="I474" i="87" s="1"/>
  <c r="D215" i="112" s="1"/>
  <c r="F493" i="87"/>
  <c r="C121" i="112" s="1"/>
  <c r="F492" i="87"/>
  <c r="C120" i="112" s="1"/>
  <c r="F491" i="87"/>
  <c r="C119" i="112" s="1"/>
  <c r="F490" i="87"/>
  <c r="C118" i="112" s="1"/>
  <c r="F489" i="87"/>
  <c r="C117" i="112" s="1"/>
  <c r="F488" i="87"/>
  <c r="C116" i="112" s="1"/>
  <c r="F487" i="87"/>
  <c r="C115" i="112" s="1"/>
  <c r="F486" i="87"/>
  <c r="C114" i="112" s="1"/>
  <c r="F485" i="87"/>
  <c r="F466" i="87" s="1"/>
  <c r="D113" i="112" s="1"/>
  <c r="I470" i="87"/>
  <c r="I469" i="87"/>
  <c r="I468" i="87"/>
  <c r="I467" i="87"/>
  <c r="I466" i="87"/>
  <c r="I465" i="87"/>
  <c r="I464" i="87"/>
  <c r="I463" i="87"/>
  <c r="I462" i="87"/>
  <c r="F462" i="87"/>
  <c r="I461" i="87"/>
  <c r="F461" i="87"/>
  <c r="I460" i="87"/>
  <c r="F460" i="87"/>
  <c r="I459" i="87"/>
  <c r="F459" i="87"/>
  <c r="I458" i="87"/>
  <c r="F458" i="87"/>
  <c r="I457" i="87"/>
  <c r="F457" i="87"/>
  <c r="I456" i="87"/>
  <c r="F456" i="87"/>
  <c r="I455" i="87"/>
  <c r="F455" i="87"/>
  <c r="I454" i="87"/>
  <c r="E230" i="112" s="1"/>
  <c r="F454" i="87"/>
  <c r="I453" i="87"/>
  <c r="E229" i="112" s="1"/>
  <c r="F453" i="87"/>
  <c r="I452" i="87"/>
  <c r="E228" i="112" s="1"/>
  <c r="F452" i="87"/>
  <c r="I451" i="87"/>
  <c r="E227" i="112" s="1"/>
  <c r="F451" i="87"/>
  <c r="I450" i="87"/>
  <c r="E226" i="112" s="1"/>
  <c r="F450" i="87"/>
  <c r="I449" i="87"/>
  <c r="E225" i="112" s="1"/>
  <c r="F449" i="87"/>
  <c r="I448" i="87"/>
  <c r="E224" i="112" s="1"/>
  <c r="F448" i="87"/>
  <c r="I447" i="87"/>
  <c r="E223" i="112" s="1"/>
  <c r="F447" i="87"/>
  <c r="I446" i="87"/>
  <c r="E222" i="112" s="1"/>
  <c r="F446" i="87"/>
  <c r="I445" i="87"/>
  <c r="E221" i="112" s="1"/>
  <c r="F445" i="87"/>
  <c r="I444" i="87"/>
  <c r="E220" i="112" s="1"/>
  <c r="F444" i="87"/>
  <c r="I443" i="87"/>
  <c r="E219" i="112" s="1"/>
  <c r="F443" i="87"/>
  <c r="I442" i="87"/>
  <c r="E218" i="112" s="1"/>
  <c r="F442" i="87"/>
  <c r="I441" i="87"/>
  <c r="E217" i="112" s="1"/>
  <c r="F441" i="87"/>
  <c r="I440" i="87"/>
  <c r="E216" i="112" s="1"/>
  <c r="F440" i="87"/>
  <c r="I439" i="87"/>
  <c r="E215" i="112" s="1"/>
  <c r="F439" i="87"/>
  <c r="F438" i="87"/>
  <c r="F437" i="87"/>
  <c r="F436" i="87"/>
  <c r="F435" i="87"/>
  <c r="F434" i="87"/>
  <c r="F433" i="87"/>
  <c r="F432" i="87"/>
  <c r="F431" i="87"/>
  <c r="I425" i="87"/>
  <c r="I424" i="87"/>
  <c r="I423" i="87"/>
  <c r="I422" i="87"/>
  <c r="D322" i="109" s="1"/>
  <c r="F417" i="87"/>
  <c r="I416" i="87"/>
  <c r="F416" i="87"/>
  <c r="I415" i="87"/>
  <c r="F415" i="87"/>
  <c r="I414" i="87"/>
  <c r="D80" i="116" s="1"/>
  <c r="F414" i="87"/>
  <c r="D369" i="108" s="1"/>
  <c r="I413" i="87"/>
  <c r="D79" i="116" s="1"/>
  <c r="I412" i="87"/>
  <c r="D86" i="116" s="1"/>
  <c r="I411" i="87"/>
  <c r="D85" i="116" s="1"/>
  <c r="I410" i="87"/>
  <c r="D74" i="116" s="1"/>
  <c r="I409" i="87"/>
  <c r="D73" i="116" s="1"/>
  <c r="I408" i="87"/>
  <c r="D67" i="116" s="1"/>
  <c r="F408" i="87"/>
  <c r="D84" i="113" s="1"/>
  <c r="I407" i="87"/>
  <c r="D68" i="116" s="1"/>
  <c r="F407" i="87"/>
  <c r="D83" i="113" s="1"/>
  <c r="F406" i="87"/>
  <c r="D91" i="113" s="1"/>
  <c r="F405" i="87"/>
  <c r="D90" i="113" s="1"/>
  <c r="F404" i="87"/>
  <c r="D77" i="113" s="1"/>
  <c r="I403" i="87"/>
  <c r="F403" i="87"/>
  <c r="D76" i="113" s="1"/>
  <c r="I402" i="87"/>
  <c r="C168" i="112" s="1" a="1"/>
  <c r="C168" i="112" s="1"/>
  <c r="F402" i="87"/>
  <c r="D69" i="113" s="1"/>
  <c r="F401" i="87"/>
  <c r="D70" i="113" s="1"/>
  <c r="F397" i="87"/>
  <c r="F396" i="87"/>
  <c r="C44" i="112" s="1" a="1"/>
  <c r="C44" i="112" s="1"/>
  <c r="F392" i="87"/>
  <c r="C40" i="112" s="1"/>
  <c r="I390" i="87"/>
  <c r="I389" i="87"/>
  <c r="I388" i="87"/>
  <c r="I387" i="87"/>
  <c r="I386" i="87"/>
  <c r="I385" i="87"/>
  <c r="F384" i="87"/>
  <c r="F383" i="87"/>
  <c r="F382" i="87"/>
  <c r="F381" i="87"/>
  <c r="F380" i="87"/>
  <c r="I379" i="87"/>
  <c r="H169" i="112" s="1"/>
  <c r="F379" i="87"/>
  <c r="I378" i="87"/>
  <c r="H168" i="112" s="1"/>
  <c r="I375" i="87"/>
  <c r="I374" i="87"/>
  <c r="D78" i="116" s="1"/>
  <c r="I373" i="87"/>
  <c r="H164" i="112" s="1"/>
  <c r="I372" i="87"/>
  <c r="I371" i="87"/>
  <c r="F371" i="87"/>
  <c r="I370" i="87"/>
  <c r="H161" i="112" s="1"/>
  <c r="F370" i="87"/>
  <c r="F369" i="87"/>
  <c r="D81" i="113" s="1"/>
  <c r="F368" i="87"/>
  <c r="D88" i="113" s="1"/>
  <c r="F367" i="87"/>
  <c r="E367" i="87"/>
  <c r="F366" i="87"/>
  <c r="F365" i="87"/>
  <c r="H37" i="112" s="1"/>
  <c r="I360" i="87"/>
  <c r="I359" i="87"/>
  <c r="F359" i="87"/>
  <c r="G45" i="112" s="1"/>
  <c r="I358" i="87"/>
  <c r="F358" i="87"/>
  <c r="I357" i="87"/>
  <c r="F357" i="87"/>
  <c r="I356" i="87"/>
  <c r="I355" i="87"/>
  <c r="D80" i="113"/>
  <c r="F354" i="87"/>
  <c r="F353" i="87"/>
  <c r="E353" i="87"/>
  <c r="F351" i="87"/>
  <c r="G37" i="112" s="1"/>
  <c r="I350" i="87"/>
  <c r="I349" i="87"/>
  <c r="I345" i="87"/>
  <c r="I344" i="87"/>
  <c r="I342" i="87"/>
  <c r="I341" i="87"/>
  <c r="F341" i="87"/>
  <c r="F339" i="87"/>
  <c r="E339" i="87"/>
  <c r="F338" i="87"/>
  <c r="I335" i="87"/>
  <c r="F165" i="112" s="1"/>
  <c r="I334" i="87"/>
  <c r="I330" i="87"/>
  <c r="I327" i="87"/>
  <c r="F327" i="87"/>
  <c r="F313" i="87" s="1"/>
  <c r="I326" i="87"/>
  <c r="F162" i="112" s="1"/>
  <c r="F325" i="87"/>
  <c r="F39" i="112" s="1"/>
  <c r="E325" i="87"/>
  <c r="F324" i="87"/>
  <c r="F38" i="112" s="1" a="1"/>
  <c r="F38" i="112" s="1"/>
  <c r="F323" i="87"/>
  <c r="F37" i="112" s="1"/>
  <c r="I320" i="87"/>
  <c r="E165" i="112" s="1"/>
  <c r="I319" i="87"/>
  <c r="E169" i="112" s="1"/>
  <c r="I318" i="87"/>
  <c r="E168" i="112" s="1"/>
  <c r="I317" i="87"/>
  <c r="E167" i="112" s="1"/>
  <c r="F317" i="87"/>
  <c r="I316" i="87"/>
  <c r="E166" i="112" s="1"/>
  <c r="I313" i="87"/>
  <c r="I328" i="87" s="1"/>
  <c r="F164" i="112" s="1"/>
  <c r="I312" i="87"/>
  <c r="E163" i="112" s="1"/>
  <c r="F312" i="87"/>
  <c r="I311" i="87"/>
  <c r="E311" i="87"/>
  <c r="I310" i="87"/>
  <c r="E161" i="112" s="1"/>
  <c r="F309" i="87"/>
  <c r="I305" i="87"/>
  <c r="D165" i="112" s="1"/>
  <c r="I304" i="87"/>
  <c r="D169" i="112" s="1"/>
  <c r="F304" i="87"/>
  <c r="D41" i="112" s="1"/>
  <c r="I303" i="87"/>
  <c r="D168" i="112" s="1"/>
  <c r="F303" i="87"/>
  <c r="I302" i="87"/>
  <c r="D167" i="112" s="1"/>
  <c r="F302" i="87"/>
  <c r="D44" i="112" s="1"/>
  <c r="I301" i="87"/>
  <c r="D166" i="112" s="1"/>
  <c r="F301" i="87"/>
  <c r="D43" i="112" s="1"/>
  <c r="I300" i="87"/>
  <c r="F300" i="87"/>
  <c r="I299" i="87"/>
  <c r="D76" i="116" s="1"/>
  <c r="F299" i="87"/>
  <c r="D79" i="113" s="1"/>
  <c r="I298" i="87"/>
  <c r="F298" i="87"/>
  <c r="I297" i="87"/>
  <c r="F297" i="87"/>
  <c r="E297" i="87"/>
  <c r="I296" i="87"/>
  <c r="F296" i="87"/>
  <c r="I295" i="87"/>
  <c r="D161" i="112" s="1"/>
  <c r="F295" i="87"/>
  <c r="F290" i="87"/>
  <c r="I289" i="87"/>
  <c r="F289" i="87"/>
  <c r="I288" i="87"/>
  <c r="F288" i="87"/>
  <c r="I287" i="87"/>
  <c r="D607" i="109" s="1"/>
  <c r="F287" i="87"/>
  <c r="D462" i="108" s="1"/>
  <c r="I286" i="87"/>
  <c r="D419" i="109" s="1"/>
  <c r="F286" i="87"/>
  <c r="D620" i="108" s="1"/>
  <c r="I285" i="87"/>
  <c r="I284" i="87" s="1"/>
  <c r="F285" i="87"/>
  <c r="F284" i="87" s="1"/>
  <c r="F279" i="87"/>
  <c r="I278" i="87"/>
  <c r="F278" i="87"/>
  <c r="I277" i="87"/>
  <c r="F277" i="87"/>
  <c r="I276" i="87"/>
  <c r="D423" i="109" s="1"/>
  <c r="F276" i="87"/>
  <c r="D639" i="108" s="1"/>
  <c r="I275" i="87"/>
  <c r="D614" i="109" s="1"/>
  <c r="F275" i="87"/>
  <c r="D457" i="108" s="1"/>
  <c r="I274" i="87"/>
  <c r="I273" i="87" s="1"/>
  <c r="F274" i="87"/>
  <c r="F273" i="87" s="1"/>
  <c r="I268" i="87"/>
  <c r="C200" i="112" s="1"/>
  <c r="F268" i="87"/>
  <c r="C81" i="112" s="1"/>
  <c r="I267" i="87"/>
  <c r="C199" i="112" s="1"/>
  <c r="F267" i="87"/>
  <c r="C80" i="112" s="1"/>
  <c r="I266" i="87"/>
  <c r="C198" i="112" s="1"/>
  <c r="F266" i="87"/>
  <c r="C79" i="112" s="1"/>
  <c r="I265" i="87"/>
  <c r="C197" i="112" s="1"/>
  <c r="F265" i="87"/>
  <c r="C78" i="112" s="1"/>
  <c r="I264" i="87"/>
  <c r="C196" i="112" s="1"/>
  <c r="F264" i="87"/>
  <c r="C77" i="112" s="1"/>
  <c r="I263" i="87"/>
  <c r="C195" i="112" s="1"/>
  <c r="F263" i="87"/>
  <c r="C76" i="112" s="1"/>
  <c r="I262" i="87"/>
  <c r="C194" i="112" s="1"/>
  <c r="F262" i="87"/>
  <c r="C75" i="112" s="1"/>
  <c r="I261" i="87"/>
  <c r="C193" i="112" s="1"/>
  <c r="F261" i="87"/>
  <c r="C74" i="112" s="1"/>
  <c r="I260" i="87"/>
  <c r="C192" i="112" s="1"/>
  <c r="F260" i="87"/>
  <c r="C73" i="112" s="1"/>
  <c r="I259" i="87"/>
  <c r="C191" i="112" s="1"/>
  <c r="F259" i="87"/>
  <c r="C72" i="112" s="1"/>
  <c r="I258" i="87"/>
  <c r="C190" i="112" s="1"/>
  <c r="F258" i="87"/>
  <c r="C71" i="112" s="1"/>
  <c r="I257" i="87"/>
  <c r="C189" i="112" s="1"/>
  <c r="F257" i="87"/>
  <c r="C70" i="112" s="1"/>
  <c r="I256" i="87"/>
  <c r="B409" i="65" s="1"/>
  <c r="F256" i="87"/>
  <c r="C69" i="112" s="1"/>
  <c r="I255" i="87"/>
  <c r="B408" i="65" s="1"/>
  <c r="F255" i="87"/>
  <c r="C68" i="112" s="1"/>
  <c r="I254" i="87"/>
  <c r="I235" i="87" s="1"/>
  <c r="D186" i="112" s="1"/>
  <c r="F254" i="87"/>
  <c r="C67" i="112" s="1"/>
  <c r="I253" i="87"/>
  <c r="B406" i="65" s="1"/>
  <c r="F253" i="87"/>
  <c r="F234" i="87" s="1"/>
  <c r="D66" i="112" s="1"/>
  <c r="AD252" i="87"/>
  <c r="AD233" i="87" s="1"/>
  <c r="AA252" i="87"/>
  <c r="AA233" i="87" s="1"/>
  <c r="X252" i="87"/>
  <c r="X233" i="87" s="1"/>
  <c r="U252" i="87"/>
  <c r="U233" i="87" s="1"/>
  <c r="R252" i="87"/>
  <c r="R233" i="87" s="1"/>
  <c r="O252" i="87"/>
  <c r="O233" i="87" s="1"/>
  <c r="L252" i="87"/>
  <c r="L233" i="87" s="1"/>
  <c r="AD251" i="87"/>
  <c r="AD232" i="87" s="1"/>
  <c r="AA251" i="87"/>
  <c r="AA232" i="87" s="1"/>
  <c r="X251" i="87"/>
  <c r="X232" i="87" s="1"/>
  <c r="U251" i="87"/>
  <c r="U232" i="87" s="1"/>
  <c r="R251" i="87"/>
  <c r="R232" i="87" s="1"/>
  <c r="O251" i="87"/>
  <c r="O232" i="87" s="1"/>
  <c r="L251" i="87"/>
  <c r="L232" i="87" s="1"/>
  <c r="AD250" i="87"/>
  <c r="AD231" i="87" s="1"/>
  <c r="AA250" i="87"/>
  <c r="AA231" i="87" s="1"/>
  <c r="X250" i="87"/>
  <c r="X231" i="87" s="1"/>
  <c r="U250" i="87"/>
  <c r="U231" i="87" s="1"/>
  <c r="R250" i="87"/>
  <c r="R231" i="87" s="1"/>
  <c r="O250" i="87"/>
  <c r="O231" i="87" s="1"/>
  <c r="L250" i="87"/>
  <c r="L231" i="87" s="1"/>
  <c r="AD249" i="87"/>
  <c r="AD230" i="87" s="1"/>
  <c r="AA249" i="87"/>
  <c r="AA230" i="87" s="1"/>
  <c r="X249" i="87"/>
  <c r="X230" i="87" s="1"/>
  <c r="U249" i="87"/>
  <c r="U230" i="87" s="1"/>
  <c r="R249" i="87"/>
  <c r="R230" i="87" s="1"/>
  <c r="O249" i="87"/>
  <c r="O230" i="87" s="1"/>
  <c r="L249" i="87"/>
  <c r="L230" i="87" s="1"/>
  <c r="AD248" i="87"/>
  <c r="AD229" i="87" s="1"/>
  <c r="AA248" i="87"/>
  <c r="AA229" i="87" s="1"/>
  <c r="X248" i="87"/>
  <c r="X229" i="87" s="1"/>
  <c r="U248" i="87"/>
  <c r="U229" i="87" s="1"/>
  <c r="R248" i="87"/>
  <c r="R229" i="87" s="1"/>
  <c r="O248" i="87"/>
  <c r="O229" i="87" s="1"/>
  <c r="L248" i="87"/>
  <c r="AD247" i="87"/>
  <c r="AD228" i="87" s="1"/>
  <c r="AA247" i="87"/>
  <c r="AA228" i="87" s="1"/>
  <c r="X247" i="87"/>
  <c r="X228" i="87" s="1"/>
  <c r="U247" i="87"/>
  <c r="U228" i="87" s="1"/>
  <c r="R247" i="87"/>
  <c r="R228" i="87" s="1"/>
  <c r="O247" i="87"/>
  <c r="O228" i="87" s="1"/>
  <c r="L247" i="87"/>
  <c r="L228" i="87" s="1"/>
  <c r="AD246" i="87"/>
  <c r="AD227" i="87" s="1"/>
  <c r="AA246" i="87"/>
  <c r="AA227" i="87" s="1"/>
  <c r="X246" i="87"/>
  <c r="X227" i="87" s="1"/>
  <c r="U246" i="87"/>
  <c r="U227" i="87" s="1"/>
  <c r="R246" i="87"/>
  <c r="R227" i="87" s="1"/>
  <c r="O246" i="87"/>
  <c r="O227" i="87" s="1"/>
  <c r="L246" i="87"/>
  <c r="L227" i="87" s="1"/>
  <c r="AD245" i="87"/>
  <c r="AD226" i="87" s="1"/>
  <c r="AA245" i="87"/>
  <c r="AA226" i="87" s="1"/>
  <c r="X245" i="87"/>
  <c r="X226" i="87" s="1"/>
  <c r="U245" i="87"/>
  <c r="U226" i="87" s="1"/>
  <c r="R245" i="87"/>
  <c r="R226" i="87" s="1"/>
  <c r="O245" i="87"/>
  <c r="O226" i="87" s="1"/>
  <c r="L245" i="87"/>
  <c r="L226" i="87" s="1"/>
  <c r="AD244" i="87"/>
  <c r="AD225" i="87" s="1"/>
  <c r="AA244" i="87"/>
  <c r="AA225" i="87" s="1"/>
  <c r="X244" i="87"/>
  <c r="X225" i="87" s="1"/>
  <c r="U244" i="87"/>
  <c r="U225" i="87" s="1"/>
  <c r="R244" i="87"/>
  <c r="R225" i="87" s="1"/>
  <c r="O244" i="87"/>
  <c r="O225" i="87" s="1"/>
  <c r="L244" i="87"/>
  <c r="L225" i="87" s="1"/>
  <c r="AD243" i="87"/>
  <c r="AD224" i="87" s="1"/>
  <c r="AA243" i="87"/>
  <c r="AA224" i="87" s="1"/>
  <c r="X243" i="87"/>
  <c r="X224" i="87" s="1"/>
  <c r="U243" i="87"/>
  <c r="U224" i="87" s="1"/>
  <c r="R243" i="87"/>
  <c r="R224" i="87" s="1"/>
  <c r="O243" i="87"/>
  <c r="O224" i="87" s="1"/>
  <c r="L243" i="87"/>
  <c r="L224" i="87" s="1"/>
  <c r="AD242" i="87"/>
  <c r="AD223" i="87" s="1"/>
  <c r="AA242" i="87"/>
  <c r="AA223" i="87" s="1"/>
  <c r="X242" i="87"/>
  <c r="X223" i="87" s="1"/>
  <c r="U242" i="87"/>
  <c r="U223" i="87" s="1"/>
  <c r="R242" i="87"/>
  <c r="R223" i="87" s="1"/>
  <c r="O242" i="87"/>
  <c r="O223" i="87" s="1"/>
  <c r="L242" i="87"/>
  <c r="L223" i="87" s="1"/>
  <c r="AD241" i="87"/>
  <c r="AD222" i="87" s="1"/>
  <c r="AA241" i="87"/>
  <c r="AA222" i="87" s="1"/>
  <c r="X241" i="87"/>
  <c r="X222" i="87" s="1"/>
  <c r="U241" i="87"/>
  <c r="U222" i="87" s="1"/>
  <c r="R241" i="87"/>
  <c r="R222" i="87" s="1"/>
  <c r="O241" i="87"/>
  <c r="O222" i="87" s="1"/>
  <c r="L241" i="87"/>
  <c r="L222" i="87" s="1"/>
  <c r="AD240" i="87"/>
  <c r="AD221" i="87" s="1"/>
  <c r="AA240" i="87"/>
  <c r="AA221" i="87" s="1"/>
  <c r="X240" i="87"/>
  <c r="X221" i="87" s="1"/>
  <c r="U240" i="87"/>
  <c r="U221" i="87" s="1"/>
  <c r="R240" i="87"/>
  <c r="R221" i="87" s="1"/>
  <c r="O240" i="87"/>
  <c r="O221" i="87" s="1"/>
  <c r="L240" i="87"/>
  <c r="L221" i="87" s="1"/>
  <c r="AD239" i="87"/>
  <c r="AD220" i="87" s="1"/>
  <c r="AA239" i="87"/>
  <c r="AA220" i="87" s="1"/>
  <c r="X239" i="87"/>
  <c r="X220" i="87" s="1"/>
  <c r="U239" i="87"/>
  <c r="U220" i="87" s="1"/>
  <c r="R239" i="87"/>
  <c r="R220" i="87" s="1"/>
  <c r="O239" i="87"/>
  <c r="O220" i="87" s="1"/>
  <c r="L239" i="87"/>
  <c r="L220" i="87" s="1"/>
  <c r="AD238" i="87"/>
  <c r="AD219" i="87" s="1"/>
  <c r="AA238" i="87"/>
  <c r="AA219" i="87" s="1"/>
  <c r="X238" i="87"/>
  <c r="X219" i="87" s="1"/>
  <c r="U238" i="87"/>
  <c r="U219" i="87" s="1"/>
  <c r="R238" i="87"/>
  <c r="R219" i="87" s="1"/>
  <c r="O238" i="87"/>
  <c r="O219" i="87" s="1"/>
  <c r="L238" i="87"/>
  <c r="L219" i="87" s="1"/>
  <c r="AD237" i="87"/>
  <c r="AD218" i="87" s="1"/>
  <c r="AA237" i="87"/>
  <c r="AA218" i="87" s="1"/>
  <c r="X237" i="87"/>
  <c r="X218" i="87" s="1"/>
  <c r="U237" i="87"/>
  <c r="U218" i="87" s="1"/>
  <c r="R237" i="87"/>
  <c r="R218" i="87" s="1"/>
  <c r="O237" i="87"/>
  <c r="O218" i="87" s="1"/>
  <c r="L237" i="87"/>
  <c r="L218" i="87" s="1"/>
  <c r="I230" i="87"/>
  <c r="F230" i="87"/>
  <c r="L229" i="87"/>
  <c r="I229" i="87"/>
  <c r="F229" i="87"/>
  <c r="I228" i="87"/>
  <c r="F228" i="87"/>
  <c r="I227" i="87"/>
  <c r="F227" i="87"/>
  <c r="I226" i="87"/>
  <c r="F226" i="87"/>
  <c r="I225" i="87"/>
  <c r="F225" i="87"/>
  <c r="I224" i="87"/>
  <c r="F224" i="87"/>
  <c r="I223" i="87"/>
  <c r="F223" i="87"/>
  <c r="I222" i="87"/>
  <c r="F222" i="87"/>
  <c r="I221" i="87"/>
  <c r="F221" i="87"/>
  <c r="I220" i="87"/>
  <c r="F220" i="87"/>
  <c r="I219" i="87"/>
  <c r="F219" i="87"/>
  <c r="I218" i="87"/>
  <c r="F218" i="87"/>
  <c r="I217" i="87"/>
  <c r="F217" i="87"/>
  <c r="I216" i="87"/>
  <c r="F216" i="87"/>
  <c r="I215" i="87"/>
  <c r="F215" i="87"/>
  <c r="AD214" i="87"/>
  <c r="AA214" i="87"/>
  <c r="X214" i="87"/>
  <c r="U214" i="87"/>
  <c r="R214" i="87"/>
  <c r="O214" i="87"/>
  <c r="L214" i="87"/>
  <c r="I214" i="87"/>
  <c r="E200" i="112" s="1"/>
  <c r="F214" i="87"/>
  <c r="E81" i="112" s="1"/>
  <c r="AD213" i="87"/>
  <c r="AA213" i="87"/>
  <c r="X213" i="87"/>
  <c r="U213" i="87"/>
  <c r="R213" i="87"/>
  <c r="O213" i="87"/>
  <c r="L213" i="87"/>
  <c r="I213" i="87"/>
  <c r="E199" i="112" s="1"/>
  <c r="F213" i="87"/>
  <c r="E80" i="112" s="1"/>
  <c r="AD212" i="87"/>
  <c r="AA212" i="87"/>
  <c r="X212" i="87"/>
  <c r="U212" i="87"/>
  <c r="R212" i="87"/>
  <c r="O212" i="87"/>
  <c r="L212" i="87"/>
  <c r="I212" i="87"/>
  <c r="E198" i="112" s="1"/>
  <c r="F212" i="87"/>
  <c r="E79" i="112" s="1"/>
  <c r="AD211" i="87"/>
  <c r="AA211" i="87"/>
  <c r="X211" i="87"/>
  <c r="U211" i="87"/>
  <c r="R211" i="87"/>
  <c r="O211" i="87"/>
  <c r="L211" i="87"/>
  <c r="I211" i="87"/>
  <c r="E197" i="112" s="1"/>
  <c r="F211" i="87"/>
  <c r="E78" i="112" s="1"/>
  <c r="AD210" i="87"/>
  <c r="AA210" i="87"/>
  <c r="X210" i="87"/>
  <c r="U210" i="87"/>
  <c r="R210" i="87"/>
  <c r="O210" i="87"/>
  <c r="L210" i="87"/>
  <c r="I210" i="87"/>
  <c r="E196" i="112" s="1"/>
  <c r="F210" i="87"/>
  <c r="E77" i="112" s="1"/>
  <c r="AD209" i="87"/>
  <c r="AA209" i="87"/>
  <c r="X209" i="87"/>
  <c r="U209" i="87"/>
  <c r="R209" i="87"/>
  <c r="O209" i="87"/>
  <c r="L209" i="87"/>
  <c r="I209" i="87"/>
  <c r="E195" i="112" s="1"/>
  <c r="F209" i="87"/>
  <c r="E76" i="112" s="1"/>
  <c r="AD208" i="87"/>
  <c r="AA208" i="87"/>
  <c r="X208" i="87"/>
  <c r="U208" i="87"/>
  <c r="R208" i="87"/>
  <c r="O208" i="87"/>
  <c r="L208" i="87"/>
  <c r="I208" i="87"/>
  <c r="E194" i="112" s="1"/>
  <c r="F208" i="87"/>
  <c r="E75" i="112" s="1"/>
  <c r="AD207" i="87"/>
  <c r="AA207" i="87"/>
  <c r="X207" i="87"/>
  <c r="U207" i="87"/>
  <c r="R207" i="87"/>
  <c r="O207" i="87"/>
  <c r="L207" i="87"/>
  <c r="I207" i="87"/>
  <c r="E193" i="112" s="1"/>
  <c r="F207" i="87"/>
  <c r="E74" i="112" s="1"/>
  <c r="AD206" i="87"/>
  <c r="AA206" i="87"/>
  <c r="X206" i="87"/>
  <c r="U206" i="87"/>
  <c r="R206" i="87"/>
  <c r="O206" i="87"/>
  <c r="L206" i="87"/>
  <c r="I206" i="87"/>
  <c r="E192" i="112" s="1"/>
  <c r="F206" i="87"/>
  <c r="E73" i="112" s="1"/>
  <c r="AD205" i="87"/>
  <c r="AA205" i="87"/>
  <c r="X205" i="87"/>
  <c r="U205" i="87"/>
  <c r="R205" i="87"/>
  <c r="O205" i="87"/>
  <c r="L205" i="87"/>
  <c r="I205" i="87"/>
  <c r="E191" i="112" s="1"/>
  <c r="F205" i="87"/>
  <c r="E72" i="112" s="1"/>
  <c r="AD204" i="87"/>
  <c r="AA204" i="87"/>
  <c r="X204" i="87"/>
  <c r="U204" i="87"/>
  <c r="R204" i="87"/>
  <c r="O204" i="87"/>
  <c r="L204" i="87"/>
  <c r="I204" i="87"/>
  <c r="E190" i="112" s="1"/>
  <c r="F204" i="87"/>
  <c r="E71" i="112" s="1"/>
  <c r="AD203" i="87"/>
  <c r="AA203" i="87"/>
  <c r="X203" i="87"/>
  <c r="U203" i="87"/>
  <c r="R203" i="87"/>
  <c r="O203" i="87"/>
  <c r="L203" i="87"/>
  <c r="I203" i="87"/>
  <c r="E189" i="112" s="1"/>
  <c r="F203" i="87"/>
  <c r="E70" i="112" s="1"/>
  <c r="AD202" i="87"/>
  <c r="AA202" i="87"/>
  <c r="X202" i="87"/>
  <c r="U202" i="87"/>
  <c r="R202" i="87"/>
  <c r="O202" i="87"/>
  <c r="L202" i="87"/>
  <c r="I202" i="87"/>
  <c r="E188" i="112" s="1"/>
  <c r="F202" i="87"/>
  <c r="E69" i="112" s="1"/>
  <c r="AD201" i="87"/>
  <c r="AA201" i="87"/>
  <c r="X201" i="87"/>
  <c r="U201" i="87"/>
  <c r="R201" i="87"/>
  <c r="O201" i="87"/>
  <c r="L201" i="87"/>
  <c r="I201" i="87"/>
  <c r="E187" i="112" s="1"/>
  <c r="F201" i="87"/>
  <c r="E68" i="112" s="1"/>
  <c r="AD200" i="87"/>
  <c r="AA200" i="87"/>
  <c r="X200" i="87"/>
  <c r="U200" i="87"/>
  <c r="R200" i="87"/>
  <c r="O200" i="87"/>
  <c r="L200" i="87"/>
  <c r="I200" i="87"/>
  <c r="E186" i="112" s="1"/>
  <c r="F200" i="87"/>
  <c r="E67" i="112" s="1"/>
  <c r="AD199" i="87"/>
  <c r="AA199" i="87"/>
  <c r="X199" i="87"/>
  <c r="U199" i="87"/>
  <c r="R199" i="87"/>
  <c r="O199" i="87"/>
  <c r="L199" i="87"/>
  <c r="I199" i="87"/>
  <c r="E185" i="112" s="1"/>
  <c r="F199" i="87"/>
  <c r="E66" i="112" s="1"/>
  <c r="AD195" i="87"/>
  <c r="AA195" i="87"/>
  <c r="X195" i="87"/>
  <c r="U195" i="87"/>
  <c r="R195" i="87"/>
  <c r="O195" i="87"/>
  <c r="L195" i="87"/>
  <c r="AD194" i="87"/>
  <c r="AA194" i="87"/>
  <c r="X194" i="87"/>
  <c r="U194" i="87"/>
  <c r="R194" i="87"/>
  <c r="O194" i="87"/>
  <c r="L194" i="87"/>
  <c r="AD190" i="87"/>
  <c r="AA190" i="87"/>
  <c r="X190" i="87"/>
  <c r="U190" i="87"/>
  <c r="R190" i="87"/>
  <c r="O190" i="87"/>
  <c r="L190" i="87"/>
  <c r="AD189" i="87"/>
  <c r="AA189" i="87"/>
  <c r="X189" i="87"/>
  <c r="U189" i="87"/>
  <c r="R189" i="87"/>
  <c r="O189" i="87"/>
  <c r="L189" i="87"/>
  <c r="I189" i="87"/>
  <c r="D571" i="109" s="1"/>
  <c r="F189" i="87"/>
  <c r="D590" i="108" s="1"/>
  <c r="AD188" i="87"/>
  <c r="AA188" i="87"/>
  <c r="X188" i="87"/>
  <c r="U188" i="87"/>
  <c r="R188" i="87"/>
  <c r="O188" i="87"/>
  <c r="L188" i="87"/>
  <c r="I188" i="87"/>
  <c r="D89" i="109" s="1"/>
  <c r="F188" i="87"/>
  <c r="D146" i="108" s="1"/>
  <c r="AD187" i="87"/>
  <c r="AA187" i="87"/>
  <c r="X187" i="87"/>
  <c r="U187" i="87"/>
  <c r="R187" i="87"/>
  <c r="O187" i="87"/>
  <c r="L187" i="87"/>
  <c r="I187" i="87"/>
  <c r="I186" i="87"/>
  <c r="AD185" i="87"/>
  <c r="AA185" i="87"/>
  <c r="X185" i="87"/>
  <c r="U185" i="87"/>
  <c r="R185" i="87"/>
  <c r="O185" i="87"/>
  <c r="L185" i="87"/>
  <c r="I185" i="87"/>
  <c r="I184" i="87"/>
  <c r="F184" i="87"/>
  <c r="AD183" i="87"/>
  <c r="AA183" i="87"/>
  <c r="X183" i="87"/>
  <c r="U183" i="87"/>
  <c r="R183" i="87"/>
  <c r="O183" i="87"/>
  <c r="L183" i="87"/>
  <c r="I183" i="87"/>
  <c r="AD182" i="87"/>
  <c r="D631" i="117" s="1"/>
  <c r="AA182" i="87"/>
  <c r="D538" i="117" s="1"/>
  <c r="X182" i="87"/>
  <c r="D445" i="117" s="1"/>
  <c r="U182" i="87"/>
  <c r="D352" i="117" s="1"/>
  <c r="R182" i="87"/>
  <c r="D259" i="117" s="1"/>
  <c r="O182" i="87"/>
  <c r="D166" i="117" s="1"/>
  <c r="L182" i="87"/>
  <c r="D73" i="117" s="1"/>
  <c r="I182" i="87"/>
  <c r="D150" i="65" s="1"/>
  <c r="I178" i="87"/>
  <c r="F178" i="87"/>
  <c r="I177" i="87"/>
  <c r="F177" i="87"/>
  <c r="AD176" i="87" a="1"/>
  <c r="AD176" i="87" s="1"/>
  <c r="AA176" i="87" a="1"/>
  <c r="AA176" i="87" s="1"/>
  <c r="X176" i="87" a="1"/>
  <c r="X176" i="87" s="1"/>
  <c r="U176" i="87" a="1"/>
  <c r="U176" i="87" s="1"/>
  <c r="R176" i="87" a="1"/>
  <c r="R176" i="87" s="1"/>
  <c r="O176" i="87" a="1"/>
  <c r="O176" i="87" s="1"/>
  <c r="L176" i="87" a="1"/>
  <c r="L176" i="87" s="1"/>
  <c r="I176" i="87"/>
  <c r="F176" i="87"/>
  <c r="AD175" i="87" a="1"/>
  <c r="AD175" i="87" s="1"/>
  <c r="AA175" i="87" a="1"/>
  <c r="AA175" i="87" s="1"/>
  <c r="X175" i="87" a="1"/>
  <c r="X175" i="87" s="1"/>
  <c r="U175" i="87" a="1"/>
  <c r="U175" i="87" s="1"/>
  <c r="R175" i="87" a="1"/>
  <c r="R175" i="87" s="1"/>
  <c r="O175" i="87" a="1"/>
  <c r="O175" i="87" s="1"/>
  <c r="L175" i="87" a="1"/>
  <c r="L175" i="87" s="1"/>
  <c r="I175" i="87"/>
  <c r="F175" i="87"/>
  <c r="I174" i="87"/>
  <c r="I173" i="87"/>
  <c r="AD172" i="87"/>
  <c r="AA172" i="87"/>
  <c r="X172" i="87"/>
  <c r="U172" i="87"/>
  <c r="R172" i="87"/>
  <c r="O172" i="87"/>
  <c r="L172" i="87"/>
  <c r="I172" i="87"/>
  <c r="F172" i="87"/>
  <c r="AD171" i="87"/>
  <c r="AA171" i="87"/>
  <c r="X171" i="87"/>
  <c r="U171" i="87"/>
  <c r="R171" i="87"/>
  <c r="O171" i="87"/>
  <c r="L171" i="87"/>
  <c r="I171" i="87"/>
  <c r="F171" i="87"/>
  <c r="AD170" i="87"/>
  <c r="AA170" i="87"/>
  <c r="X170" i="87"/>
  <c r="U170" i="87"/>
  <c r="R170" i="87"/>
  <c r="O170" i="87"/>
  <c r="L170" i="87"/>
  <c r="I170" i="87"/>
  <c r="D393" i="65" s="1"/>
  <c r="F170" i="87"/>
  <c r="L363" i="62" s="1"/>
  <c r="AD169" i="87"/>
  <c r="AA169" i="87"/>
  <c r="X169" i="87"/>
  <c r="U169" i="87"/>
  <c r="R169" i="87"/>
  <c r="O169" i="87"/>
  <c r="L169" i="87"/>
  <c r="I169" i="87"/>
  <c r="D392" i="65" s="1"/>
  <c r="F169" i="87"/>
  <c r="L362" i="62" s="1"/>
  <c r="AD168" i="87"/>
  <c r="AA168" i="87"/>
  <c r="X168" i="87"/>
  <c r="U168" i="87"/>
  <c r="R168" i="87"/>
  <c r="O168" i="87"/>
  <c r="L168" i="87"/>
  <c r="I168" i="87"/>
  <c r="D386" i="65" s="1"/>
  <c r="F168" i="87"/>
  <c r="L357" i="62" s="1"/>
  <c r="AD167" i="87"/>
  <c r="AA167" i="87"/>
  <c r="X167" i="87"/>
  <c r="U167" i="87"/>
  <c r="R167" i="87"/>
  <c r="O167" i="87"/>
  <c r="L167" i="87"/>
  <c r="I167" i="87"/>
  <c r="D385" i="65" s="1"/>
  <c r="F167" i="87"/>
  <c r="L356" i="62" s="1"/>
  <c r="AD166" i="87"/>
  <c r="AA166" i="87"/>
  <c r="X166" i="87"/>
  <c r="U166" i="87"/>
  <c r="R166" i="87"/>
  <c r="O166" i="87"/>
  <c r="L166" i="87"/>
  <c r="I166" i="87"/>
  <c r="D380" i="65" s="1"/>
  <c r="F166" i="87"/>
  <c r="L351" i="62" s="1"/>
  <c r="AD165" i="87"/>
  <c r="AA165" i="87"/>
  <c r="X165" i="87"/>
  <c r="U165" i="87"/>
  <c r="R165" i="87"/>
  <c r="O165" i="87"/>
  <c r="L165" i="87"/>
  <c r="I165" i="87"/>
  <c r="D379" i="65" s="1"/>
  <c r="F165" i="87"/>
  <c r="L350" i="62" s="1"/>
  <c r="F161" i="87"/>
  <c r="I160" i="87"/>
  <c r="I159" i="87"/>
  <c r="F159" i="87"/>
  <c r="I158" i="87"/>
  <c r="F158" i="87"/>
  <c r="I157" i="87"/>
  <c r="F157" i="87"/>
  <c r="I156" i="87"/>
  <c r="F156" i="87"/>
  <c r="I155" i="87"/>
  <c r="F155" i="87"/>
  <c r="I151" i="87"/>
  <c r="F151" i="87"/>
  <c r="I150" i="87"/>
  <c r="F150" i="87"/>
  <c r="I149" i="87"/>
  <c r="F149" i="87"/>
  <c r="I148" i="87"/>
  <c r="F148" i="87"/>
  <c r="I147" i="87"/>
  <c r="F147" i="87"/>
  <c r="I146" i="87"/>
  <c r="F146" i="87"/>
  <c r="I145" i="87"/>
  <c r="F145" i="87"/>
  <c r="I144" i="87"/>
  <c r="F144" i="87"/>
  <c r="I143" i="87"/>
  <c r="F143" i="87"/>
  <c r="I142" i="87"/>
  <c r="F142" i="87"/>
  <c r="I141" i="87"/>
  <c r="F141" i="87"/>
  <c r="I140" i="87"/>
  <c r="F140" i="87"/>
  <c r="I135" i="87"/>
  <c r="F135" i="87"/>
  <c r="I132" i="87"/>
  <c r="C142" i="112" s="1"/>
  <c r="F132" i="87"/>
  <c r="C18" i="112" s="1"/>
  <c r="I131" i="87"/>
  <c r="C141" i="112" s="1"/>
  <c r="F131" i="87"/>
  <c r="C17" i="112" s="1"/>
  <c r="I128" i="87"/>
  <c r="C138" i="112" s="1"/>
  <c r="F128" i="87"/>
  <c r="C14" i="112" s="1"/>
  <c r="I127" i="87"/>
  <c r="F127" i="87"/>
  <c r="C13" i="112" s="1"/>
  <c r="I126" i="87"/>
  <c r="F126" i="87"/>
  <c r="I125" i="87"/>
  <c r="D198" i="109" s="1"/>
  <c r="F125" i="87"/>
  <c r="AD121" i="87"/>
  <c r="AA121" i="87"/>
  <c r="X121" i="87"/>
  <c r="U121" i="87"/>
  <c r="R121" i="87"/>
  <c r="O121" i="87"/>
  <c r="L121" i="87"/>
  <c r="I121" i="87"/>
  <c r="D132" i="109" s="1"/>
  <c r="F121" i="87"/>
  <c r="D189" i="108" s="1"/>
  <c r="AD120" i="87"/>
  <c r="AA120" i="87"/>
  <c r="X120" i="87"/>
  <c r="U120" i="87"/>
  <c r="R120" i="87"/>
  <c r="O120" i="87"/>
  <c r="L120" i="87"/>
  <c r="I120" i="87"/>
  <c r="D131" i="109" s="1"/>
  <c r="F120" i="87"/>
  <c r="D188" i="108" s="1"/>
  <c r="AD119" i="87"/>
  <c r="AA119" i="87"/>
  <c r="X119" i="87"/>
  <c r="U119" i="87"/>
  <c r="R119" i="87"/>
  <c r="O119" i="87"/>
  <c r="L119" i="87"/>
  <c r="I119" i="87"/>
  <c r="D617" i="109" s="1"/>
  <c r="F119" i="87"/>
  <c r="D636" i="108" s="1"/>
  <c r="AD118" i="87"/>
  <c r="AA118" i="87"/>
  <c r="X118" i="87"/>
  <c r="U118" i="87"/>
  <c r="R118" i="87"/>
  <c r="O118" i="87"/>
  <c r="L118" i="87"/>
  <c r="I118" i="87"/>
  <c r="D616" i="109" s="1"/>
  <c r="F118" i="87"/>
  <c r="D182" i="108" s="1"/>
  <c r="AD117" i="87"/>
  <c r="AA117" i="87"/>
  <c r="X117" i="87"/>
  <c r="U117" i="87"/>
  <c r="R117" i="87"/>
  <c r="O117" i="87"/>
  <c r="L117" i="87"/>
  <c r="I117" i="87"/>
  <c r="D124" i="109" s="1"/>
  <c r="F117" i="87"/>
  <c r="D638" i="108" s="1"/>
  <c r="AD116" i="87"/>
  <c r="AA116" i="87"/>
  <c r="X116" i="87"/>
  <c r="U116" i="87"/>
  <c r="R116" i="87"/>
  <c r="O116" i="87"/>
  <c r="L116" i="87"/>
  <c r="I116" i="87"/>
  <c r="D611" i="109" s="1"/>
  <c r="F116" i="87"/>
  <c r="D178" i="108" s="1"/>
  <c r="AD115" i="87"/>
  <c r="AA115" i="87"/>
  <c r="X115" i="87"/>
  <c r="U115" i="87"/>
  <c r="R115" i="87"/>
  <c r="O115" i="87"/>
  <c r="L115" i="87"/>
  <c r="I115" i="87"/>
  <c r="I384" i="87" s="1"/>
  <c r="F115" i="87"/>
  <c r="F378" i="87" s="1"/>
  <c r="I96" i="87"/>
  <c r="I365" i="87" s="1"/>
  <c r="G165" i="112" s="1"/>
  <c r="I95" i="87"/>
  <c r="I364" i="87" s="1"/>
  <c r="G169" i="112" s="1"/>
  <c r="F95" i="87"/>
  <c r="AD94" i="87"/>
  <c r="AA94" i="87"/>
  <c r="X94" i="87"/>
  <c r="U94" i="87"/>
  <c r="R94" i="87"/>
  <c r="O94" i="87"/>
  <c r="L94" i="87"/>
  <c r="I94" i="87"/>
  <c r="I363" i="87" s="1"/>
  <c r="G168" i="112" s="1"/>
  <c r="F94" i="87"/>
  <c r="D149" i="108" s="1"/>
  <c r="AD93" i="87"/>
  <c r="AA93" i="87"/>
  <c r="X93" i="87"/>
  <c r="U93" i="87"/>
  <c r="R93" i="87"/>
  <c r="O93" i="87"/>
  <c r="L93" i="87"/>
  <c r="I93" i="87"/>
  <c r="I362" i="87" s="1"/>
  <c r="G167" i="112" s="1"/>
  <c r="F93" i="87"/>
  <c r="AD92" i="87"/>
  <c r="AA92" i="87"/>
  <c r="X92" i="87"/>
  <c r="U92" i="87"/>
  <c r="R92" i="87"/>
  <c r="O92" i="87"/>
  <c r="L92" i="87"/>
  <c r="I92" i="87"/>
  <c r="F92" i="87"/>
  <c r="F356" i="87" s="1"/>
  <c r="AD90" i="87"/>
  <c r="AA90" i="87"/>
  <c r="X90" i="87"/>
  <c r="U90" i="87"/>
  <c r="R90" i="87"/>
  <c r="O90" i="87"/>
  <c r="L90" i="87"/>
  <c r="AD89" i="87"/>
  <c r="AA89" i="87"/>
  <c r="X89" i="87"/>
  <c r="U89" i="87"/>
  <c r="R89" i="87"/>
  <c r="O89" i="87"/>
  <c r="L89" i="87"/>
  <c r="I89" i="87"/>
  <c r="G139" i="112" s="1"/>
  <c r="G15" i="112"/>
  <c r="AD88" i="87"/>
  <c r="AC88" i="87"/>
  <c r="AA88" i="87"/>
  <c r="Z88" i="87"/>
  <c r="X88" i="87"/>
  <c r="W88" i="87"/>
  <c r="U88" i="87"/>
  <c r="T88" i="87"/>
  <c r="R88" i="87"/>
  <c r="Q88" i="87"/>
  <c r="O88" i="87"/>
  <c r="N88" i="87"/>
  <c r="L88" i="87"/>
  <c r="K88" i="87"/>
  <c r="G138" i="112"/>
  <c r="G14" i="112"/>
  <c r="E88" i="87"/>
  <c r="AD87" i="87"/>
  <c r="AA87" i="87"/>
  <c r="X87" i="87"/>
  <c r="U87" i="87"/>
  <c r="R87" i="87"/>
  <c r="O87" i="87"/>
  <c r="L87" i="87"/>
  <c r="G13" i="112"/>
  <c r="AD86" i="87"/>
  <c r="AA86" i="87"/>
  <c r="X86" i="87"/>
  <c r="U86" i="87"/>
  <c r="R86" i="87"/>
  <c r="O86" i="87"/>
  <c r="L86" i="87"/>
  <c r="AD19" i="63"/>
  <c r="AD85" i="87"/>
  <c r="AA85" i="87"/>
  <c r="X85" i="87"/>
  <c r="U85" i="87"/>
  <c r="R85" i="87"/>
  <c r="O85" i="87"/>
  <c r="L85" i="87"/>
  <c r="D51" i="109"/>
  <c r="D461" i="109"/>
  <c r="I80" i="87"/>
  <c r="H140" i="112" s="1"/>
  <c r="F80" i="87"/>
  <c r="H16" i="112" s="1"/>
  <c r="AD78" i="87"/>
  <c r="AA78" i="87"/>
  <c r="X78" i="87"/>
  <c r="U78" i="87"/>
  <c r="R78" i="87"/>
  <c r="O78" i="87"/>
  <c r="L78" i="87"/>
  <c r="F78" i="87"/>
  <c r="AD77" i="87"/>
  <c r="AA77" i="87"/>
  <c r="X77" i="87"/>
  <c r="U77" i="87"/>
  <c r="R77" i="87"/>
  <c r="O77" i="87"/>
  <c r="L77" i="87"/>
  <c r="I77" i="87"/>
  <c r="H167" i="112" s="1"/>
  <c r="F77" i="87"/>
  <c r="D617" i="108" s="1"/>
  <c r="AD76" i="87"/>
  <c r="AA76" i="87"/>
  <c r="X76" i="87"/>
  <c r="U76" i="87"/>
  <c r="R76" i="87"/>
  <c r="O76" i="87"/>
  <c r="L76" i="87"/>
  <c r="I76" i="87"/>
  <c r="D592" i="109" s="1"/>
  <c r="F76" i="87"/>
  <c r="D611" i="108" s="1"/>
  <c r="I75" i="87"/>
  <c r="AD74" i="87"/>
  <c r="AA74" i="87"/>
  <c r="X74" i="87"/>
  <c r="U74" i="87"/>
  <c r="R74" i="87"/>
  <c r="O74" i="87"/>
  <c r="L74" i="87"/>
  <c r="I74" i="87"/>
  <c r="F74" i="87"/>
  <c r="AD73" i="87"/>
  <c r="AA73" i="87"/>
  <c r="X73" i="87"/>
  <c r="U73" i="87"/>
  <c r="R73" i="87"/>
  <c r="O73" i="87"/>
  <c r="L73" i="87"/>
  <c r="I73" i="87"/>
  <c r="H139" i="112" s="1"/>
  <c r="F73" i="87"/>
  <c r="H15" i="112" s="1"/>
  <c r="AD72" i="87"/>
  <c r="AC72" i="87"/>
  <c r="AA72" i="87"/>
  <c r="Z72" i="87"/>
  <c r="X72" i="87"/>
  <c r="W72" i="87"/>
  <c r="U72" i="87"/>
  <c r="T72" i="87"/>
  <c r="R72" i="87"/>
  <c r="Q72" i="87"/>
  <c r="O72" i="87"/>
  <c r="N72" i="87"/>
  <c r="L72" i="87"/>
  <c r="K72" i="87"/>
  <c r="I72" i="87"/>
  <c r="F72" i="87"/>
  <c r="H14" i="112" s="1"/>
  <c r="E72" i="87"/>
  <c r="AD71" i="87"/>
  <c r="AA71" i="87"/>
  <c r="X71" i="87"/>
  <c r="U71" i="87"/>
  <c r="R71" i="87"/>
  <c r="O71" i="87"/>
  <c r="L71" i="87"/>
  <c r="I71" i="87"/>
  <c r="F71" i="87"/>
  <c r="H13" i="112" s="1"/>
  <c r="AD70" i="87"/>
  <c r="AA70" i="87"/>
  <c r="X70" i="87"/>
  <c r="U70" i="87"/>
  <c r="R70" i="87"/>
  <c r="O70" i="87"/>
  <c r="L70" i="87"/>
  <c r="I70" i="87"/>
  <c r="H136" i="112" s="1"/>
  <c r="F70" i="87"/>
  <c r="L337" i="62" s="1"/>
  <c r="AD69" i="87"/>
  <c r="AA69" i="87"/>
  <c r="X69" i="87"/>
  <c r="U69" i="87"/>
  <c r="R69" i="87"/>
  <c r="O69" i="87"/>
  <c r="L69" i="87"/>
  <c r="I69" i="87"/>
  <c r="F69" i="87"/>
  <c r="L341" i="62" s="1"/>
  <c r="AD62" i="87"/>
  <c r="AA62" i="87"/>
  <c r="X62" i="87"/>
  <c r="U62" i="87"/>
  <c r="R62" i="87"/>
  <c r="O62" i="87"/>
  <c r="L62" i="87"/>
  <c r="I62" i="87"/>
  <c r="F62" i="87"/>
  <c r="F344" i="87" s="1"/>
  <c r="AD61" i="87"/>
  <c r="AA61" i="87"/>
  <c r="X61" i="87"/>
  <c r="U61" i="87"/>
  <c r="R61" i="87"/>
  <c r="O61" i="87"/>
  <c r="L61" i="87"/>
  <c r="AD60" i="87"/>
  <c r="AA60" i="87"/>
  <c r="X60" i="87"/>
  <c r="U60" i="87"/>
  <c r="R60" i="87"/>
  <c r="O60" i="87"/>
  <c r="L60" i="87"/>
  <c r="AD58" i="87"/>
  <c r="AA58" i="87"/>
  <c r="X58" i="87"/>
  <c r="U58" i="87"/>
  <c r="R58" i="87"/>
  <c r="O58" i="87"/>
  <c r="L58" i="87"/>
  <c r="AD57" i="87"/>
  <c r="AA57" i="87"/>
  <c r="X57" i="87"/>
  <c r="U57" i="87"/>
  <c r="R57" i="87"/>
  <c r="O57" i="87"/>
  <c r="L57" i="87"/>
  <c r="AD56" i="87"/>
  <c r="AA56" i="87"/>
  <c r="X56" i="87"/>
  <c r="U56" i="87"/>
  <c r="R56" i="87"/>
  <c r="O56" i="87"/>
  <c r="L56" i="87"/>
  <c r="AD55" i="87"/>
  <c r="AA55" i="87"/>
  <c r="X55" i="87"/>
  <c r="U55" i="87"/>
  <c r="R55" i="87"/>
  <c r="O55" i="87"/>
  <c r="L55" i="87"/>
  <c r="C52" i="87"/>
  <c r="C48" i="87"/>
  <c r="C47" i="87"/>
  <c r="AD47" i="87"/>
  <c r="AA47" i="87"/>
  <c r="X47" i="87"/>
  <c r="U47" i="87"/>
  <c r="R47" i="87"/>
  <c r="O47" i="87"/>
  <c r="L47" i="87"/>
  <c r="L109" i="87" s="1"/>
  <c r="C46" i="87"/>
  <c r="AD46" i="87"/>
  <c r="AA46" i="87"/>
  <c r="X46" i="87"/>
  <c r="U46" i="87"/>
  <c r="R46" i="87"/>
  <c r="O46" i="87"/>
  <c r="L46" i="87"/>
  <c r="L108" i="87" s="1"/>
  <c r="C45" i="87"/>
  <c r="AD45" i="87"/>
  <c r="AA45" i="87"/>
  <c r="X45" i="87"/>
  <c r="U45" i="87"/>
  <c r="R45" i="87"/>
  <c r="O45" i="87"/>
  <c r="L45" i="87"/>
  <c r="L107" i="87" s="1"/>
  <c r="AD44" i="87"/>
  <c r="AA44" i="87"/>
  <c r="X44" i="87"/>
  <c r="U44" i="87"/>
  <c r="R44" i="87"/>
  <c r="O44" i="87"/>
  <c r="L44" i="87"/>
  <c r="L105" i="87" s="1"/>
  <c r="AD42" i="87"/>
  <c r="AA42" i="87"/>
  <c r="X42" i="87"/>
  <c r="U42" i="87"/>
  <c r="R42" i="87"/>
  <c r="O42" i="87"/>
  <c r="L42" i="87"/>
  <c r="L104" i="87" s="1"/>
  <c r="AD41" i="87"/>
  <c r="AC41" i="87"/>
  <c r="AA41" i="87"/>
  <c r="Z41" i="87"/>
  <c r="X41" i="87"/>
  <c r="W41" i="87"/>
  <c r="U41" i="87"/>
  <c r="T41" i="87"/>
  <c r="R41" i="87"/>
  <c r="Q41" i="87"/>
  <c r="O41" i="87"/>
  <c r="N41" i="87"/>
  <c r="L41" i="87"/>
  <c r="L103" i="87" s="1"/>
  <c r="K41" i="87"/>
  <c r="F138" i="112"/>
  <c r="E41" i="87"/>
  <c r="C40" i="87"/>
  <c r="AD40" i="87"/>
  <c r="AA40" i="87"/>
  <c r="X40" i="87"/>
  <c r="U40" i="87"/>
  <c r="R40" i="87"/>
  <c r="O40" i="87"/>
  <c r="L40" i="87"/>
  <c r="L102" i="87" s="1"/>
  <c r="I34" i="87"/>
  <c r="I33" i="87"/>
  <c r="I63" i="87" s="1"/>
  <c r="F33" i="87"/>
  <c r="I32" i="87"/>
  <c r="F32" i="87"/>
  <c r="I31" i="87"/>
  <c r="F31" i="87"/>
  <c r="F61" i="87" s="1"/>
  <c r="F343" i="87" s="1"/>
  <c r="I30" i="87"/>
  <c r="F30" i="87"/>
  <c r="F60" i="87" s="1"/>
  <c r="F342" i="87" s="1"/>
  <c r="C28" i="87"/>
  <c r="I27" i="87"/>
  <c r="E15" i="112"/>
  <c r="C27" i="87"/>
  <c r="AC26" i="87"/>
  <c r="Z26" i="87"/>
  <c r="W26" i="87"/>
  <c r="T26" i="87"/>
  <c r="Q26" i="87"/>
  <c r="N26" i="87"/>
  <c r="K26" i="87"/>
  <c r="E14" i="112"/>
  <c r="E26" i="87"/>
  <c r="C26" i="87"/>
  <c r="E13" i="112"/>
  <c r="AD24" i="87"/>
  <c r="AD39" i="87" s="1"/>
  <c r="AD101" i="87" s="1"/>
  <c r="AA24" i="87"/>
  <c r="AA39" i="87" s="1"/>
  <c r="AA101" i="87" s="1"/>
  <c r="X24" i="87"/>
  <c r="X39" i="87" s="1"/>
  <c r="X101" i="87" s="1"/>
  <c r="U24" i="87"/>
  <c r="U54" i="87" s="1"/>
  <c r="R24" i="87"/>
  <c r="R54" i="87" s="1"/>
  <c r="O24" i="87"/>
  <c r="O54" i="87" s="1"/>
  <c r="L24" i="87"/>
  <c r="L54" i="87" s="1"/>
  <c r="AD35" i="63"/>
  <c r="C24" i="87"/>
  <c r="AD23" i="87"/>
  <c r="AA23" i="87"/>
  <c r="X23" i="87"/>
  <c r="U23" i="87"/>
  <c r="R23" i="87"/>
  <c r="O23" i="87"/>
  <c r="L23" i="87"/>
  <c r="F135" i="112"/>
  <c r="E11" i="112"/>
  <c r="C23" i="87"/>
  <c r="AH22" i="87"/>
  <c r="AH21" i="87"/>
  <c r="I19" i="87"/>
  <c r="D140" i="112" s="1"/>
  <c r="F19" i="87"/>
  <c r="D16" i="112" s="1"/>
  <c r="C19" i="87"/>
  <c r="I18" i="87"/>
  <c r="F18" i="87"/>
  <c r="C18" i="87"/>
  <c r="AD17" i="87"/>
  <c r="AA17" i="87"/>
  <c r="X17" i="87"/>
  <c r="U17" i="87"/>
  <c r="R17" i="87"/>
  <c r="O17" i="87"/>
  <c r="L17" i="87"/>
  <c r="I17" i="87"/>
  <c r="D87" i="109" s="1"/>
  <c r="F17" i="87"/>
  <c r="D144" i="108" s="1"/>
  <c r="C17" i="87"/>
  <c r="AD16" i="87"/>
  <c r="AD130" i="87" s="1"/>
  <c r="AA16" i="87"/>
  <c r="AA130" i="87" s="1"/>
  <c r="X16" i="87"/>
  <c r="X130" i="87" s="1"/>
  <c r="U16" i="87"/>
  <c r="U130" i="87" s="1"/>
  <c r="R16" i="87"/>
  <c r="R130" i="87" s="1"/>
  <c r="O16" i="87"/>
  <c r="O130" i="87" s="1"/>
  <c r="L16" i="87"/>
  <c r="L130" i="87" s="1"/>
  <c r="I16" i="87"/>
  <c r="F16" i="87"/>
  <c r="D183" i="108" s="1"/>
  <c r="AD15" i="87"/>
  <c r="AD129" i="87" s="1"/>
  <c r="AA15" i="87"/>
  <c r="AA129" i="87" s="1"/>
  <c r="X15" i="87"/>
  <c r="X129" i="87" s="1"/>
  <c r="U15" i="87"/>
  <c r="U129" i="87" s="1"/>
  <c r="R15" i="87"/>
  <c r="R129" i="87" s="1"/>
  <c r="O15" i="87"/>
  <c r="O129" i="87" s="1"/>
  <c r="L15" i="87"/>
  <c r="L129" i="87" s="1"/>
  <c r="I15" i="87"/>
  <c r="D119" i="109" s="1"/>
  <c r="F15" i="87"/>
  <c r="C15" i="87"/>
  <c r="I14" i="87"/>
  <c r="C14" i="87"/>
  <c r="AD13" i="87"/>
  <c r="AA13" i="87"/>
  <c r="X13" i="87"/>
  <c r="U13" i="87"/>
  <c r="R13" i="87"/>
  <c r="O13" i="87"/>
  <c r="L13" i="87"/>
  <c r="I13" i="87"/>
  <c r="F13" i="87"/>
  <c r="C13" i="87"/>
  <c r="AD12" i="87"/>
  <c r="AA12" i="87"/>
  <c r="X12" i="87"/>
  <c r="U12" i="87"/>
  <c r="R12" i="87"/>
  <c r="O12" i="87"/>
  <c r="L12" i="87"/>
  <c r="I12" i="87"/>
  <c r="D139" i="112" s="1"/>
  <c r="F12" i="87"/>
  <c r="D15" i="112" s="1"/>
  <c r="C12" i="87"/>
  <c r="AD11" i="87"/>
  <c r="AD128" i="87" s="1"/>
  <c r="AC11" i="87"/>
  <c r="AA11" i="87"/>
  <c r="AA128" i="87" s="1"/>
  <c r="Z11" i="87"/>
  <c r="X11" i="87"/>
  <c r="X128" i="87" s="1"/>
  <c r="W11" i="87"/>
  <c r="U11" i="87"/>
  <c r="U128" i="87" s="1"/>
  <c r="T11" i="87"/>
  <c r="R11" i="87"/>
  <c r="R128" i="87" s="1"/>
  <c r="Q11" i="87"/>
  <c r="O11" i="87"/>
  <c r="O128" i="87" s="1"/>
  <c r="N11" i="87"/>
  <c r="L11" i="87"/>
  <c r="L128" i="87" s="1"/>
  <c r="K11" i="87"/>
  <c r="I11" i="87"/>
  <c r="D138" i="112" s="1"/>
  <c r="F11" i="87"/>
  <c r="D14" i="112" s="1"/>
  <c r="E11" i="87"/>
  <c r="AD10" i="87"/>
  <c r="AD127" i="87" s="1"/>
  <c r="AA10" i="87"/>
  <c r="AA127" i="87" s="1"/>
  <c r="X10" i="87"/>
  <c r="X127" i="87" s="1"/>
  <c r="U10" i="87"/>
  <c r="U127" i="87" s="1"/>
  <c r="R10" i="87"/>
  <c r="R127" i="87" s="1"/>
  <c r="O10" i="87"/>
  <c r="O127" i="87" s="1"/>
  <c r="L10" i="87"/>
  <c r="L127" i="87" s="1"/>
  <c r="I10" i="87"/>
  <c r="D137" i="112" s="1"/>
  <c r="F10" i="87"/>
  <c r="D13" i="112" s="1"/>
  <c r="AD9" i="87"/>
  <c r="AD126" i="87" s="1"/>
  <c r="AA9" i="87"/>
  <c r="AA126" i="87" s="1"/>
  <c r="X9" i="87"/>
  <c r="X126" i="87" s="1"/>
  <c r="U9" i="87"/>
  <c r="U126" i="87" s="1"/>
  <c r="R9" i="87"/>
  <c r="R126" i="87" s="1"/>
  <c r="O9" i="87"/>
  <c r="O126" i="87" s="1"/>
  <c r="L9" i="87"/>
  <c r="L126" i="87" s="1"/>
  <c r="I9" i="87"/>
  <c r="D368" i="65" s="1"/>
  <c r="F9" i="87"/>
  <c r="L335" i="62" s="1"/>
  <c r="AD8" i="87"/>
  <c r="AD125" i="87" s="1"/>
  <c r="AA8" i="87"/>
  <c r="AA125" i="87" s="1"/>
  <c r="X8" i="87"/>
  <c r="X125" i="87" s="1"/>
  <c r="U8" i="87"/>
  <c r="U125" i="87" s="1"/>
  <c r="R8" i="87"/>
  <c r="R125" i="87" s="1"/>
  <c r="O8" i="87"/>
  <c r="O125" i="87" s="1"/>
  <c r="L8" i="87"/>
  <c r="L125" i="87" s="1"/>
  <c r="I8" i="87"/>
  <c r="F8" i="87"/>
  <c r="L339" i="62" s="1"/>
  <c r="C8" i="87"/>
  <c r="C50" i="123"/>
  <c r="C49" i="123"/>
  <c r="E418" i="115"/>
  <c r="C384" i="115"/>
  <c r="C369" i="115"/>
  <c r="C350" i="115"/>
  <c r="C349" i="115"/>
  <c r="D345" i="115"/>
  <c r="B310" i="115"/>
  <c r="E292" i="115"/>
  <c r="B143" i="115"/>
  <c r="B136" i="115"/>
  <c r="D124" i="115"/>
  <c r="D114" i="115"/>
  <c r="D347" i="115" s="1"/>
  <c r="D113" i="115"/>
  <c r="D112" i="115"/>
  <c r="B71" i="115"/>
  <c r="E14" i="115"/>
  <c r="D14" i="115"/>
  <c r="E416" i="115" s="1"/>
  <c r="E13" i="115"/>
  <c r="E11" i="115"/>
  <c r="E10" i="115"/>
  <c r="C622" i="109"/>
  <c r="C616" i="109"/>
  <c r="C610" i="109"/>
  <c r="C604" i="109"/>
  <c r="C598" i="109"/>
  <c r="C592" i="109"/>
  <c r="C576" i="109"/>
  <c r="C627" i="109" s="1"/>
  <c r="D569" i="109"/>
  <c r="C568" i="109"/>
  <c r="C567" i="109"/>
  <c r="C557" i="109"/>
  <c r="C556" i="109"/>
  <c r="D555" i="109"/>
  <c r="C532" i="109"/>
  <c r="C525" i="109"/>
  <c r="C500" i="109"/>
  <c r="C499" i="109"/>
  <c r="C497" i="109"/>
  <c r="C494" i="109"/>
  <c r="C493" i="109"/>
  <c r="C491" i="109"/>
  <c r="C474" i="109"/>
  <c r="C473" i="109"/>
  <c r="C472" i="109"/>
  <c r="D469" i="109"/>
  <c r="D462" i="109"/>
  <c r="C457" i="109"/>
  <c r="C456" i="109"/>
  <c r="C455" i="109"/>
  <c r="D452" i="109"/>
  <c r="D445" i="109"/>
  <c r="E408" i="109"/>
  <c r="E391" i="109"/>
  <c r="C359" i="109"/>
  <c r="C331" i="109"/>
  <c r="D321" i="109"/>
  <c r="D319" i="109"/>
  <c r="B283" i="109"/>
  <c r="E265" i="109"/>
  <c r="C132" i="109"/>
  <c r="C130" i="109"/>
  <c r="D129" i="109"/>
  <c r="C125" i="109"/>
  <c r="C123" i="109"/>
  <c r="D114" i="109"/>
  <c r="C102" i="109"/>
  <c r="C412" i="109" s="1"/>
  <c r="C93" i="109"/>
  <c r="D88" i="109"/>
  <c r="D81" i="109"/>
  <c r="D74" i="109"/>
  <c r="D36" i="109"/>
  <c r="C28" i="109"/>
  <c r="C27" i="109"/>
  <c r="C26" i="109"/>
  <c r="C25" i="109"/>
  <c r="C24" i="109"/>
  <c r="C23" i="109"/>
  <c r="C22" i="109"/>
  <c r="C21" i="109"/>
  <c r="C384" i="65"/>
  <c r="B381" i="65"/>
  <c r="C378" i="65"/>
  <c r="C370" i="65"/>
  <c r="E320" i="65"/>
  <c r="E319" i="65"/>
  <c r="B214" i="65"/>
  <c r="D213" i="65"/>
  <c r="B208" i="65"/>
  <c r="D206" i="65"/>
  <c r="D161" i="65"/>
  <c r="D149" i="65"/>
  <c r="D148" i="65"/>
  <c r="E211" i="65" s="1"/>
  <c r="D147" i="65"/>
  <c r="D205" i="65" s="1"/>
  <c r="B105" i="65"/>
  <c r="B94" i="65"/>
  <c r="C16" i="65"/>
  <c r="C138" i="118"/>
  <c r="C142" i="118" s="1"/>
  <c r="E11" i="118"/>
  <c r="D11" i="118"/>
  <c r="E10" i="118"/>
  <c r="D10" i="118"/>
  <c r="D9" i="118"/>
  <c r="E8" i="118"/>
  <c r="D8" i="118"/>
  <c r="E7" i="118"/>
  <c r="D7" i="118"/>
  <c r="C641" i="108"/>
  <c r="C635" i="108"/>
  <c r="C629" i="108"/>
  <c r="C628" i="108" a="1"/>
  <c r="C628" i="108" s="1"/>
  <c r="C623" i="108"/>
  <c r="C622" i="108"/>
  <c r="C617" i="108"/>
  <c r="C611" i="108"/>
  <c r="C593" i="108"/>
  <c r="C600" i="108" s="1"/>
  <c r="C587" i="108"/>
  <c r="C586" i="108"/>
  <c r="C578" i="108"/>
  <c r="C577" i="108"/>
  <c r="C559" i="108"/>
  <c r="C554" i="108"/>
  <c r="C537" i="108"/>
  <c r="C536" i="108"/>
  <c r="C534" i="108"/>
  <c r="C531" i="108"/>
  <c r="C530" i="108"/>
  <c r="C528" i="108"/>
  <c r="D518" i="108"/>
  <c r="C513" i="108"/>
  <c r="C512" i="108"/>
  <c r="C511" i="108"/>
  <c r="D501" i="108"/>
  <c r="C496" i="108"/>
  <c r="C495" i="108"/>
  <c r="C494" i="108"/>
  <c r="D491" i="108"/>
  <c r="D508" i="108" s="1"/>
  <c r="D484" i="108"/>
  <c r="E449" i="108"/>
  <c r="C439" i="108"/>
  <c r="C88" i="113" s="1"/>
  <c r="E433" i="108"/>
  <c r="C403" i="108"/>
  <c r="D368" i="108"/>
  <c r="E339" i="108"/>
  <c r="E331" i="108"/>
  <c r="E323" i="108"/>
  <c r="E320" i="108"/>
  <c r="E228" i="108"/>
  <c r="C189" i="108"/>
  <c r="D186" i="108"/>
  <c r="C182" i="108"/>
  <c r="E174" i="108"/>
  <c r="E173" i="108"/>
  <c r="D172" i="108"/>
  <c r="E170" i="108"/>
  <c r="E167" i="108"/>
  <c r="E166" i="108"/>
  <c r="E163" i="108"/>
  <c r="C159" i="108"/>
  <c r="C452" i="108" s="1"/>
  <c r="E154" i="108"/>
  <c r="E153" i="108"/>
  <c r="E150" i="108"/>
  <c r="C150" i="108"/>
  <c r="E149" i="108"/>
  <c r="E148" i="108"/>
  <c r="E147" i="108"/>
  <c r="E146" i="108"/>
  <c r="D145" i="108"/>
  <c r="E144" i="108"/>
  <c r="C143" i="108"/>
  <c r="C142" i="108"/>
  <c r="C141" i="108"/>
  <c r="C140" i="108"/>
  <c r="D138" i="108"/>
  <c r="E136" i="108"/>
  <c r="E135" i="108"/>
  <c r="D134" i="108"/>
  <c r="D131" i="108"/>
  <c r="E130" i="108"/>
  <c r="E123" i="108"/>
  <c r="E122" i="108"/>
  <c r="E121" i="108"/>
  <c r="E120" i="108"/>
  <c r="E119" i="108"/>
  <c r="E116" i="108"/>
  <c r="C115" i="108"/>
  <c r="C114" i="108"/>
  <c r="C113" i="108"/>
  <c r="E108" i="108"/>
  <c r="E107" i="108"/>
  <c r="E103" i="108"/>
  <c r="D93" i="108"/>
  <c r="C85" i="108"/>
  <c r="C83" i="108"/>
  <c r="C82" i="108"/>
  <c r="C81" i="108"/>
  <c r="C80" i="108"/>
  <c r="C79" i="108"/>
  <c r="C78" i="108"/>
  <c r="C77" i="108"/>
  <c r="C76" i="108"/>
  <c r="C74" i="108"/>
  <c r="C73" i="108"/>
  <c r="C72" i="108"/>
  <c r="C71" i="108"/>
  <c r="C70" i="108"/>
  <c r="C57" i="108"/>
  <c r="C55" i="108"/>
  <c r="C50" i="108"/>
  <c r="C49" i="108"/>
  <c r="C48" i="108"/>
  <c r="C45" i="108"/>
  <c r="C44" i="108"/>
  <c r="C43" i="108"/>
  <c r="C41" i="108"/>
  <c r="C40" i="108"/>
  <c r="C39" i="108"/>
  <c r="C38" i="108"/>
  <c r="E17" i="108"/>
  <c r="D17" i="108"/>
  <c r="C439" i="115" s="1"/>
  <c r="E16" i="108"/>
  <c r="D16" i="108"/>
  <c r="D15" i="108"/>
  <c r="E12" i="108"/>
  <c r="D12" i="108"/>
  <c r="E76" i="108" s="1"/>
  <c r="M393" i="62"/>
  <c r="M392" i="62"/>
  <c r="M391" i="62"/>
  <c r="M390" i="62"/>
  <c r="M381" i="62"/>
  <c r="M379" i="62"/>
  <c r="M376" i="62"/>
  <c r="M375" i="62"/>
  <c r="M374" i="62"/>
  <c r="K355" i="62"/>
  <c r="K349" i="62"/>
  <c r="K341" i="62"/>
  <c r="K337" i="62"/>
  <c r="M317" i="62"/>
  <c r="M316" i="62"/>
  <c r="M315" i="62"/>
  <c r="M292" i="62"/>
  <c r="M291" i="62"/>
  <c r="M228" i="62"/>
  <c r="M217" i="62"/>
  <c r="M148" i="62"/>
  <c r="M151" i="62"/>
  <c r="M150" i="62"/>
  <c r="M259" i="62"/>
  <c r="M254" i="62"/>
  <c r="M244" i="62"/>
  <c r="M206" i="62"/>
  <c r="M201" i="62"/>
  <c r="M141" i="62"/>
  <c r="M133" i="62"/>
  <c r="M125" i="62"/>
  <c r="M102" i="62"/>
  <c r="M81" i="62"/>
  <c r="M196" i="62"/>
  <c r="M195" i="62"/>
  <c r="M194" i="62"/>
  <c r="M61" i="62"/>
  <c r="M60" i="62"/>
  <c r="M190" i="62"/>
  <c r="M58" i="62"/>
  <c r="M282" i="62"/>
  <c r="M313" i="62"/>
  <c r="M312" i="62"/>
  <c r="M311" i="62"/>
  <c r="M281" i="62"/>
  <c r="M280" i="62"/>
  <c r="M279" i="62"/>
  <c r="M309" i="62"/>
  <c r="M308" i="62"/>
  <c r="M185" i="62"/>
  <c r="M184" i="62"/>
  <c r="M183" i="62"/>
  <c r="M182" i="62"/>
  <c r="M327" i="62"/>
  <c r="M305" i="62"/>
  <c r="K175" i="62"/>
  <c r="C75" i="75" s="1"/>
  <c r="M303" i="62"/>
  <c r="K161" i="62"/>
  <c r="K159" i="62"/>
  <c r="K158" i="62"/>
  <c r="K157" i="62"/>
  <c r="M76" i="62"/>
  <c r="M71" i="62"/>
  <c r="M47" i="62"/>
  <c r="K67" i="62"/>
  <c r="C96" i="118" s="1"/>
  <c r="L66" i="62"/>
  <c r="K66" i="62"/>
  <c r="M31" i="62"/>
  <c r="L25" i="62"/>
  <c r="C20" i="62"/>
  <c r="M19" i="62"/>
  <c r="M15" i="62"/>
  <c r="M10" i="62"/>
  <c r="J83" i="54"/>
  <c r="I83" i="54"/>
  <c r="I91" i="54" s="1"/>
  <c r="T67" i="54"/>
  <c r="Q67" i="54"/>
  <c r="N67" i="54"/>
  <c r="J67" i="54"/>
  <c r="G67" i="54"/>
  <c r="E67" i="54"/>
  <c r="X66" i="54"/>
  <c r="T66" i="54"/>
  <c r="Q66" i="54"/>
  <c r="N66" i="54"/>
  <c r="J66" i="54"/>
  <c r="G66" i="54"/>
  <c r="E66" i="54"/>
  <c r="X65" i="54"/>
  <c r="T65" i="54"/>
  <c r="Q65" i="54"/>
  <c r="N65" i="54"/>
  <c r="J65" i="54"/>
  <c r="G65" i="54"/>
  <c r="E65" i="54"/>
  <c r="X64" i="54"/>
  <c r="T64" i="54"/>
  <c r="Q64" i="54"/>
  <c r="N64" i="54"/>
  <c r="J64" i="54"/>
  <c r="G64" i="54"/>
  <c r="E64" i="54"/>
  <c r="X63" i="54"/>
  <c r="T63" i="54"/>
  <c r="Q63" i="54"/>
  <c r="N63" i="54"/>
  <c r="J63" i="54"/>
  <c r="G63" i="54"/>
  <c r="E63" i="54"/>
  <c r="X62" i="54"/>
  <c r="T62" i="54"/>
  <c r="Q62" i="54"/>
  <c r="N62" i="54"/>
  <c r="J62" i="54"/>
  <c r="G62" i="54"/>
  <c r="E62" i="54"/>
  <c r="X61" i="54"/>
  <c r="T61" i="54"/>
  <c r="Q61" i="54"/>
  <c r="N61" i="54"/>
  <c r="J61" i="54"/>
  <c r="G61" i="54"/>
  <c r="E61" i="54"/>
  <c r="X60" i="54"/>
  <c r="T60" i="54"/>
  <c r="Q60" i="54"/>
  <c r="N60" i="54"/>
  <c r="J60" i="54"/>
  <c r="G60" i="54"/>
  <c r="E60" i="54"/>
  <c r="X59" i="54"/>
  <c r="T59" i="54"/>
  <c r="Q59" i="54"/>
  <c r="N59" i="54"/>
  <c r="J59" i="54"/>
  <c r="G59" i="54"/>
  <c r="E59" i="54"/>
  <c r="X58" i="54"/>
  <c r="T58" i="54"/>
  <c r="Q58" i="54"/>
  <c r="N58" i="54"/>
  <c r="J58" i="54"/>
  <c r="G58" i="54"/>
  <c r="E58" i="54"/>
  <c r="X57" i="54"/>
  <c r="T57" i="54"/>
  <c r="Q57" i="54"/>
  <c r="N57" i="54"/>
  <c r="J57" i="54"/>
  <c r="G57" i="54"/>
  <c r="E57" i="54"/>
  <c r="X56" i="54"/>
  <c r="T56" i="54"/>
  <c r="Q56" i="54"/>
  <c r="N56" i="54"/>
  <c r="J56" i="54"/>
  <c r="G56" i="54"/>
  <c r="E56" i="54"/>
  <c r="X55" i="54"/>
  <c r="T55" i="54"/>
  <c r="Q55" i="54"/>
  <c r="N55" i="54"/>
  <c r="J55" i="54"/>
  <c r="G55" i="54"/>
  <c r="E55" i="54"/>
  <c r="T54" i="54"/>
  <c r="Q54" i="54"/>
  <c r="N54" i="54"/>
  <c r="J54" i="54"/>
  <c r="G54" i="54"/>
  <c r="E54" i="54"/>
  <c r="X53" i="54"/>
  <c r="T53" i="54"/>
  <c r="Q53" i="54"/>
  <c r="N53" i="54"/>
  <c r="J53" i="54"/>
  <c r="G53" i="54"/>
  <c r="E53" i="54"/>
  <c r="X52" i="54"/>
  <c r="T52" i="54"/>
  <c r="Q52" i="54"/>
  <c r="N52" i="54"/>
  <c r="J52" i="54"/>
  <c r="G52" i="54"/>
  <c r="E52" i="54"/>
  <c r="X51" i="54"/>
  <c r="T51" i="54"/>
  <c r="Q51" i="54"/>
  <c r="N51" i="54"/>
  <c r="J51" i="54"/>
  <c r="G51" i="54"/>
  <c r="E51" i="54"/>
  <c r="X50" i="54"/>
  <c r="T50" i="54"/>
  <c r="Q50" i="54"/>
  <c r="N50" i="54"/>
  <c r="J50" i="54"/>
  <c r="G50" i="54"/>
  <c r="E50" i="54"/>
  <c r="X49" i="54"/>
  <c r="T49" i="54"/>
  <c r="Q49" i="54"/>
  <c r="N49" i="54"/>
  <c r="J49" i="54"/>
  <c r="G49" i="54"/>
  <c r="E49" i="54"/>
  <c r="X48" i="54"/>
  <c r="T48" i="54"/>
  <c r="Q48" i="54"/>
  <c r="N48" i="54"/>
  <c r="J48" i="54"/>
  <c r="G48" i="54"/>
  <c r="E48" i="54"/>
  <c r="X47" i="54"/>
  <c r="T47" i="54"/>
  <c r="Q47" i="54"/>
  <c r="N47" i="54"/>
  <c r="J47" i="54"/>
  <c r="G47" i="54"/>
  <c r="E47" i="54"/>
  <c r="X46" i="54"/>
  <c r="T46" i="54"/>
  <c r="Q46" i="54"/>
  <c r="N46" i="54"/>
  <c r="J46" i="54"/>
  <c r="G46" i="54"/>
  <c r="E46" i="54"/>
  <c r="X45" i="54"/>
  <c r="T45" i="54"/>
  <c r="Q45" i="54"/>
  <c r="N45" i="54"/>
  <c r="J45" i="54"/>
  <c r="G45" i="54"/>
  <c r="E45" i="54"/>
  <c r="X44" i="54"/>
  <c r="T44" i="54"/>
  <c r="Q44" i="54"/>
  <c r="N44" i="54"/>
  <c r="J44" i="54"/>
  <c r="G44" i="54"/>
  <c r="E44" i="54"/>
  <c r="R40" i="54"/>
  <c r="P40" i="54"/>
  <c r="M40" i="54"/>
  <c r="J40" i="54"/>
  <c r="G40" i="54"/>
  <c r="E40" i="54"/>
  <c r="M13" i="54"/>
  <c r="L13" i="54"/>
  <c r="K13" i="54"/>
  <c r="J13" i="54"/>
  <c r="M9" i="54"/>
  <c r="L9" i="54"/>
  <c r="K9" i="54"/>
  <c r="M8" i="54"/>
  <c r="L8" i="54"/>
  <c r="K8" i="54"/>
  <c r="L18" i="106"/>
  <c r="L17" i="106"/>
  <c r="L16" i="106"/>
  <c r="K16" i="106"/>
  <c r="J11" i="106"/>
  <c r="C11" i="63" a="1"/>
  <c r="AA32" i="63" l="1"/>
  <c r="C24" i="118"/>
  <c r="C62" i="118"/>
  <c r="F185" i="87"/>
  <c r="I361" i="87"/>
  <c r="G166" i="112" s="1"/>
  <c r="D15" i="116"/>
  <c r="U190" i="63"/>
  <c r="R12" i="63"/>
  <c r="C138" i="127"/>
  <c r="C137" i="127"/>
  <c r="C134" i="127"/>
  <c r="C136" i="127"/>
  <c r="C50" i="127"/>
  <c r="C197" i="127"/>
  <c r="C198" i="109"/>
  <c r="C194" i="109"/>
  <c r="C209" i="109"/>
  <c r="C208" i="109"/>
  <c r="C191" i="109"/>
  <c r="C188" i="109"/>
  <c r="C193" i="109"/>
  <c r="C190" i="109"/>
  <c r="C195" i="109"/>
  <c r="C172" i="127"/>
  <c r="C177" i="127"/>
  <c r="C176" i="127"/>
  <c r="C175" i="127"/>
  <c r="C174" i="127"/>
  <c r="C73" i="127"/>
  <c r="C43" i="127"/>
  <c r="C20" i="127"/>
  <c r="C16" i="127"/>
  <c r="C188" i="127"/>
  <c r="C88" i="127"/>
  <c r="C13" i="127"/>
  <c r="C42" i="127"/>
  <c r="C190" i="127"/>
  <c r="C62" i="127"/>
  <c r="C61" i="127"/>
  <c r="C35" i="127"/>
  <c r="C53" i="127"/>
  <c r="C34" i="127"/>
  <c r="C15" i="127"/>
  <c r="C87" i="127"/>
  <c r="C14" i="127"/>
  <c r="C12" i="127"/>
  <c r="C72" i="127"/>
  <c r="C24" i="127"/>
  <c r="C25" i="127"/>
  <c r="D354" i="117"/>
  <c r="D540" i="117"/>
  <c r="D75" i="117"/>
  <c r="D447" i="117"/>
  <c r="D261" i="117"/>
  <c r="D168" i="117"/>
  <c r="D632" i="117"/>
  <c r="D353" i="117"/>
  <c r="D539" i="117"/>
  <c r="D74" i="117"/>
  <c r="D167" i="117"/>
  <c r="D260" i="117"/>
  <c r="D446" i="117"/>
  <c r="C641" i="117"/>
  <c r="C547" i="117"/>
  <c r="C454" i="117"/>
  <c r="C361" i="117"/>
  <c r="C268" i="117"/>
  <c r="C175" i="117"/>
  <c r="C82" i="117"/>
  <c r="C382" i="115"/>
  <c r="C242" i="115"/>
  <c r="C48" i="115"/>
  <c r="C115" i="115" s="1"/>
  <c r="C640" i="117"/>
  <c r="C546" i="117"/>
  <c r="C453" i="117"/>
  <c r="C360" i="117"/>
  <c r="C267" i="117"/>
  <c r="C174" i="117"/>
  <c r="C81" i="117"/>
  <c r="C639" i="117"/>
  <c r="C545" i="117"/>
  <c r="C452" i="117"/>
  <c r="C359" i="117"/>
  <c r="C266" i="117"/>
  <c r="C173" i="117"/>
  <c r="C80" i="117"/>
  <c r="C381" i="115"/>
  <c r="C392" i="115" s="1"/>
  <c r="C638" i="117"/>
  <c r="C146" i="115"/>
  <c r="C419" i="115"/>
  <c r="C134" i="115"/>
  <c r="C363" i="115"/>
  <c r="C388" i="115" s="1"/>
  <c r="C145" i="115"/>
  <c r="C420" i="115"/>
  <c r="C147" i="115"/>
  <c r="C592" i="117"/>
  <c r="C631" i="117" s="1"/>
  <c r="C499" i="117"/>
  <c r="C406" i="117"/>
  <c r="C445" i="117" s="1"/>
  <c r="C313" i="117"/>
  <c r="C220" i="117"/>
  <c r="C127" i="117"/>
  <c r="C34" i="117"/>
  <c r="C129" i="115"/>
  <c r="C254" i="115" s="1"/>
  <c r="C258" i="115"/>
  <c r="C548" i="117"/>
  <c r="C455" i="117"/>
  <c r="C362" i="117"/>
  <c r="C269" i="117"/>
  <c r="C176" i="117"/>
  <c r="C83" i="117"/>
  <c r="C393" i="115"/>
  <c r="C246" i="115"/>
  <c r="C103" i="108"/>
  <c r="C132" i="108"/>
  <c r="K239" i="62"/>
  <c r="C109" i="85" s="1"/>
  <c r="C205" i="108"/>
  <c r="D11" i="65"/>
  <c r="E10" i="65" s="1"/>
  <c r="E11" i="65"/>
  <c r="C135" i="112"/>
  <c r="D169" i="109"/>
  <c r="D159" i="109"/>
  <c r="D471" i="109"/>
  <c r="D255" i="108"/>
  <c r="D226" i="108"/>
  <c r="D216" i="108"/>
  <c r="X30" i="123"/>
  <c r="X29" i="123"/>
  <c r="X28" i="123"/>
  <c r="D118" i="85"/>
  <c r="Y37" i="123"/>
  <c r="C39" i="63"/>
  <c r="D87" i="112" s="1"/>
  <c r="Y26" i="123"/>
  <c r="C34" i="87"/>
  <c r="Y35" i="123"/>
  <c r="Y34" i="123"/>
  <c r="Y33" i="123"/>
  <c r="Y49" i="123" a="1"/>
  <c r="Y49" i="123" s="1"/>
  <c r="Y51" i="123" a="1"/>
  <c r="Y51" i="123" s="1"/>
  <c r="C204" i="109"/>
  <c r="C203" i="109"/>
  <c r="C213" i="109"/>
  <c r="D247" i="108"/>
  <c r="D190" i="109"/>
  <c r="E93" i="108"/>
  <c r="D14" i="108"/>
  <c r="C260" i="108"/>
  <c r="C261" i="108"/>
  <c r="C255" i="108"/>
  <c r="D72" i="109"/>
  <c r="D162" i="109"/>
  <c r="D152" i="109"/>
  <c r="D187" i="85"/>
  <c r="D164" i="109"/>
  <c r="D154" i="109"/>
  <c r="D434" i="109"/>
  <c r="D219" i="108"/>
  <c r="D209" i="108"/>
  <c r="D470" i="109"/>
  <c r="D221" i="108"/>
  <c r="D211" i="108"/>
  <c r="C250" i="108"/>
  <c r="C248" i="108"/>
  <c r="C266" i="108"/>
  <c r="C245" i="108"/>
  <c r="C265" i="108"/>
  <c r="C247" i="108"/>
  <c r="C252" i="108"/>
  <c r="C251" i="108"/>
  <c r="C270" i="108"/>
  <c r="C163" i="109"/>
  <c r="C137" i="109"/>
  <c r="C169" i="109"/>
  <c r="C159" i="109"/>
  <c r="C220" i="108"/>
  <c r="C164" i="109"/>
  <c r="C210" i="108"/>
  <c r="C142" i="109"/>
  <c r="C154" i="109"/>
  <c r="C199" i="108"/>
  <c r="C194" i="108"/>
  <c r="C162" i="109"/>
  <c r="C152" i="109"/>
  <c r="C153" i="109"/>
  <c r="C216" i="108"/>
  <c r="C232" i="109"/>
  <c r="C211" i="108"/>
  <c r="C148" i="109"/>
  <c r="C209" i="108"/>
  <c r="C226" i="108"/>
  <c r="C221" i="108"/>
  <c r="C219" i="108"/>
  <c r="K249" i="62"/>
  <c r="R87" i="63"/>
  <c r="C60" i="87" s="1"/>
  <c r="K264" i="62"/>
  <c r="K259" i="62"/>
  <c r="D635" i="108"/>
  <c r="C321" i="65"/>
  <c r="C174" i="65"/>
  <c r="D393" i="115"/>
  <c r="D392" i="108"/>
  <c r="D48" i="108"/>
  <c r="D536" i="108"/>
  <c r="D558" i="108"/>
  <c r="D549" i="108"/>
  <c r="D551" i="108"/>
  <c r="D402" i="108"/>
  <c r="C103" i="112"/>
  <c r="J368" i="62"/>
  <c r="D461" i="108"/>
  <c r="D614" i="108"/>
  <c r="D633" i="108"/>
  <c r="D634" i="108"/>
  <c r="D458" i="108"/>
  <c r="F479" i="87"/>
  <c r="D126" i="112" s="1"/>
  <c r="D61" i="116"/>
  <c r="F140" i="63"/>
  <c r="F141" i="63"/>
  <c r="D573" i="108" a="1"/>
  <c r="D573" i="108" s="1"/>
  <c r="I130" i="87"/>
  <c r="D47" i="109"/>
  <c r="D578" i="109"/>
  <c r="D62" i="113"/>
  <c r="L174" i="63"/>
  <c r="D391" i="108" s="1" a="1"/>
  <c r="D391" i="108" s="1"/>
  <c r="L173" i="63"/>
  <c r="B416" i="108" a="1"/>
  <c r="B428" i="108" s="1"/>
  <c r="D640" i="108"/>
  <c r="D626" i="108"/>
  <c r="B420" i="65"/>
  <c r="O27" i="87"/>
  <c r="I481" i="87"/>
  <c r="D222" i="112" s="1"/>
  <c r="I315" i="87"/>
  <c r="AD26" i="87"/>
  <c r="AA25" i="87"/>
  <c r="R28" i="87"/>
  <c r="I314" i="87"/>
  <c r="U39" i="87"/>
  <c r="U101" i="87" s="1"/>
  <c r="R25" i="87"/>
  <c r="O26" i="87"/>
  <c r="C54" i="108"/>
  <c r="D643" i="108"/>
  <c r="D598" i="108"/>
  <c r="D494" i="109"/>
  <c r="D568" i="108"/>
  <c r="D629" i="109"/>
  <c r="D586" i="109"/>
  <c r="D582" i="108" a="1"/>
  <c r="D582" i="108" s="1"/>
  <c r="D622" i="108"/>
  <c r="D369" i="109"/>
  <c r="X6" i="123"/>
  <c r="X5" i="123"/>
  <c r="D559" i="108"/>
  <c r="D490" i="109"/>
  <c r="F271" i="87"/>
  <c r="D92" i="112" s="1"/>
  <c r="D512" i="109"/>
  <c r="D571" i="108"/>
  <c r="D607" i="108"/>
  <c r="D554" i="109"/>
  <c r="X31" i="87"/>
  <c r="X25" i="87"/>
  <c r="O28" i="87"/>
  <c r="D125" i="109"/>
  <c r="F474" i="87"/>
  <c r="D121" i="112" s="1"/>
  <c r="AD25" i="87"/>
  <c r="U28" i="87"/>
  <c r="U27" i="87"/>
  <c r="R32" i="87"/>
  <c r="D629" i="108"/>
  <c r="AD27" i="87"/>
  <c r="O30" i="87"/>
  <c r="AA32" i="87"/>
  <c r="L28" i="87"/>
  <c r="AD30" i="87"/>
  <c r="R26" i="87"/>
  <c r="R27" i="87"/>
  <c r="L32" i="87"/>
  <c r="D589" i="109"/>
  <c r="O32" i="87"/>
  <c r="F471" i="87"/>
  <c r="D118" i="112" s="1"/>
  <c r="AA27" i="87"/>
  <c r="L25" i="87"/>
  <c r="D185" i="108"/>
  <c r="D452" i="108"/>
  <c r="L27" i="87"/>
  <c r="I398" i="87"/>
  <c r="C164" i="112" s="1" a="1"/>
  <c r="C164" i="112" s="1"/>
  <c r="O31" i="87"/>
  <c r="L31" i="87"/>
  <c r="U32" i="87"/>
  <c r="U31" i="87"/>
  <c r="L30" i="87"/>
  <c r="R31" i="87"/>
  <c r="X32" i="87"/>
  <c r="R30" i="87"/>
  <c r="AD32" i="87"/>
  <c r="U30" i="87"/>
  <c r="AD31" i="87"/>
  <c r="X30" i="87"/>
  <c r="AA30" i="87"/>
  <c r="D401" i="108"/>
  <c r="K183" i="62"/>
  <c r="C100" i="108" s="1"/>
  <c r="C321" i="108"/>
  <c r="C369" i="108" s="1"/>
  <c r="K254" i="62"/>
  <c r="C168" i="65"/>
  <c r="C51" i="119" s="1"/>
  <c r="K194" i="62"/>
  <c r="K75" i="62"/>
  <c r="C603" i="109"/>
  <c r="C609" i="109" s="1"/>
  <c r="C101" i="108"/>
  <c r="C130" i="108" s="1"/>
  <c r="C432" i="109"/>
  <c r="C156" i="108"/>
  <c r="C562" i="108"/>
  <c r="C590" i="108" s="1"/>
  <c r="F467" i="87"/>
  <c r="D114" i="112" s="1"/>
  <c r="O25" i="87"/>
  <c r="L26" i="87"/>
  <c r="AA26" i="87"/>
  <c r="U25" i="87"/>
  <c r="AA31" i="87"/>
  <c r="L39" i="87"/>
  <c r="L101" i="87" s="1"/>
  <c r="F473" i="87"/>
  <c r="D120" i="112" s="1"/>
  <c r="D615" i="108"/>
  <c r="J91" i="54"/>
  <c r="O39" i="87"/>
  <c r="O101" i="87" s="1"/>
  <c r="R39" i="87"/>
  <c r="R101" i="87" s="1"/>
  <c r="U26" i="87"/>
  <c r="X28" i="87"/>
  <c r="X54" i="87"/>
  <c r="AA28" i="87"/>
  <c r="AD28" i="87"/>
  <c r="E235" i="115"/>
  <c r="E234" i="115"/>
  <c r="E233" i="115"/>
  <c r="D400" i="108"/>
  <c r="D475" i="108"/>
  <c r="D504" i="109"/>
  <c r="F249" i="87"/>
  <c r="D81" i="112" s="1"/>
  <c r="D410" i="108"/>
  <c r="J377" i="62"/>
  <c r="D363" i="109"/>
  <c r="D493" i="108"/>
  <c r="C398" i="108"/>
  <c r="C201" i="63" s="1"/>
  <c r="D527" i="108"/>
  <c r="C338" i="109"/>
  <c r="C349" i="109" s="1"/>
  <c r="C434" i="108"/>
  <c r="K228" i="62"/>
  <c r="C234" i="108"/>
  <c r="C397" i="108"/>
  <c r="C200" i="63" s="1"/>
  <c r="C435" i="108"/>
  <c r="C591" i="109"/>
  <c r="C597" i="109" s="1"/>
  <c r="B18" i="123"/>
  <c r="AH7" i="87"/>
  <c r="C602" i="117" s="1"/>
  <c r="D556" i="108"/>
  <c r="K217" i="62"/>
  <c r="D41" i="108"/>
  <c r="C329" i="65"/>
  <c r="K76" i="62"/>
  <c r="K244" i="62"/>
  <c r="C493" i="108" s="1"/>
  <c r="C488" i="108"/>
  <c r="C526" i="108" s="1"/>
  <c r="C569" i="108"/>
  <c r="C574" i="108" s="1"/>
  <c r="C159" i="65"/>
  <c r="C220" i="65"/>
  <c r="C38" i="109"/>
  <c r="C579" i="109" s="1"/>
  <c r="C357" i="109"/>
  <c r="C185" i="85" s="1"/>
  <c r="C449" i="109"/>
  <c r="C507" i="109" s="1"/>
  <c r="C594" i="108"/>
  <c r="C222" i="65"/>
  <c r="D600" i="109"/>
  <c r="K68" i="62"/>
  <c r="C31" i="65"/>
  <c r="C173" i="65"/>
  <c r="C171" i="117" s="1"/>
  <c r="C537" i="109"/>
  <c r="C571" i="109" s="1"/>
  <c r="C182" i="115"/>
  <c r="C204" i="115"/>
  <c r="C193" i="115"/>
  <c r="K190" i="62"/>
  <c r="C406" i="108"/>
  <c r="C603" i="108"/>
  <c r="C82" i="65"/>
  <c r="C150" i="65" s="1"/>
  <c r="C178" i="65"/>
  <c r="C266" i="109"/>
  <c r="C322" i="109" s="1"/>
  <c r="C553" i="109"/>
  <c r="C546" i="109" s="1"/>
  <c r="C230" i="108"/>
  <c r="C383" i="108"/>
  <c r="C411" i="108" s="1"/>
  <c r="C392" i="109"/>
  <c r="B11" i="123"/>
  <c r="C103" i="127" s="1"/>
  <c r="AA35" i="63"/>
  <c r="AA36" i="63"/>
  <c r="C328" i="109" s="1"/>
  <c r="K182" i="62"/>
  <c r="C95" i="108"/>
  <c r="C596" i="108" s="1"/>
  <c r="C289" i="108"/>
  <c r="C505" i="108"/>
  <c r="C532" i="108" s="1"/>
  <c r="C583" i="108"/>
  <c r="C637" i="108" s="1"/>
  <c r="D9" i="115"/>
  <c r="D8" i="115" s="1"/>
  <c r="D13" i="115" s="1"/>
  <c r="E8" i="115"/>
  <c r="E9" i="115"/>
  <c r="I249" i="87"/>
  <c r="D200" i="112" s="1"/>
  <c r="D76" i="109"/>
  <c r="D137" i="108"/>
  <c r="D472" i="108"/>
  <c r="D401" i="109"/>
  <c r="D467" i="109"/>
  <c r="D496" i="108"/>
  <c r="I282" i="87"/>
  <c r="D599" i="109" s="1"/>
  <c r="AA23" i="63"/>
  <c r="J388" i="62"/>
  <c r="D608" i="109"/>
  <c r="D39" i="108"/>
  <c r="D49" i="108"/>
  <c r="D523" i="108"/>
  <c r="K206" i="62"/>
  <c r="C265" i="120" s="1"/>
  <c r="J391" i="62"/>
  <c r="C394" i="108"/>
  <c r="C471" i="108"/>
  <c r="C541" i="108" s="1"/>
  <c r="D526" i="108"/>
  <c r="D545" i="108"/>
  <c r="C221" i="65"/>
  <c r="C393" i="109"/>
  <c r="D525" i="109"/>
  <c r="C564" i="109"/>
  <c r="C618" i="109" s="1"/>
  <c r="AH8" i="87"/>
  <c r="AH10" i="87" s="1"/>
  <c r="AH18" i="87"/>
  <c r="F182" i="87"/>
  <c r="F187" i="87"/>
  <c r="C10" i="63"/>
  <c r="D511" i="108"/>
  <c r="D600" i="108"/>
  <c r="D482" i="109"/>
  <c r="D506" i="108"/>
  <c r="D592" i="108"/>
  <c r="D539" i="108"/>
  <c r="C23" i="65"/>
  <c r="D430" i="109"/>
  <c r="C466" i="109"/>
  <c r="C508" i="109" s="1"/>
  <c r="D604" i="108"/>
  <c r="D625" i="108"/>
  <c r="D433" i="109"/>
  <c r="F283" i="87"/>
  <c r="AA39" i="63"/>
  <c r="C65" i="95" s="1"/>
  <c r="D595" i="108"/>
  <c r="D70" i="85"/>
  <c r="D519" i="108"/>
  <c r="D631" i="108"/>
  <c r="D645" i="108"/>
  <c r="C317" i="65"/>
  <c r="C44" i="109"/>
  <c r="C73" i="109" s="1"/>
  <c r="C99" i="109"/>
  <c r="C577" i="109" s="1"/>
  <c r="D408" i="109"/>
  <c r="D556" i="109"/>
  <c r="C584" i="109"/>
  <c r="C140" i="115"/>
  <c r="B15" i="123"/>
  <c r="AA26" i="63"/>
  <c r="C82" i="75"/>
  <c r="D406" i="108"/>
  <c r="B415" i="65"/>
  <c r="B419" i="65"/>
  <c r="B410" i="65"/>
  <c r="B412" i="65"/>
  <c r="D444" i="108"/>
  <c r="D415" i="65"/>
  <c r="D417" i="65"/>
  <c r="B401" i="65"/>
  <c r="D406" i="65"/>
  <c r="D376" i="65"/>
  <c r="B418" i="65"/>
  <c r="D104" i="108"/>
  <c r="B399" i="65"/>
  <c r="I248" i="87"/>
  <c r="D199" i="112" s="1"/>
  <c r="F32" i="63"/>
  <c r="D204" i="112" s="1"/>
  <c r="D388" i="65"/>
  <c r="B396" i="65"/>
  <c r="I240" i="87"/>
  <c r="D191" i="112" s="1"/>
  <c r="I243" i="87"/>
  <c r="D194" i="112" s="1"/>
  <c r="B413" i="65"/>
  <c r="I244" i="87"/>
  <c r="D195" i="112" s="1"/>
  <c r="B414" i="65"/>
  <c r="D370" i="65"/>
  <c r="D416" i="65"/>
  <c r="X26" i="87"/>
  <c r="D80" i="109"/>
  <c r="D412" i="65"/>
  <c r="D394" i="108"/>
  <c r="D411" i="108"/>
  <c r="D401" i="65"/>
  <c r="D43" i="109"/>
  <c r="D414" i="65"/>
  <c r="D356" i="109"/>
  <c r="I238" i="87"/>
  <c r="D189" i="112" s="1"/>
  <c r="D421" i="65"/>
  <c r="B407" i="65"/>
  <c r="D407" i="65"/>
  <c r="D509" i="108"/>
  <c r="D133" i="108"/>
  <c r="D418" i="65"/>
  <c r="D413" i="65"/>
  <c r="D408" i="65"/>
  <c r="D52" i="109"/>
  <c r="D561" i="109"/>
  <c r="I239" i="87"/>
  <c r="D190" i="112" s="1"/>
  <c r="D228" i="65" a="1"/>
  <c r="D234" i="65" s="1"/>
  <c r="D419" i="65"/>
  <c r="E138" i="112"/>
  <c r="I234" i="87"/>
  <c r="D185" i="112" s="1"/>
  <c r="B417" i="65"/>
  <c r="D382" i="65"/>
  <c r="D409" i="65"/>
  <c r="I246" i="87"/>
  <c r="D197" i="112" s="1"/>
  <c r="D420" i="65"/>
  <c r="B416" i="65"/>
  <c r="I245" i="87"/>
  <c r="D196" i="112" s="1"/>
  <c r="D410" i="65"/>
  <c r="B421" i="65"/>
  <c r="B411" i="65"/>
  <c r="D78" i="109"/>
  <c r="D411" i="109"/>
  <c r="D500" i="108"/>
  <c r="D478" i="109"/>
  <c r="D517" i="108"/>
  <c r="D108" i="108"/>
  <c r="C49" i="63"/>
  <c r="D103" i="112" s="1" a="1"/>
  <c r="D103" i="112" s="1"/>
  <c r="O120" i="63"/>
  <c r="D318" i="75" s="1"/>
  <c r="C90" i="75"/>
  <c r="D399" i="65"/>
  <c r="AA34" i="63"/>
  <c r="D45" i="108"/>
  <c r="D473" i="109" a="1"/>
  <c r="D473" i="109" s="1"/>
  <c r="D496" i="109"/>
  <c r="C344" i="65"/>
  <c r="D415" i="109"/>
  <c r="D612" i="109"/>
  <c r="D40" i="108"/>
  <c r="D532" i="108"/>
  <c r="D565" i="109"/>
  <c r="D588" i="109"/>
  <c r="D585" i="109"/>
  <c r="D606" i="109"/>
  <c r="C53" i="87"/>
  <c r="R84" i="63"/>
  <c r="D94" i="112" s="1"/>
  <c r="C47" i="63"/>
  <c r="D543" i="108" s="1"/>
  <c r="D537" i="108"/>
  <c r="D605" i="108"/>
  <c r="D531" i="109"/>
  <c r="D575" i="109"/>
  <c r="D618" i="109"/>
  <c r="AA20" i="63"/>
  <c r="D43" i="108"/>
  <c r="D489" i="108"/>
  <c r="D575" i="108"/>
  <c r="D436" i="109"/>
  <c r="D536" i="109"/>
  <c r="O116" i="63"/>
  <c r="D331" i="75" s="1"/>
  <c r="O118" i="63"/>
  <c r="D334" i="75" s="1"/>
  <c r="J374" i="62"/>
  <c r="D38" i="108"/>
  <c r="D547" i="108"/>
  <c r="D596" i="108"/>
  <c r="D613" i="108"/>
  <c r="B398" i="65"/>
  <c r="D493" i="109"/>
  <c r="D577" i="108"/>
  <c r="D499" i="109"/>
  <c r="D364" i="109"/>
  <c r="D407" i="108"/>
  <c r="F36" i="63"/>
  <c r="D208" i="112" s="1"/>
  <c r="D534" i="108"/>
  <c r="D400" i="65"/>
  <c r="D495" i="109"/>
  <c r="C77" i="120"/>
  <c r="C361" i="120" s="1"/>
  <c r="D389" i="115" a="1"/>
  <c r="D389" i="115" s="1"/>
  <c r="D278" i="120"/>
  <c r="AA27" i="63"/>
  <c r="F7" i="120" s="1"/>
  <c r="AA29" i="63"/>
  <c r="C378" i="108" s="1"/>
  <c r="C62" i="113" s="1"/>
  <c r="D497" i="109"/>
  <c r="D361" i="120"/>
  <c r="C448" i="75"/>
  <c r="AA40" i="63"/>
  <c r="AA42" i="63"/>
  <c r="D398" i="65"/>
  <c r="AA22" i="63"/>
  <c r="AA28" i="63"/>
  <c r="C354" i="115" s="1"/>
  <c r="AA31" i="63"/>
  <c r="C63" i="127" s="1"/>
  <c r="AA33" i="63"/>
  <c r="AA37" i="63"/>
  <c r="C329" i="109" s="1"/>
  <c r="C60" i="116" s="1"/>
  <c r="I224" i="63"/>
  <c r="C28" i="75"/>
  <c r="D618" i="108"/>
  <c r="D627" i="108"/>
  <c r="C35" i="87"/>
  <c r="AA24" i="63"/>
  <c r="C45" i="75"/>
  <c r="D510" i="108"/>
  <c r="D444" i="109"/>
  <c r="D437" i="109"/>
  <c r="D464" i="109"/>
  <c r="D492" i="108"/>
  <c r="D453" i="109"/>
  <c r="F237" i="87"/>
  <c r="D69" i="112" s="1"/>
  <c r="D490" i="108"/>
  <c r="D100" i="108"/>
  <c r="J387" i="62"/>
  <c r="J392" i="62"/>
  <c r="D454" i="108"/>
  <c r="D476" i="108"/>
  <c r="C33" i="87"/>
  <c r="C44" i="87"/>
  <c r="F242" i="87"/>
  <c r="D74" i="112" s="1"/>
  <c r="D580" i="108"/>
  <c r="D129" i="108"/>
  <c r="D409" i="108"/>
  <c r="D469" i="108"/>
  <c r="D367" i="109"/>
  <c r="F12" i="112" a="1"/>
  <c r="F12" i="112" s="1"/>
  <c r="D109" i="108"/>
  <c r="D405" i="108"/>
  <c r="D454" i="109"/>
  <c r="D468" i="109"/>
  <c r="D486" i="109"/>
  <c r="F14" i="112" a="1"/>
  <c r="F14" i="112" s="1"/>
  <c r="L353" i="62"/>
  <c r="D451" i="108"/>
  <c r="D486" i="108"/>
  <c r="D481" i="109"/>
  <c r="J390" i="62"/>
  <c r="D503" i="108"/>
  <c r="D561" i="108"/>
  <c r="D451" i="109"/>
  <c r="M354" i="62"/>
  <c r="D473" i="108"/>
  <c r="D463" i="109"/>
  <c r="L347" i="62"/>
  <c r="D507" i="108"/>
  <c r="C56" i="87"/>
  <c r="L359" i="62"/>
  <c r="D483" i="108"/>
  <c r="D520" i="108"/>
  <c r="D480" i="109"/>
  <c r="C37" i="87"/>
  <c r="D584" i="108"/>
  <c r="D449" i="108"/>
  <c r="D447" i="109"/>
  <c r="C38" i="87"/>
  <c r="U36" i="63"/>
  <c r="F235" i="87"/>
  <c r="D67" i="112" s="1"/>
  <c r="O53" i="63"/>
  <c r="L336" i="62"/>
  <c r="J393" i="62"/>
  <c r="D136" i="108"/>
  <c r="C40" i="63"/>
  <c r="D88" i="112" s="1"/>
  <c r="C55" i="87"/>
  <c r="F247" i="87"/>
  <c r="D79" i="112" s="1"/>
  <c r="L349" i="62"/>
  <c r="L355" i="62"/>
  <c r="J395" i="62" a="1"/>
  <c r="J410" i="62" s="1"/>
  <c r="E335" i="108"/>
  <c r="C43" i="63"/>
  <c r="D91" i="112" s="1"/>
  <c r="F245" i="87"/>
  <c r="D77" i="112" s="1"/>
  <c r="D479" i="109"/>
  <c r="F239" i="87"/>
  <c r="D71" i="112" s="1"/>
  <c r="F244" i="87"/>
  <c r="D76" i="112" s="1"/>
  <c r="D621" i="108"/>
  <c r="D641" i="108"/>
  <c r="E377" i="108"/>
  <c r="D632" i="108"/>
  <c r="F472" i="87"/>
  <c r="D119" i="112" s="1"/>
  <c r="D187" i="108"/>
  <c r="E383" i="65"/>
  <c r="F478" i="87"/>
  <c r="D125" i="112" s="1"/>
  <c r="D181" i="108"/>
  <c r="D495" i="108"/>
  <c r="D512" i="108"/>
  <c r="D533" i="108"/>
  <c r="D609" i="108"/>
  <c r="D619" i="108"/>
  <c r="M104" i="62"/>
  <c r="D176" i="108"/>
  <c r="D608" i="108"/>
  <c r="D628" i="108"/>
  <c r="F311" i="87"/>
  <c r="E39" i="112" s="1"/>
  <c r="F476" i="87"/>
  <c r="D123" i="112" s="1"/>
  <c r="E43" i="108"/>
  <c r="D623" i="108"/>
  <c r="D150" i="108"/>
  <c r="D624" i="108"/>
  <c r="F469" i="87"/>
  <c r="D116" i="112" s="1"/>
  <c r="F477" i="87"/>
  <c r="D124" i="112" s="1"/>
  <c r="D630" i="108"/>
  <c r="F470" i="87"/>
  <c r="D117" i="112" s="1"/>
  <c r="D180" i="108"/>
  <c r="F310" i="87"/>
  <c r="D67" i="113" s="1"/>
  <c r="F480" i="87"/>
  <c r="D127" i="112" s="1"/>
  <c r="F468" i="87"/>
  <c r="D115" i="112" s="1"/>
  <c r="F475" i="87"/>
  <c r="D122" i="112" s="1"/>
  <c r="B399" i="115" a="1"/>
  <c r="B401" i="115" s="1"/>
  <c r="D428" i="115"/>
  <c r="D350" i="115"/>
  <c r="D394" i="115"/>
  <c r="D388" i="115" a="1"/>
  <c r="D388" i="115" s="1"/>
  <c r="D374" i="115" a="1"/>
  <c r="D374" i="115" s="1"/>
  <c r="I233" i="63"/>
  <c r="D369" i="115"/>
  <c r="D153" i="115" a="1"/>
  <c r="D162" i="115" s="1"/>
  <c r="D387" i="115"/>
  <c r="D442" i="115" a="1"/>
  <c r="D442" i="115" s="1"/>
  <c r="I21" i="63"/>
  <c r="C188" i="115"/>
  <c r="D610" i="109"/>
  <c r="D92" i="109"/>
  <c r="D529" i="109"/>
  <c r="D598" i="109"/>
  <c r="D619" i="109"/>
  <c r="D620" i="109"/>
  <c r="D121" i="109"/>
  <c r="D594" i="109"/>
  <c r="D615" i="109"/>
  <c r="I489" i="87"/>
  <c r="D230" i="112" s="1"/>
  <c r="I485" i="87"/>
  <c r="D226" i="112" s="1"/>
  <c r="B374" i="109" a="1"/>
  <c r="B383" i="109" s="1"/>
  <c r="D596" i="109"/>
  <c r="D128" i="109"/>
  <c r="D621" i="109"/>
  <c r="D424" i="109"/>
  <c r="D455" i="109" a="1"/>
  <c r="D455" i="109" s="1"/>
  <c r="F40" i="63"/>
  <c r="D508" i="109" s="1"/>
  <c r="D601" i="109"/>
  <c r="D593" i="109"/>
  <c r="I482" i="87"/>
  <c r="D223" i="112" s="1"/>
  <c r="F62" i="63"/>
  <c r="D604" i="109"/>
  <c r="D126" i="109"/>
  <c r="D595" i="109"/>
  <c r="D602" i="109"/>
  <c r="I272" i="87"/>
  <c r="D552" i="109"/>
  <c r="D563" i="109"/>
  <c r="D412" i="109"/>
  <c r="I484" i="87"/>
  <c r="D225" i="112" s="1"/>
  <c r="I478" i="87"/>
  <c r="D219" i="112" s="1"/>
  <c r="D123" i="109"/>
  <c r="D457" i="109" a="1"/>
  <c r="D457" i="109" s="1"/>
  <c r="D613" i="109"/>
  <c r="I479" i="87"/>
  <c r="D220" i="112" s="1"/>
  <c r="D130" i="109"/>
  <c r="D347" i="109"/>
  <c r="D418" i="109"/>
  <c r="D518" i="109"/>
  <c r="D545" i="109"/>
  <c r="D590" i="109"/>
  <c r="I486" i="87"/>
  <c r="D227" i="112" s="1"/>
  <c r="D402" i="109"/>
  <c r="D522" i="109"/>
  <c r="D550" i="109"/>
  <c r="I480" i="87"/>
  <c r="D221" i="112" s="1"/>
  <c r="I488" i="87"/>
  <c r="D229" i="112" s="1"/>
  <c r="E415" i="115"/>
  <c r="C11" i="63"/>
  <c r="M3" i="106" s="1"/>
  <c r="C439" i="75"/>
  <c r="C436" i="75"/>
  <c r="C388" i="75"/>
  <c r="C385" i="75"/>
  <c r="C25" i="87"/>
  <c r="E45" i="112"/>
  <c r="D130" i="113"/>
  <c r="E20" i="112"/>
  <c r="F331" i="87"/>
  <c r="F48" i="87"/>
  <c r="F63" i="87"/>
  <c r="I348" i="87"/>
  <c r="D93" i="109"/>
  <c r="D109" i="85"/>
  <c r="D99" i="86"/>
  <c r="C11" i="112"/>
  <c r="C12" i="112"/>
  <c r="D371" i="120"/>
  <c r="F389" i="87"/>
  <c r="C37" i="112" s="1"/>
  <c r="C164" i="86"/>
  <c r="C208" i="85"/>
  <c r="C221" i="119"/>
  <c r="C239" i="119"/>
  <c r="C250" i="119"/>
  <c r="C227" i="119"/>
  <c r="C531" i="75"/>
  <c r="D11" i="109"/>
  <c r="E21" i="109" s="1"/>
  <c r="E48" i="108"/>
  <c r="E34" i="108"/>
  <c r="E59" i="108"/>
  <c r="C464" i="75"/>
  <c r="C410" i="75"/>
  <c r="C413" i="75"/>
  <c r="C461" i="75"/>
  <c r="D47" i="116"/>
  <c r="D135" i="112"/>
  <c r="D10" i="116"/>
  <c r="D12" i="112"/>
  <c r="AD8" i="63"/>
  <c r="E139" i="112"/>
  <c r="D390" i="65"/>
  <c r="I42" i="87"/>
  <c r="F139" i="112" s="1"/>
  <c r="I57" i="87"/>
  <c r="E142" i="112"/>
  <c r="I46" i="87"/>
  <c r="I61" i="87"/>
  <c r="I347" i="87" s="1"/>
  <c r="E68" i="108"/>
  <c r="D136" i="112"/>
  <c r="AD27" i="63"/>
  <c r="M16" i="106"/>
  <c r="M17" i="106"/>
  <c r="D389" i="65"/>
  <c r="E140" i="112"/>
  <c r="I49" i="87"/>
  <c r="F140" i="112" s="1"/>
  <c r="E38" i="108"/>
  <c r="E53" i="108"/>
  <c r="E280" i="109"/>
  <c r="E142" i="115"/>
  <c r="D346" i="115"/>
  <c r="D139" i="115"/>
  <c r="F137" i="112"/>
  <c r="X27" i="87"/>
  <c r="E17" i="112"/>
  <c r="F45" i="87"/>
  <c r="F17" i="112" s="1" a="1"/>
  <c r="F17" i="112" s="1"/>
  <c r="F328" i="87"/>
  <c r="B112" i="116"/>
  <c r="F39" i="63"/>
  <c r="D507" i="109" s="1"/>
  <c r="D530" i="109"/>
  <c r="C137" i="112"/>
  <c r="D175" i="85"/>
  <c r="D174" i="85"/>
  <c r="D191" i="85"/>
  <c r="I396" i="87"/>
  <c r="C162" i="112" s="1"/>
  <c r="M18" i="106"/>
  <c r="H91" i="54"/>
  <c r="C56" i="112"/>
  <c r="G43" i="112"/>
  <c r="C42" i="112"/>
  <c r="C54" i="112"/>
  <c r="H44" i="112"/>
  <c r="E43" i="112"/>
  <c r="H61" i="112"/>
  <c r="D61" i="112"/>
  <c r="E42" i="112"/>
  <c r="H40" i="112"/>
  <c r="C53" i="112"/>
  <c r="C52" i="112"/>
  <c r="C51" i="112"/>
  <c r="H43" i="112"/>
  <c r="E23" i="116"/>
  <c r="C50" i="112"/>
  <c r="H36" i="112"/>
  <c r="G36" i="112"/>
  <c r="G61" i="112"/>
  <c r="F36" i="112"/>
  <c r="E22" i="116"/>
  <c r="F61" i="112"/>
  <c r="H42" i="112"/>
  <c r="E36" i="112"/>
  <c r="E61" i="112"/>
  <c r="G44" i="112"/>
  <c r="G42" i="112"/>
  <c r="D36" i="112"/>
  <c r="F42" i="112"/>
  <c r="D42" i="112"/>
  <c r="C36" i="112"/>
  <c r="C61" i="112"/>
  <c r="E23" i="113"/>
  <c r="C55" i="112"/>
  <c r="E22" i="113"/>
  <c r="E44" i="112"/>
  <c r="E606" i="117"/>
  <c r="E141" i="117"/>
  <c r="E560" i="120"/>
  <c r="E420" i="117"/>
  <c r="E513" i="117"/>
  <c r="E48" i="117"/>
  <c r="E552" i="120"/>
  <c r="E528" i="120"/>
  <c r="E327" i="117"/>
  <c r="E234" i="117"/>
  <c r="E536" i="120"/>
  <c r="E544" i="120"/>
  <c r="E512" i="120"/>
  <c r="E520" i="120"/>
  <c r="E296" i="109"/>
  <c r="E395" i="109"/>
  <c r="E329" i="109"/>
  <c r="E288" i="109"/>
  <c r="E343" i="108"/>
  <c r="G91" i="54"/>
  <c r="C113" i="113"/>
  <c r="C26" i="113"/>
  <c r="C644" i="108"/>
  <c r="C411" i="75"/>
  <c r="C462" i="75"/>
  <c r="C463" i="75"/>
  <c r="C412" i="75"/>
  <c r="D327" i="75" a="1"/>
  <c r="D327" i="75" s="1"/>
  <c r="D250" i="75" a="1"/>
  <c r="D250" i="75" s="1"/>
  <c r="D346" i="75" a="1"/>
  <c r="D346" i="75" s="1"/>
  <c r="D267" i="75" a="1"/>
  <c r="D267" i="75" s="1"/>
  <c r="AA48" i="63"/>
  <c r="AA56" i="63"/>
  <c r="AA54" i="63"/>
  <c r="I64" i="87"/>
  <c r="H12" i="112"/>
  <c r="AD23" i="63"/>
  <c r="H137" i="112"/>
  <c r="D179" i="85"/>
  <c r="D378" i="65"/>
  <c r="H138" i="112"/>
  <c r="D384" i="65"/>
  <c r="D209" i="112"/>
  <c r="B114" i="116"/>
  <c r="E210" i="112"/>
  <c r="D119" i="116"/>
  <c r="D38" i="116"/>
  <c r="D37" i="112"/>
  <c r="AE8" i="63"/>
  <c r="C218" i="112"/>
  <c r="D352" i="120"/>
  <c r="C95" i="112"/>
  <c r="R85" i="63"/>
  <c r="D95" i="112" s="1"/>
  <c r="D268" i="75" a="1"/>
  <c r="D268" i="75" s="1"/>
  <c r="D347" i="75" a="1"/>
  <c r="D347" i="75" s="1"/>
  <c r="D328" i="75" a="1"/>
  <c r="D328" i="75" s="1"/>
  <c r="D251" i="75" a="1"/>
  <c r="D251" i="75" s="1"/>
  <c r="D283" i="120"/>
  <c r="D280" i="120"/>
  <c r="E19" i="112"/>
  <c r="E144" i="112"/>
  <c r="D108" i="116"/>
  <c r="F136" i="112"/>
  <c r="AA54" i="87"/>
  <c r="C136" i="112"/>
  <c r="D190" i="85"/>
  <c r="D189" i="85"/>
  <c r="D165" i="85"/>
  <c r="D164" i="85"/>
  <c r="D192" i="85"/>
  <c r="D234" i="120"/>
  <c r="C187" i="112"/>
  <c r="D336" i="120"/>
  <c r="D36" i="113"/>
  <c r="D138" i="113"/>
  <c r="D142" i="113"/>
  <c r="D40" i="113"/>
  <c r="D84" i="116"/>
  <c r="E164" i="112"/>
  <c r="F163" i="112"/>
  <c r="G161" i="112"/>
  <c r="AE39" i="63"/>
  <c r="F391" i="87"/>
  <c r="C39" i="112" s="1"/>
  <c r="I400" i="87"/>
  <c r="C166" i="112" s="1" a="1"/>
  <c r="C166" i="112" s="1"/>
  <c r="E113" i="112"/>
  <c r="D96" i="113"/>
  <c r="D105" i="113"/>
  <c r="E122" i="112"/>
  <c r="E127" i="112"/>
  <c r="D110" i="113"/>
  <c r="C113" i="112"/>
  <c r="B96" i="113" a="1"/>
  <c r="B193" i="75" a="1"/>
  <c r="AE19" i="63"/>
  <c r="C205" i="112"/>
  <c r="D205" i="112"/>
  <c r="B111" i="116"/>
  <c r="B110" i="116"/>
  <c r="F38" i="63"/>
  <c r="D506" i="109" s="1"/>
  <c r="C210" i="112"/>
  <c r="B38" i="116"/>
  <c r="D48" i="113"/>
  <c r="D11" i="112"/>
  <c r="D102" i="116"/>
  <c r="D124" i="113"/>
  <c r="D10" i="113"/>
  <c r="E18" i="112"/>
  <c r="E143" i="112"/>
  <c r="AD54" i="87"/>
  <c r="C31" i="112"/>
  <c r="D119" i="113"/>
  <c r="D32" i="113"/>
  <c r="F243" i="87"/>
  <c r="D75" i="112" s="1"/>
  <c r="D35" i="116"/>
  <c r="D116" i="116"/>
  <c r="D140" i="113"/>
  <c r="D38" i="113"/>
  <c r="D120" i="116"/>
  <c r="D39" i="116"/>
  <c r="D65" i="113"/>
  <c r="D38" i="112"/>
  <c r="E37" i="112"/>
  <c r="AE15" i="63"/>
  <c r="E114" i="112"/>
  <c r="D97" i="113"/>
  <c r="C207" i="112"/>
  <c r="F35" i="63"/>
  <c r="D207" i="112" s="1"/>
  <c r="D138" i="85"/>
  <c r="D45" i="85"/>
  <c r="C87" i="112"/>
  <c r="D94" i="86"/>
  <c r="D104" i="85"/>
  <c r="D46" i="86"/>
  <c r="D124" i="86"/>
  <c r="D50" i="85"/>
  <c r="D133" i="86"/>
  <c r="D57" i="85"/>
  <c r="D365" i="120"/>
  <c r="D360" i="120"/>
  <c r="D97" i="120"/>
  <c r="D304" i="75"/>
  <c r="D279" i="75"/>
  <c r="D406" i="75"/>
  <c r="D381" i="75"/>
  <c r="D457" i="75"/>
  <c r="D84" i="75"/>
  <c r="D432" i="75"/>
  <c r="D248" i="75" a="1"/>
  <c r="D248" i="75" s="1"/>
  <c r="D348" i="75"/>
  <c r="D265" i="75"/>
  <c r="D54" i="75"/>
  <c r="O117" i="63"/>
  <c r="C30" i="112"/>
  <c r="D118" i="113"/>
  <c r="D31" i="113"/>
  <c r="C155" i="112"/>
  <c r="C180" i="112"/>
  <c r="D97" i="116"/>
  <c r="D31" i="116"/>
  <c r="C188" i="112"/>
  <c r="D339" i="120"/>
  <c r="D118" i="116"/>
  <c r="D37" i="116"/>
  <c r="D143" i="113"/>
  <c r="D41" i="113"/>
  <c r="D162" i="112"/>
  <c r="D64" i="116"/>
  <c r="G162" i="112"/>
  <c r="D65" i="116"/>
  <c r="F394" i="87"/>
  <c r="C43" i="112" s="1"/>
  <c r="I401" i="87"/>
  <c r="C167" i="112" s="1" a="1"/>
  <c r="C167" i="112" s="1"/>
  <c r="E115" i="112"/>
  <c r="D98" i="113"/>
  <c r="E123" i="112"/>
  <c r="D106" i="113"/>
  <c r="E128" i="112"/>
  <c r="D111" i="113"/>
  <c r="AE35" i="63"/>
  <c r="AD44" i="63"/>
  <c r="D242" i="120"/>
  <c r="D104" i="116"/>
  <c r="D62" i="116"/>
  <c r="D351" i="75"/>
  <c r="D330" i="75"/>
  <c r="D291" i="75"/>
  <c r="D275" i="75"/>
  <c r="D348" i="120" a="1"/>
  <c r="D348" i="120" s="1"/>
  <c r="D338" i="120" a="1"/>
  <c r="D338" i="120" s="1"/>
  <c r="D351" i="120" a="1"/>
  <c r="D351" i="120" s="1"/>
  <c r="D341" i="120" a="1"/>
  <c r="D341" i="120" s="1"/>
  <c r="D332" i="120" a="1"/>
  <c r="D332" i="120" s="1"/>
  <c r="D354" i="120" a="1"/>
  <c r="D354" i="120" s="1"/>
  <c r="D345" i="120" a="1"/>
  <c r="D345" i="120" s="1"/>
  <c r="D285" i="120" a="1"/>
  <c r="D285" i="120" s="1"/>
  <c r="D335" i="120" a="1"/>
  <c r="D335" i="120" s="1"/>
  <c r="E12" i="112"/>
  <c r="D382" i="120"/>
  <c r="AD15" i="63"/>
  <c r="E141" i="112"/>
  <c r="D104" i="86"/>
  <c r="I60" i="87"/>
  <c r="I346" i="87" s="1"/>
  <c r="D126" i="113"/>
  <c r="H11" i="112"/>
  <c r="D50" i="113"/>
  <c r="D12" i="113"/>
  <c r="D115" i="85"/>
  <c r="G12" i="112"/>
  <c r="D105" i="86"/>
  <c r="G137" i="112"/>
  <c r="D178" i="85"/>
  <c r="C29" i="112"/>
  <c r="D117" i="113"/>
  <c r="D30" i="113"/>
  <c r="D96" i="116"/>
  <c r="C154" i="112"/>
  <c r="C179" i="112"/>
  <c r="D30" i="116"/>
  <c r="F241" i="87"/>
  <c r="D73" i="112" s="1"/>
  <c r="I242" i="87"/>
  <c r="D193" i="112" s="1"/>
  <c r="D121" i="116"/>
  <c r="D40" i="116"/>
  <c r="F329" i="87"/>
  <c r="F43" i="112" s="1"/>
  <c r="F337" i="87"/>
  <c r="F395" i="87"/>
  <c r="D99" i="113"/>
  <c r="E116" i="112"/>
  <c r="C215" i="112"/>
  <c r="B310" i="120" a="1"/>
  <c r="D343" i="120"/>
  <c r="C228" i="112"/>
  <c r="I487" i="87"/>
  <c r="D228" i="112" s="1"/>
  <c r="AE27" i="63"/>
  <c r="E100" i="112"/>
  <c r="D189" i="120"/>
  <c r="AE44" i="63"/>
  <c r="D276" i="120"/>
  <c r="D229" i="120"/>
  <c r="D290" i="120"/>
  <c r="D232" i="120"/>
  <c r="C93" i="112"/>
  <c r="B39" i="113"/>
  <c r="D411" i="65"/>
  <c r="D17" i="112"/>
  <c r="D14" i="113"/>
  <c r="D18" i="112"/>
  <c r="D18" i="113"/>
  <c r="D19" i="112"/>
  <c r="D22" i="113"/>
  <c r="D45" i="112"/>
  <c r="D128" i="113"/>
  <c r="D20" i="112"/>
  <c r="E135" i="112"/>
  <c r="E136" i="112"/>
  <c r="D281" i="120"/>
  <c r="D244" i="120"/>
  <c r="D12" i="116"/>
  <c r="H135" i="112"/>
  <c r="D49" i="116"/>
  <c r="H19" i="112"/>
  <c r="D24" i="113"/>
  <c r="D125" i="113"/>
  <c r="D103" i="116"/>
  <c r="D11" i="113"/>
  <c r="G11" i="112"/>
  <c r="D49" i="113"/>
  <c r="D377" i="120"/>
  <c r="G136" i="112"/>
  <c r="D168" i="85"/>
  <c r="AD39" i="63"/>
  <c r="D282" i="120"/>
  <c r="G20" i="112"/>
  <c r="D129" i="113"/>
  <c r="C28" i="112"/>
  <c r="D29" i="113"/>
  <c r="D116" i="113"/>
  <c r="C178" i="112"/>
  <c r="C153" i="112"/>
  <c r="D29" i="116"/>
  <c r="D95" i="116"/>
  <c r="F240" i="87"/>
  <c r="D72" i="112" s="1"/>
  <c r="I241" i="87"/>
  <c r="D192" i="112" s="1"/>
  <c r="D136" i="113"/>
  <c r="D34" i="113"/>
  <c r="E92" i="112"/>
  <c r="D144" i="113"/>
  <c r="D42" i="113"/>
  <c r="D39" i="112"/>
  <c r="D72" i="113"/>
  <c r="I343" i="87"/>
  <c r="G163" i="112"/>
  <c r="D71" i="116"/>
  <c r="D66" i="116"/>
  <c r="H162" i="112"/>
  <c r="I395" i="87"/>
  <c r="C161" i="112" s="1"/>
  <c r="E117" i="112"/>
  <c r="D100" i="113"/>
  <c r="D107" i="113"/>
  <c r="E124" i="112"/>
  <c r="D115" i="86"/>
  <c r="D142" i="86"/>
  <c r="E204" i="112"/>
  <c r="AE23" i="63"/>
  <c r="D123" i="85"/>
  <c r="D197" i="85"/>
  <c r="D63" i="85"/>
  <c r="D183" i="85"/>
  <c r="D129" i="85"/>
  <c r="D154" i="85"/>
  <c r="D173" i="85"/>
  <c r="C204" i="112"/>
  <c r="D163" i="85"/>
  <c r="D161" i="85"/>
  <c r="D412" i="120"/>
  <c r="D395" i="120"/>
  <c r="D257" i="120"/>
  <c r="D228" i="120"/>
  <c r="D402" i="120"/>
  <c r="D264" i="120"/>
  <c r="D392" i="120"/>
  <c r="D254" i="120"/>
  <c r="D223" i="120"/>
  <c r="D289" i="120"/>
  <c r="D275" i="120"/>
  <c r="D413" i="120"/>
  <c r="C209" i="112"/>
  <c r="B33" i="116"/>
  <c r="D517" i="75"/>
  <c r="D518" i="75"/>
  <c r="D488" i="75"/>
  <c r="D117" i="85"/>
  <c r="D171" i="85"/>
  <c r="D51" i="85"/>
  <c r="D240" i="120"/>
  <c r="D379" i="120"/>
  <c r="D378" i="120"/>
  <c r="D241" i="120"/>
  <c r="R123" i="63"/>
  <c r="D418" i="120"/>
  <c r="D415" i="120"/>
  <c r="C91" i="116"/>
  <c r="C25" i="116"/>
  <c r="D591" i="109"/>
  <c r="D177" i="120"/>
  <c r="D111" i="120"/>
  <c r="D183" i="120"/>
  <c r="D154" i="120"/>
  <c r="D162" i="120"/>
  <c r="D135" i="120"/>
  <c r="D123" i="120"/>
  <c r="D196" i="120"/>
  <c r="D141" i="120"/>
  <c r="D129" i="120"/>
  <c r="D203" i="120"/>
  <c r="D141" i="112"/>
  <c r="D14" i="116"/>
  <c r="D18" i="116"/>
  <c r="D142" i="112"/>
  <c r="D143" i="112"/>
  <c r="D22" i="116"/>
  <c r="D106" i="116"/>
  <c r="D144" i="112"/>
  <c r="F15" i="112" a="1"/>
  <c r="F15" i="112" s="1"/>
  <c r="F46" i="87"/>
  <c r="F18" i="112" s="1" a="1"/>
  <c r="F18" i="112" s="1"/>
  <c r="F47" i="87"/>
  <c r="F19" i="112" s="1"/>
  <c r="H18" i="112"/>
  <c r="D20" i="113"/>
  <c r="G135" i="112"/>
  <c r="D48" i="116"/>
  <c r="D239" i="120"/>
  <c r="G19" i="112"/>
  <c r="D23" i="113"/>
  <c r="G144" i="112"/>
  <c r="D107" i="116"/>
  <c r="C27" i="112"/>
  <c r="D28" i="113"/>
  <c r="D115" i="113"/>
  <c r="D28" i="116"/>
  <c r="C152" i="112"/>
  <c r="D94" i="116"/>
  <c r="C177" i="112"/>
  <c r="F236" i="87"/>
  <c r="D68" i="112" s="1"/>
  <c r="C66" i="112"/>
  <c r="B176" i="75" a="1"/>
  <c r="E209" i="112"/>
  <c r="D114" i="116"/>
  <c r="D33" i="116"/>
  <c r="D122" i="116"/>
  <c r="D41" i="116"/>
  <c r="D163" i="112"/>
  <c r="D70" i="116"/>
  <c r="F330" i="87"/>
  <c r="G38" i="112"/>
  <c r="D66" i="113"/>
  <c r="H163" i="112"/>
  <c r="D72" i="116"/>
  <c r="D101" i="113"/>
  <c r="E118" i="112"/>
  <c r="C216" i="112"/>
  <c r="D346" i="120"/>
  <c r="C86" i="112"/>
  <c r="D40" i="95"/>
  <c r="C90" i="112"/>
  <c r="C42" i="63"/>
  <c r="D90" i="112" s="1"/>
  <c r="B133" i="113"/>
  <c r="B132" i="113"/>
  <c r="C45" i="63"/>
  <c r="D541" i="108" s="1"/>
  <c r="D61" i="75"/>
  <c r="O119" i="63"/>
  <c r="R127" i="63"/>
  <c r="D136" i="86"/>
  <c r="D129" i="86"/>
  <c r="F11" i="112" a="1"/>
  <c r="F11" i="112" s="1"/>
  <c r="I45" i="87"/>
  <c r="I47" i="87"/>
  <c r="I48" i="87"/>
  <c r="H17" i="112"/>
  <c r="D16" i="113"/>
  <c r="H142" i="112"/>
  <c r="D20" i="116"/>
  <c r="D19" i="113"/>
  <c r="G18" i="112"/>
  <c r="G143" i="112"/>
  <c r="D23" i="116"/>
  <c r="G140" i="112"/>
  <c r="D353" i="120"/>
  <c r="D331" i="120"/>
  <c r="D344" i="120"/>
  <c r="D284" i="120"/>
  <c r="D334" i="120"/>
  <c r="D347" i="120"/>
  <c r="D337" i="120"/>
  <c r="D350" i="120"/>
  <c r="D340" i="120"/>
  <c r="C26" i="112"/>
  <c r="D114" i="113"/>
  <c r="D27" i="113"/>
  <c r="C176" i="112"/>
  <c r="C151" i="112"/>
  <c r="D27" i="116"/>
  <c r="D93" i="116"/>
  <c r="I236" i="87"/>
  <c r="D187" i="112" s="1"/>
  <c r="F238" i="87"/>
  <c r="D70" i="112" s="1"/>
  <c r="F248" i="87"/>
  <c r="D80" i="112" s="1"/>
  <c r="C185" i="112"/>
  <c r="B293" i="120" a="1"/>
  <c r="D330" i="120"/>
  <c r="D139" i="113"/>
  <c r="D37" i="113"/>
  <c r="D145" i="113"/>
  <c r="D43" i="113"/>
  <c r="D40" i="112"/>
  <c r="D86" i="113"/>
  <c r="E162" i="112"/>
  <c r="I325" i="87"/>
  <c r="F161" i="112" s="1" a="1"/>
  <c r="F161" i="112" s="1"/>
  <c r="D83" i="116"/>
  <c r="G164" i="112"/>
  <c r="H38" i="112"/>
  <c r="D68" i="113"/>
  <c r="I380" i="87"/>
  <c r="H165" i="112" s="1"/>
  <c r="E119" i="112"/>
  <c r="D102" i="113"/>
  <c r="E125" i="112"/>
  <c r="D108" i="113"/>
  <c r="C128" i="112"/>
  <c r="F481" i="87"/>
  <c r="D128" i="112" s="1"/>
  <c r="D55" i="113"/>
  <c r="D54" i="113"/>
  <c r="D126" i="85"/>
  <c r="C206" i="112"/>
  <c r="C98" i="112"/>
  <c r="R45" i="63"/>
  <c r="D98" i="112" s="1"/>
  <c r="D450" i="75"/>
  <c r="D374" i="75"/>
  <c r="D425" i="75"/>
  <c r="D399" i="75"/>
  <c r="D341" i="75"/>
  <c r="D220" i="75"/>
  <c r="D323" i="75"/>
  <c r="D103" i="120"/>
  <c r="C97" i="112"/>
  <c r="D208" i="85"/>
  <c r="D164" i="86"/>
  <c r="R83" i="63"/>
  <c r="D97" i="112" s="1"/>
  <c r="C96" i="112"/>
  <c r="R86" i="63"/>
  <c r="D96" i="112" s="1"/>
  <c r="D48" i="86" a="1"/>
  <c r="D48" i="86" s="1"/>
  <c r="D95" i="86"/>
  <c r="D211" i="65"/>
  <c r="D587" i="109"/>
  <c r="D597" i="109"/>
  <c r="D622" i="109"/>
  <c r="H141" i="112"/>
  <c r="D16" i="116"/>
  <c r="G17" i="112"/>
  <c r="D15" i="113"/>
  <c r="G142" i="112"/>
  <c r="D19" i="116"/>
  <c r="D113" i="113"/>
  <c r="C25" i="112"/>
  <c r="D26" i="113"/>
  <c r="D92" i="116"/>
  <c r="C150" i="112"/>
  <c r="C175" i="112"/>
  <c r="D26" i="116"/>
  <c r="D137" i="113"/>
  <c r="D35" i="113"/>
  <c r="D117" i="116"/>
  <c r="D36" i="116"/>
  <c r="D123" i="116"/>
  <c r="D42" i="116"/>
  <c r="D164" i="112"/>
  <c r="D82" i="116"/>
  <c r="D89" i="113"/>
  <c r="E40" i="112"/>
  <c r="F326" i="87"/>
  <c r="F40" i="112" s="1"/>
  <c r="F340" i="87"/>
  <c r="G39" i="112"/>
  <c r="D73" i="113"/>
  <c r="E120" i="112"/>
  <c r="D103" i="113"/>
  <c r="C217" i="112"/>
  <c r="D349" i="120"/>
  <c r="I31" i="63"/>
  <c r="D15" i="119"/>
  <c r="D29" i="119"/>
  <c r="D181" i="119"/>
  <c r="D57" i="119"/>
  <c r="D64" i="119"/>
  <c r="F13" i="112" a="1"/>
  <c r="F13" i="112" s="1"/>
  <c r="G141" i="112"/>
  <c r="C174" i="112"/>
  <c r="C149" i="112"/>
  <c r="D91" i="116"/>
  <c r="D25" i="116"/>
  <c r="I237" i="87"/>
  <c r="D188" i="112" s="1"/>
  <c r="F246" i="87"/>
  <c r="D78" i="112" s="1"/>
  <c r="I247" i="87"/>
  <c r="D198" i="112" s="1"/>
  <c r="C186" i="112"/>
  <c r="D333" i="120"/>
  <c r="D115" i="116"/>
  <c r="D34" i="116"/>
  <c r="E93" i="112"/>
  <c r="D39" i="113"/>
  <c r="D141" i="113"/>
  <c r="I340" i="87"/>
  <c r="F346" i="87"/>
  <c r="G40" i="112"/>
  <c r="D87" i="113"/>
  <c r="H39" i="112"/>
  <c r="D74" i="113"/>
  <c r="F390" i="87"/>
  <c r="C38" i="112" s="1"/>
  <c r="I397" i="87"/>
  <c r="C163" i="112" s="1"/>
  <c r="E121" i="112"/>
  <c r="D104" i="113"/>
  <c r="E126" i="112"/>
  <c r="D109" i="113"/>
  <c r="I483" i="87"/>
  <c r="D224" i="112" s="1"/>
  <c r="D104" i="95"/>
  <c r="D86" i="95"/>
  <c r="D100" i="95"/>
  <c r="D112" i="95"/>
  <c r="D108" i="95"/>
  <c r="E98" i="112"/>
  <c r="D211" i="120"/>
  <c r="D206" i="120"/>
  <c r="E101" i="112"/>
  <c r="D191" i="120"/>
  <c r="B134" i="113"/>
  <c r="C46" i="63"/>
  <c r="D542" i="108" s="1"/>
  <c r="D185" i="85"/>
  <c r="D64" i="85"/>
  <c r="D135" i="86"/>
  <c r="D96" i="86" a="1"/>
  <c r="D96" i="86" s="1"/>
  <c r="D128" i="86"/>
  <c r="D144" i="86"/>
  <c r="D119" i="86" a="1"/>
  <c r="D119" i="86" s="1"/>
  <c r="D79" i="86"/>
  <c r="D54" i="86"/>
  <c r="D74" i="86"/>
  <c r="D114" i="86"/>
  <c r="D141" i="86"/>
  <c r="D87" i="86" a="1"/>
  <c r="D87" i="86" s="1"/>
  <c r="D149" i="86"/>
  <c r="D92" i="86"/>
  <c r="D106" i="85"/>
  <c r="D122" i="85"/>
  <c r="D133" i="85"/>
  <c r="D140" i="85"/>
  <c r="D112" i="85"/>
  <c r="D104" i="119"/>
  <c r="D108" i="119"/>
  <c r="D112" i="119"/>
  <c r="D155" i="120"/>
  <c r="D184" i="120"/>
  <c r="D230" i="120"/>
  <c r="C73" i="117"/>
  <c r="D486" i="75"/>
  <c r="D476" i="75"/>
  <c r="D234" i="75"/>
  <c r="D216" i="75"/>
  <c r="D159" i="75"/>
  <c r="D148" i="75"/>
  <c r="D132" i="75"/>
  <c r="D516" i="75"/>
  <c r="D215" i="75"/>
  <c r="D226" i="75"/>
  <c r="D225" i="75"/>
  <c r="D140" i="75"/>
  <c r="D235" i="75"/>
  <c r="D530" i="75"/>
  <c r="D298" i="75"/>
  <c r="D147" i="75"/>
  <c r="D119" i="75"/>
  <c r="D288" i="75"/>
  <c r="D504" i="75"/>
  <c r="D246" i="75"/>
  <c r="D262" i="75"/>
  <c r="D273" i="75"/>
  <c r="D227" i="75"/>
  <c r="D154" i="75"/>
  <c r="D125" i="75"/>
  <c r="D313" i="75"/>
  <c r="D98" i="86"/>
  <c r="D108" i="85"/>
  <c r="D370" i="120"/>
  <c r="D146" i="85"/>
  <c r="D88" i="85"/>
  <c r="D12" i="120"/>
  <c r="D112" i="120"/>
  <c r="D147" i="120"/>
  <c r="D165" i="120"/>
  <c r="D204" i="120"/>
  <c r="D367" i="120"/>
  <c r="D51" i="75"/>
  <c r="D168" i="75"/>
  <c r="D198" i="85"/>
  <c r="D184" i="85"/>
  <c r="C69" i="120"/>
  <c r="D231" i="120"/>
  <c r="C86" i="117"/>
  <c r="D426" i="75"/>
  <c r="D116" i="85"/>
  <c r="D169" i="85"/>
  <c r="D106" i="86"/>
  <c r="D380" i="120"/>
  <c r="C41" i="112"/>
  <c r="C16" i="112"/>
  <c r="D170" i="75"/>
  <c r="D139" i="85"/>
  <c r="D107" i="85"/>
  <c r="D97" i="86"/>
  <c r="D134" i="86"/>
  <c r="D126" i="86"/>
  <c r="C140" i="112"/>
  <c r="C165" i="112"/>
  <c r="D105" i="85"/>
  <c r="D59" i="85"/>
  <c r="D76" i="85"/>
  <c r="D102" i="85"/>
  <c r="D97" i="85"/>
  <c r="D211" i="85"/>
  <c r="D113" i="85"/>
  <c r="U201" i="63"/>
  <c r="D88" i="119" a="1"/>
  <c r="D88" i="119" s="1"/>
  <c r="D91" i="119" a="1"/>
  <c r="D91" i="119" s="1"/>
  <c r="D85" i="119" a="1"/>
  <c r="D85" i="119" s="1"/>
  <c r="D130" i="120"/>
  <c r="D237" i="120"/>
  <c r="D303" i="75"/>
  <c r="D453" i="75"/>
  <c r="D377" i="75"/>
  <c r="D278" i="75"/>
  <c r="D428" i="75"/>
  <c r="D402" i="75"/>
  <c r="D143" i="86"/>
  <c r="D118" i="86"/>
  <c r="D167" i="86"/>
  <c r="D103" i="86" a="1"/>
  <c r="D103" i="86" s="1"/>
  <c r="D52" i="85"/>
  <c r="D124" i="85"/>
  <c r="D127" i="85"/>
  <c r="D71" i="85"/>
  <c r="D212" i="119"/>
  <c r="D202" i="119"/>
  <c r="D4" i="120"/>
  <c r="C28" i="120"/>
  <c r="D142" i="120"/>
  <c r="D149" i="120"/>
  <c r="D178" i="120"/>
  <c r="D187" i="120"/>
  <c r="D374" i="120"/>
  <c r="C352" i="117"/>
  <c r="C104" i="75"/>
  <c r="D92" i="85"/>
  <c r="D150" i="85"/>
  <c r="D110" i="85"/>
  <c r="D134" i="85"/>
  <c r="D60" i="119"/>
  <c r="D155" i="119"/>
  <c r="D173" i="119"/>
  <c r="D175" i="119"/>
  <c r="C36" i="120"/>
  <c r="C74" i="120"/>
  <c r="D197" i="120"/>
  <c r="D369" i="120"/>
  <c r="C166" i="117"/>
  <c r="C644" i="117"/>
  <c r="D280" i="75"/>
  <c r="D46" i="75"/>
  <c r="D92" i="75"/>
  <c r="D77" i="75"/>
  <c r="D52" i="75"/>
  <c r="D430" i="75"/>
  <c r="D405" i="75"/>
  <c r="D380" i="75"/>
  <c r="D455" i="75"/>
  <c r="D431" i="75"/>
  <c r="D32" i="75" a="1"/>
  <c r="D32" i="75" s="1"/>
  <c r="D456" i="75"/>
  <c r="D379" i="75"/>
  <c r="D404" i="75"/>
  <c r="R128" i="63"/>
  <c r="D105" i="119"/>
  <c r="D109" i="119"/>
  <c r="D113" i="119"/>
  <c r="D233" i="120"/>
  <c r="D256" i="120"/>
  <c r="C538" i="117"/>
  <c r="D161" i="119"/>
  <c r="D151" i="119"/>
  <c r="D61" i="119"/>
  <c r="D211" i="119"/>
  <c r="D142" i="119"/>
  <c r="D50" i="119"/>
  <c r="D96" i="119"/>
  <c r="D69" i="119"/>
  <c r="D162" i="119"/>
  <c r="D152" i="119"/>
  <c r="D77" i="119"/>
  <c r="D201" i="119"/>
  <c r="D169" i="119"/>
  <c r="D58" i="119"/>
  <c r="D111" i="119"/>
  <c r="D103" i="119"/>
  <c r="D107" i="119"/>
  <c r="D124" i="120"/>
  <c r="D394" i="120"/>
  <c r="C179" i="117"/>
  <c r="C551" i="117"/>
  <c r="D506" i="75"/>
  <c r="D490" i="75"/>
  <c r="D507" i="75"/>
  <c r="D47" i="86"/>
  <c r="D58" i="85"/>
  <c r="D125" i="86"/>
  <c r="D451" i="75"/>
  <c r="D342" i="75"/>
  <c r="D496" i="75"/>
  <c r="D90" i="75"/>
  <c r="D525" i="75"/>
  <c r="D397" i="75"/>
  <c r="D514" i="75"/>
  <c r="D448" i="75"/>
  <c r="D502" i="75"/>
  <c r="D423" i="75"/>
  <c r="D372" i="75"/>
  <c r="D45" i="75"/>
  <c r="D82" i="75"/>
  <c r="D28" i="75"/>
  <c r="D487" i="75"/>
  <c r="D477" i="75"/>
  <c r="O112" i="63"/>
  <c r="D142" i="75"/>
  <c r="D149" i="75"/>
  <c r="D52" i="119"/>
  <c r="D59" i="119" a="1"/>
  <c r="D59" i="119" s="1"/>
  <c r="D154" i="119"/>
  <c r="D10" i="120"/>
  <c r="D136" i="120"/>
  <c r="D145" i="120"/>
  <c r="D171" i="120"/>
  <c r="D267" i="120"/>
  <c r="D405" i="120"/>
  <c r="D151" i="75"/>
  <c r="D168" i="86"/>
  <c r="D212" i="85"/>
  <c r="D520" i="75"/>
  <c r="D509" i="75"/>
  <c r="C41" i="63"/>
  <c r="D89" i="112" s="1"/>
  <c r="F11" i="34"/>
  <c r="C29" i="86"/>
  <c r="C15" i="95"/>
  <c r="D11" i="34"/>
  <c r="F9" i="34"/>
  <c r="D9" i="85"/>
  <c r="D10" i="86"/>
  <c r="C39" i="85"/>
  <c r="C200" i="85" s="1"/>
  <c r="C38" i="85"/>
  <c r="C19" i="85"/>
  <c r="C46" i="95"/>
  <c r="C17" i="85"/>
  <c r="C34" i="86"/>
  <c r="C109" i="86" s="1" a="1"/>
  <c r="C109" i="86" s="1"/>
  <c r="C18" i="85"/>
  <c r="C17" i="86"/>
  <c r="D9" i="86"/>
  <c r="C129" i="119"/>
  <c r="C126" i="119"/>
  <c r="C125" i="119"/>
  <c r="C130" i="119" s="1"/>
  <c r="C123" i="119"/>
  <c r="C127" i="119" s="1"/>
  <c r="C70" i="119"/>
  <c r="C515" i="75"/>
  <c r="C205" i="119"/>
  <c r="C118" i="119"/>
  <c r="C79" i="119"/>
  <c r="C131" i="119"/>
  <c r="C20" i="119"/>
  <c r="C21" i="119" s="1"/>
  <c r="C240" i="75"/>
  <c r="C103" i="75"/>
  <c r="C203" i="119"/>
  <c r="C43" i="119"/>
  <c r="C458" i="117"/>
  <c r="C111" i="75"/>
  <c r="C101" i="75"/>
  <c r="C272" i="117"/>
  <c r="C259" i="117"/>
  <c r="C169" i="75"/>
  <c r="C110" i="75"/>
  <c r="C100" i="75"/>
  <c r="C102" i="75" s="1"/>
  <c r="C11" i="119"/>
  <c r="C44" i="119" s="1"/>
  <c r="C108" i="75"/>
  <c r="C365" i="117"/>
  <c r="C162" i="75"/>
  <c r="C170" i="75" s="1"/>
  <c r="C503" i="75"/>
  <c r="C92" i="112"/>
  <c r="B34" i="113"/>
  <c r="AA25" i="63"/>
  <c r="D306" i="75"/>
  <c r="D281" i="75"/>
  <c r="D452" i="75" a="1"/>
  <c r="D452" i="75" s="1"/>
  <c r="D427" i="75" a="1"/>
  <c r="D427" i="75" s="1"/>
  <c r="D401" i="75" a="1"/>
  <c r="D401" i="75" s="1"/>
  <c r="D408" i="75"/>
  <c r="D459" i="75"/>
  <c r="D434" i="75"/>
  <c r="D46" i="85" a="1"/>
  <c r="D46" i="85" s="1"/>
  <c r="D53" i="85"/>
  <c r="D366" i="120"/>
  <c r="D400" i="75"/>
  <c r="C525" i="75"/>
  <c r="C397" i="75"/>
  <c r="C502" i="75"/>
  <c r="C372" i="75"/>
  <c r="C423" i="75"/>
  <c r="C496" i="75"/>
  <c r="C77" i="118" l="1"/>
  <c r="C86" i="118"/>
  <c r="C87" i="118"/>
  <c r="C63" i="118"/>
  <c r="C143" i="118"/>
  <c r="C155" i="127"/>
  <c r="C145" i="127"/>
  <c r="C144" i="127"/>
  <c r="C142" i="127"/>
  <c r="C94" i="127"/>
  <c r="C201" i="127"/>
  <c r="C95" i="127"/>
  <c r="C216" i="109"/>
  <c r="C199" i="109"/>
  <c r="C201" i="109"/>
  <c r="C273" i="108"/>
  <c r="C97" i="127"/>
  <c r="C110" i="115"/>
  <c r="C208" i="108"/>
  <c r="C86" i="127"/>
  <c r="C196" i="127"/>
  <c r="C184" i="127"/>
  <c r="C81" i="127"/>
  <c r="C79" i="127"/>
  <c r="C77" i="127"/>
  <c r="C75" i="127"/>
  <c r="C65" i="127"/>
  <c r="C27" i="127"/>
  <c r="C26" i="127"/>
  <c r="C218" i="108"/>
  <c r="C208" i="127"/>
  <c r="C11" i="127"/>
  <c r="C156" i="118"/>
  <c r="C154" i="118"/>
  <c r="C161" i="109"/>
  <c r="C93" i="127"/>
  <c r="C41" i="127"/>
  <c r="C52" i="127"/>
  <c r="C206" i="127"/>
  <c r="C71" i="127"/>
  <c r="C183" i="127"/>
  <c r="C17" i="127"/>
  <c r="C212" i="115"/>
  <c r="C48" i="127"/>
  <c r="C60" i="127"/>
  <c r="C33" i="127"/>
  <c r="C182" i="127"/>
  <c r="C214" i="127"/>
  <c r="C187" i="127"/>
  <c r="C191" i="127"/>
  <c r="C189" i="127"/>
  <c r="C200" i="127"/>
  <c r="C185" i="127"/>
  <c r="C141" i="115"/>
  <c r="C55" i="127"/>
  <c r="C151" i="109"/>
  <c r="C49" i="127"/>
  <c r="C102" i="127"/>
  <c r="F44" i="112"/>
  <c r="K372" i="62"/>
  <c r="K371" i="62"/>
  <c r="C417" i="115"/>
  <c r="C78" i="115"/>
  <c r="C36" i="115"/>
  <c r="C25" i="115"/>
  <c r="C76" i="115"/>
  <c r="C35" i="115"/>
  <c r="C148" i="115"/>
  <c r="C34" i="115"/>
  <c r="C68" i="115"/>
  <c r="C67" i="115"/>
  <c r="C42" i="115"/>
  <c r="C32" i="115"/>
  <c r="C40" i="115"/>
  <c r="C57" i="115"/>
  <c r="C251" i="115"/>
  <c r="C90" i="115"/>
  <c r="C65" i="115"/>
  <c r="C41" i="115"/>
  <c r="C31" i="115"/>
  <c r="C250" i="115"/>
  <c r="C89" i="115"/>
  <c r="C30" i="115"/>
  <c r="C249" i="115"/>
  <c r="C87" i="115"/>
  <c r="C29" i="115"/>
  <c r="C39" i="115"/>
  <c r="C43" i="115"/>
  <c r="C33" i="115"/>
  <c r="C248" i="115"/>
  <c r="C56" i="115"/>
  <c r="C38" i="115"/>
  <c r="C79" i="115"/>
  <c r="C54" i="115"/>
  <c r="C37" i="115"/>
  <c r="C26" i="115"/>
  <c r="C44" i="115"/>
  <c r="C198" i="65"/>
  <c r="C276" i="109"/>
  <c r="C70" i="116" s="1"/>
  <c r="C268" i="115"/>
  <c r="C421" i="115"/>
  <c r="C311" i="115"/>
  <c r="C319" i="115"/>
  <c r="C303" i="115"/>
  <c r="C295" i="115"/>
  <c r="C42" i="109"/>
  <c r="C111" i="115"/>
  <c r="C103" i="115"/>
  <c r="C264" i="117"/>
  <c r="C330" i="115"/>
  <c r="C332" i="115"/>
  <c r="C297" i="109"/>
  <c r="C316" i="115"/>
  <c r="C300" i="115"/>
  <c r="C282" i="115"/>
  <c r="C270" i="115"/>
  <c r="C315" i="115"/>
  <c r="C299" i="115"/>
  <c r="C281" i="115"/>
  <c r="C269" i="115"/>
  <c r="C280" i="115"/>
  <c r="C426" i="115"/>
  <c r="C425" i="115"/>
  <c r="C313" i="115"/>
  <c r="C297" i="115"/>
  <c r="C422" i="115"/>
  <c r="C325" i="115"/>
  <c r="C309" i="115"/>
  <c r="C288" i="115"/>
  <c r="C278" i="115"/>
  <c r="C323" i="115"/>
  <c r="C276" i="115"/>
  <c r="C321" i="115"/>
  <c r="C285" i="115"/>
  <c r="C324" i="115"/>
  <c r="C308" i="115"/>
  <c r="C287" i="115"/>
  <c r="C277" i="115"/>
  <c r="C305" i="115"/>
  <c r="C307" i="115"/>
  <c r="C286" i="115"/>
  <c r="C275" i="115"/>
  <c r="C279" i="115"/>
  <c r="C284" i="115"/>
  <c r="C274" i="115"/>
  <c r="C423" i="115"/>
  <c r="C317" i="115"/>
  <c r="C301" i="115"/>
  <c r="C283" i="115"/>
  <c r="C273" i="115"/>
  <c r="C128" i="108"/>
  <c r="C97" i="115"/>
  <c r="C335" i="115"/>
  <c r="C108" i="115"/>
  <c r="C342" i="115"/>
  <c r="K368" i="62"/>
  <c r="C449" i="115"/>
  <c r="C448" i="115"/>
  <c r="C446" i="115"/>
  <c r="C450" i="115"/>
  <c r="C445" i="115"/>
  <c r="C443" i="115"/>
  <c r="C192" i="108"/>
  <c r="C155" i="118"/>
  <c r="C162" i="118" s="1"/>
  <c r="C214" i="108"/>
  <c r="K391" i="62"/>
  <c r="K377" i="62"/>
  <c r="C49" i="118"/>
  <c r="K383" i="62"/>
  <c r="C153" i="118"/>
  <c r="C159" i="118" s="1"/>
  <c r="C136" i="108"/>
  <c r="K390" i="62"/>
  <c r="K376" i="62"/>
  <c r="C149" i="120" s="1"/>
  <c r="C50" i="118"/>
  <c r="K388" i="62"/>
  <c r="K375" i="62"/>
  <c r="C147" i="120" s="1"/>
  <c r="K386" i="62"/>
  <c r="K370" i="62"/>
  <c r="C82" i="118"/>
  <c r="X54" i="123" s="1"/>
  <c r="C28" i="118"/>
  <c r="K369" i="62"/>
  <c r="K366" i="62"/>
  <c r="C47" i="118"/>
  <c r="C108" i="108"/>
  <c r="K387" i="62"/>
  <c r="K374" i="62"/>
  <c r="C83" i="118"/>
  <c r="L326" i="63"/>
  <c r="C27" i="118"/>
  <c r="K367" i="62"/>
  <c r="C404" i="65"/>
  <c r="C25" i="118"/>
  <c r="K382" i="62"/>
  <c r="C403" i="65"/>
  <c r="C48" i="118"/>
  <c r="K384" i="62"/>
  <c r="C258" i="108"/>
  <c r="C256" i="108"/>
  <c r="C225" i="108"/>
  <c r="C224" i="108"/>
  <c r="K393" i="62"/>
  <c r="K381" i="62"/>
  <c r="C206" i="120" s="1"/>
  <c r="K109" i="62"/>
  <c r="C135" i="108" s="1"/>
  <c r="K392" i="62"/>
  <c r="K379" i="62"/>
  <c r="C171" i="120" s="1"/>
  <c r="C215" i="108"/>
  <c r="K123" i="62"/>
  <c r="C43" i="118"/>
  <c r="C128" i="118"/>
  <c r="C45" i="118"/>
  <c r="C46" i="118"/>
  <c r="C44" i="118"/>
  <c r="C333" i="115"/>
  <c r="C336" i="115"/>
  <c r="C104" i="115"/>
  <c r="C340" i="115"/>
  <c r="C99" i="115"/>
  <c r="C435" i="115"/>
  <c r="C243" i="115"/>
  <c r="C51" i="115"/>
  <c r="C24" i="115"/>
  <c r="C73" i="115"/>
  <c r="C62" i="115"/>
  <c r="C84" i="115"/>
  <c r="C197" i="65"/>
  <c r="C71" i="109"/>
  <c r="C343" i="115"/>
  <c r="C329" i="115"/>
  <c r="C96" i="115"/>
  <c r="C109" i="115"/>
  <c r="K112" i="62"/>
  <c r="K343" i="62" s="1"/>
  <c r="C191" i="108"/>
  <c r="K107" i="62"/>
  <c r="K110" i="62" s="1"/>
  <c r="C357" i="117"/>
  <c r="C78" i="117"/>
  <c r="C106" i="115"/>
  <c r="C451" i="115"/>
  <c r="C444" i="115"/>
  <c r="C102" i="115"/>
  <c r="C105" i="115"/>
  <c r="C331" i="115"/>
  <c r="C199" i="65"/>
  <c r="C341" i="115"/>
  <c r="E369" i="115"/>
  <c r="C356" i="115"/>
  <c r="C355" i="115"/>
  <c r="C370" i="115"/>
  <c r="C429" i="115" s="1"/>
  <c r="C200" i="65"/>
  <c r="C334" i="115"/>
  <c r="C107" i="115"/>
  <c r="C337" i="115"/>
  <c r="C338" i="115"/>
  <c r="C384" i="108"/>
  <c r="C19" i="115"/>
  <c r="C450" i="117"/>
  <c r="C344" i="115"/>
  <c r="C383" i="115"/>
  <c r="C427" i="115" s="1"/>
  <c r="C636" i="117"/>
  <c r="C543" i="117"/>
  <c r="C100" i="115"/>
  <c r="C99" i="108"/>
  <c r="C101" i="115"/>
  <c r="C339" i="115"/>
  <c r="C98" i="115"/>
  <c r="B46" i="115"/>
  <c r="C293" i="115"/>
  <c r="C348" i="115" s="1"/>
  <c r="F101" i="63"/>
  <c r="D12" i="65"/>
  <c r="D10" i="65"/>
  <c r="E13" i="65" s="1"/>
  <c r="C276" i="65"/>
  <c r="C347" i="65"/>
  <c r="C75" i="109"/>
  <c r="C46" i="109"/>
  <c r="C119" i="108"/>
  <c r="C146" i="108" s="1"/>
  <c r="C341" i="65"/>
  <c r="C62" i="109"/>
  <c r="C89" i="109" s="1"/>
  <c r="C509" i="108"/>
  <c r="X31" i="123"/>
  <c r="C18" i="119"/>
  <c r="X37" i="123"/>
  <c r="C410" i="108"/>
  <c r="X27" i="123"/>
  <c r="K114" i="62"/>
  <c r="K344" i="62" s="1"/>
  <c r="X62" i="123"/>
  <c r="X38" i="123"/>
  <c r="X61" i="123"/>
  <c r="X60" i="123"/>
  <c r="X59" i="123"/>
  <c r="X58" i="123"/>
  <c r="X57" i="123"/>
  <c r="C288" i="108"/>
  <c r="C212" i="109"/>
  <c r="C202" i="109"/>
  <c r="D210" i="112"/>
  <c r="C269" i="108"/>
  <c r="C259" i="108"/>
  <c r="C173" i="109"/>
  <c r="C177" i="109"/>
  <c r="C174" i="109"/>
  <c r="C15" i="116" s="1"/>
  <c r="C175" i="109"/>
  <c r="C178" i="109"/>
  <c r="C19" i="116" s="1"/>
  <c r="C179" i="109"/>
  <c r="C112" i="109" s="1"/>
  <c r="C67" i="109"/>
  <c r="C231" i="109"/>
  <c r="B51" i="116" s="1"/>
  <c r="C228" i="109"/>
  <c r="C53" i="116" s="1"/>
  <c r="C229" i="109"/>
  <c r="C54" i="116" s="1"/>
  <c r="C227" i="109"/>
  <c r="C52" i="116" s="1"/>
  <c r="C230" i="109"/>
  <c r="C51" i="116" s="1"/>
  <c r="C180" i="75"/>
  <c r="C160" i="117"/>
  <c r="C530" i="117"/>
  <c r="C241" i="117"/>
  <c r="C148" i="117"/>
  <c r="C437" i="117"/>
  <c r="C441" i="117"/>
  <c r="C105" i="75"/>
  <c r="D15" i="109"/>
  <c r="C539" i="109" s="1"/>
  <c r="C204" i="75"/>
  <c r="K170" i="62"/>
  <c r="B417" i="108"/>
  <c r="B421" i="108"/>
  <c r="B427" i="108"/>
  <c r="C524" i="117"/>
  <c r="C248" i="117"/>
  <c r="C617" i="117"/>
  <c r="C344" i="117"/>
  <c r="C61" i="117"/>
  <c r="C434" i="117"/>
  <c r="C55" i="117"/>
  <c r="C9" i="119"/>
  <c r="C15" i="119"/>
  <c r="C35" i="119" s="1"/>
  <c r="C158" i="117"/>
  <c r="K128" i="62"/>
  <c r="K350" i="62" s="1"/>
  <c r="B424" i="108"/>
  <c r="B423" i="108"/>
  <c r="B425" i="108"/>
  <c r="B416" i="108"/>
  <c r="B420" i="108"/>
  <c r="B426" i="108"/>
  <c r="B431" i="108"/>
  <c r="B430" i="108"/>
  <c r="B422" i="108"/>
  <c r="B419" i="108"/>
  <c r="B418" i="108"/>
  <c r="C67" i="117"/>
  <c r="C60" i="117"/>
  <c r="C621" i="117"/>
  <c r="C154" i="117"/>
  <c r="C207" i="75"/>
  <c r="C189" i="75"/>
  <c r="B429" i="108"/>
  <c r="C23" i="119"/>
  <c r="C36" i="119" s="1"/>
  <c r="C178" i="75"/>
  <c r="C109" i="75"/>
  <c r="C240" i="119"/>
  <c r="C191" i="75"/>
  <c r="C194" i="75"/>
  <c r="C177" i="75"/>
  <c r="C188" i="75"/>
  <c r="C205" i="75"/>
  <c r="C199" i="75"/>
  <c r="C144" i="119"/>
  <c r="C173" i="119" s="1"/>
  <c r="K406" i="62"/>
  <c r="C16" i="118"/>
  <c r="C36" i="118"/>
  <c r="C139" i="85"/>
  <c r="C198" i="75"/>
  <c r="C182" i="75"/>
  <c r="F5" i="120"/>
  <c r="C184" i="75"/>
  <c r="C181" i="75"/>
  <c r="C196" i="75"/>
  <c r="C176" i="75"/>
  <c r="C179" i="75"/>
  <c r="F6" i="120"/>
  <c r="C183" i="75"/>
  <c r="C190" i="75"/>
  <c r="C201" i="75"/>
  <c r="F10" i="86"/>
  <c r="C586" i="109"/>
  <c r="C252" i="117"/>
  <c r="C186" i="75"/>
  <c r="C197" i="75"/>
  <c r="C451" i="109"/>
  <c r="C369" i="120"/>
  <c r="C107" i="85"/>
  <c r="D610" i="108"/>
  <c r="D606" i="108"/>
  <c r="C202" i="75"/>
  <c r="C171" i="75"/>
  <c r="C185" i="75"/>
  <c r="C629" i="109"/>
  <c r="C374" i="115"/>
  <c r="C84" i="75"/>
  <c r="C527" i="117"/>
  <c r="C255" i="117"/>
  <c r="C615" i="117"/>
  <c r="C335" i="117"/>
  <c r="C65" i="117"/>
  <c r="C56" i="117"/>
  <c r="C531" i="117"/>
  <c r="C251" i="117"/>
  <c r="C345" i="117"/>
  <c r="C152" i="117"/>
  <c r="C66" i="117"/>
  <c r="C254" i="117"/>
  <c r="C428" i="117"/>
  <c r="C342" i="117"/>
  <c r="C522" i="117"/>
  <c r="C150" i="117"/>
  <c r="C99" i="75"/>
  <c r="C132" i="75" s="1"/>
  <c r="C438" i="117"/>
  <c r="C432" i="117"/>
  <c r="C249" i="117"/>
  <c r="C153" i="117"/>
  <c r="C532" i="117"/>
  <c r="C243" i="117"/>
  <c r="C523" i="117"/>
  <c r="C613" i="117"/>
  <c r="C54" i="117"/>
  <c r="C346" i="117"/>
  <c r="C619" i="117"/>
  <c r="C159" i="117"/>
  <c r="C343" i="117"/>
  <c r="C623" i="117"/>
  <c r="C64" i="117"/>
  <c r="C626" i="117"/>
  <c r="C433" i="117"/>
  <c r="C337" i="117"/>
  <c r="C57" i="117"/>
  <c r="C242" i="117"/>
  <c r="C69" i="117"/>
  <c r="C430" i="117"/>
  <c r="C316" i="120"/>
  <c r="C206" i="75"/>
  <c r="C203" i="75"/>
  <c r="C208" i="75"/>
  <c r="C200" i="75"/>
  <c r="C193" i="75"/>
  <c r="F9" i="85"/>
  <c r="C113" i="85" s="1"/>
  <c r="C195" i="75"/>
  <c r="C173" i="75"/>
  <c r="F9" i="86"/>
  <c r="C246" i="117"/>
  <c r="C157" i="117"/>
  <c r="C149" i="117"/>
  <c r="F12" i="120"/>
  <c r="C381" i="120" s="1"/>
  <c r="C59" i="117"/>
  <c r="C614" i="117"/>
  <c r="C245" i="117"/>
  <c r="C431" i="117"/>
  <c r="C151" i="117"/>
  <c r="C616" i="117"/>
  <c r="C336" i="117"/>
  <c r="C521" i="117"/>
  <c r="C436" i="117"/>
  <c r="C63" i="117"/>
  <c r="C240" i="117"/>
  <c r="C618" i="117"/>
  <c r="C338" i="117"/>
  <c r="C333" i="117"/>
  <c r="C244" i="117"/>
  <c r="C427" i="117"/>
  <c r="C525" i="117"/>
  <c r="C526" i="117"/>
  <c r="C625" i="117"/>
  <c r="C520" i="117"/>
  <c r="C250" i="117"/>
  <c r="C348" i="117"/>
  <c r="C339" i="117"/>
  <c r="C147" i="117"/>
  <c r="C533" i="117"/>
  <c r="C624" i="117"/>
  <c r="C58" i="117"/>
  <c r="C155" i="117"/>
  <c r="C247" i="117"/>
  <c r="C407" i="108"/>
  <c r="C72" i="119"/>
  <c r="C394" i="115"/>
  <c r="C321" i="120"/>
  <c r="C72" i="109"/>
  <c r="D302" i="75"/>
  <c r="C473" i="108"/>
  <c r="F183" i="87"/>
  <c r="D352" i="75"/>
  <c r="C143" i="119"/>
  <c r="D232" i="65"/>
  <c r="C68" i="117"/>
  <c r="C62" i="117"/>
  <c r="D336" i="75"/>
  <c r="D358" i="75"/>
  <c r="C315" i="120"/>
  <c r="D229" i="65"/>
  <c r="C12" i="119"/>
  <c r="C310" i="120"/>
  <c r="C516" i="120"/>
  <c r="C184" i="117"/>
  <c r="C379" i="120"/>
  <c r="C241" i="120"/>
  <c r="C366" i="120"/>
  <c r="C113" i="75"/>
  <c r="C126" i="75" s="1"/>
  <c r="C88" i="65"/>
  <c r="C377" i="65" s="1"/>
  <c r="C121" i="65"/>
  <c r="C110" i="65"/>
  <c r="C99" i="65"/>
  <c r="C383" i="65" s="1"/>
  <c r="C325" i="120"/>
  <c r="O89" i="63"/>
  <c r="D276" i="75"/>
  <c r="C417" i="109"/>
  <c r="C93" i="116" s="1"/>
  <c r="C613" i="108"/>
  <c r="D356" i="75"/>
  <c r="C171" i="85"/>
  <c r="C303" i="120"/>
  <c r="D239" i="65"/>
  <c r="C101" i="119"/>
  <c r="C105" i="119" s="1"/>
  <c r="C368" i="109"/>
  <c r="C124" i="85"/>
  <c r="C341" i="117"/>
  <c r="C60" i="65"/>
  <c r="C369" i="65" s="1"/>
  <c r="D292" i="75"/>
  <c r="C70" i="75"/>
  <c r="C85" i="75" s="1"/>
  <c r="C314" i="120"/>
  <c r="C252" i="75"/>
  <c r="C377" i="75" s="1"/>
  <c r="C390" i="109"/>
  <c r="D316" i="75"/>
  <c r="C64" i="85"/>
  <c r="B119" i="116"/>
  <c r="D300" i="75"/>
  <c r="C376" i="75"/>
  <c r="C427" i="75" s="1"/>
  <c r="C631" i="108"/>
  <c r="C58" i="120"/>
  <c r="C85" i="120"/>
  <c r="C418" i="120" s="1"/>
  <c r="C364" i="109"/>
  <c r="C184" i="119"/>
  <c r="C194" i="119"/>
  <c r="C232" i="120"/>
  <c r="C240" i="120"/>
  <c r="AH9" i="87"/>
  <c r="C297" i="117" s="1"/>
  <c r="C118" i="85"/>
  <c r="C51" i="85"/>
  <c r="C363" i="109"/>
  <c r="C532" i="120"/>
  <c r="C59" i="120"/>
  <c r="C197" i="120" s="1"/>
  <c r="C408" i="117"/>
  <c r="C441" i="109"/>
  <c r="C501" i="117"/>
  <c r="C276" i="120"/>
  <c r="C319" i="120"/>
  <c r="C17" i="120"/>
  <c r="C117" i="85"/>
  <c r="C556" i="117"/>
  <c r="C229" i="120"/>
  <c r="D11" i="85"/>
  <c r="C166" i="85" s="1"/>
  <c r="C320" i="120"/>
  <c r="C217" i="75"/>
  <c r="C103" i="120" s="1"/>
  <c r="C137" i="117"/>
  <c r="C324" i="120"/>
  <c r="C193" i="65"/>
  <c r="C401" i="65" s="1"/>
  <c r="C287" i="108"/>
  <c r="C52" i="113" s="1"/>
  <c r="C69" i="75"/>
  <c r="C546" i="108"/>
  <c r="C132" i="113" s="1"/>
  <c r="C322" i="120"/>
  <c r="C318" i="120"/>
  <c r="C88" i="120"/>
  <c r="C354" i="120" s="1"/>
  <c r="C317" i="120"/>
  <c r="K118" i="62"/>
  <c r="K117" i="62"/>
  <c r="K122" i="62"/>
  <c r="C145" i="120"/>
  <c r="K163" i="62"/>
  <c r="C191" i="65"/>
  <c r="C400" i="65" s="1"/>
  <c r="C530" i="109"/>
  <c r="K96" i="62"/>
  <c r="K408" i="62"/>
  <c r="C442" i="75"/>
  <c r="C416" i="75"/>
  <c r="C392" i="75"/>
  <c r="C391" i="75"/>
  <c r="C469" i="75"/>
  <c r="C418" i="75"/>
  <c r="C467" i="75"/>
  <c r="C443" i="75"/>
  <c r="C324" i="75"/>
  <c r="C375" i="75" s="1"/>
  <c r="K409" i="62"/>
  <c r="C396" i="65"/>
  <c r="C142" i="86" s="1"/>
  <c r="C121" i="108"/>
  <c r="C514" i="108"/>
  <c r="C10" i="119"/>
  <c r="C468" i="109"/>
  <c r="C22" i="116"/>
  <c r="C87" i="109" s="1"/>
  <c r="C143" i="65"/>
  <c r="C489" i="109"/>
  <c r="C314" i="109"/>
  <c r="C505" i="109"/>
  <c r="C142" i="65"/>
  <c r="C316" i="109"/>
  <c r="C352" i="120" s="1"/>
  <c r="C446" i="109"/>
  <c r="C515" i="108"/>
  <c r="C135" i="113" s="1"/>
  <c r="C29" i="65"/>
  <c r="C318" i="109"/>
  <c r="B52" i="113" a="1"/>
  <c r="B52" i="113" s="1"/>
  <c r="D609" i="109"/>
  <c r="C463" i="109"/>
  <c r="C235" i="108"/>
  <c r="C19" i="113" s="1"/>
  <c r="C460" i="108"/>
  <c r="C117" i="113" s="1"/>
  <c r="C563" i="108"/>
  <c r="D605" i="109"/>
  <c r="C231" i="108"/>
  <c r="C15" i="113" s="1"/>
  <c r="B403" i="115"/>
  <c r="C393" i="108"/>
  <c r="C303" i="109"/>
  <c r="C343" i="120" s="1"/>
  <c r="K168" i="62"/>
  <c r="C190" i="115"/>
  <c r="C195" i="65"/>
  <c r="C398" i="65" s="1"/>
  <c r="K144" i="62"/>
  <c r="C512" i="109"/>
  <c r="D603" i="109"/>
  <c r="C286" i="108"/>
  <c r="C55" i="113" s="1"/>
  <c r="C557" i="108"/>
  <c r="C134" i="86"/>
  <c r="C97" i="86"/>
  <c r="C434" i="109"/>
  <c r="C126" i="86"/>
  <c r="C503" i="108"/>
  <c r="C129" i="108"/>
  <c r="C490" i="108"/>
  <c r="C507" i="108"/>
  <c r="C524" i="120"/>
  <c r="C129" i="117"/>
  <c r="C509" i="117"/>
  <c r="D238" i="65"/>
  <c r="B378" i="109"/>
  <c r="C556" i="120"/>
  <c r="C416" i="117"/>
  <c r="C548" i="120"/>
  <c r="B382" i="109"/>
  <c r="D616" i="108"/>
  <c r="B387" i="109"/>
  <c r="B377" i="109"/>
  <c r="C300" i="120"/>
  <c r="C230" i="117"/>
  <c r="C315" i="117"/>
  <c r="C323" i="117"/>
  <c r="C542" i="108"/>
  <c r="C295" i="120"/>
  <c r="C87" i="119" s="1"/>
  <c r="C99" i="119"/>
  <c r="C313" i="120"/>
  <c r="C288" i="117"/>
  <c r="C370" i="117"/>
  <c r="C381" i="117"/>
  <c r="C227" i="115"/>
  <c r="C293" i="120"/>
  <c r="C81" i="119" s="1"/>
  <c r="C179" i="115"/>
  <c r="C304" i="120"/>
  <c r="C585" i="109"/>
  <c r="N59" i="123"/>
  <c r="C306" i="120"/>
  <c r="Q72" i="123"/>
  <c r="C308" i="120"/>
  <c r="C358" i="109"/>
  <c r="C400" i="109" s="1"/>
  <c r="C594" i="109"/>
  <c r="C36" i="117"/>
  <c r="C567" i="117"/>
  <c r="C222" i="117"/>
  <c r="C298" i="120"/>
  <c r="C369" i="109"/>
  <c r="C474" i="117"/>
  <c r="C594" i="117"/>
  <c r="C277" i="117"/>
  <c r="C201" i="115"/>
  <c r="C299" i="120"/>
  <c r="C311" i="120"/>
  <c r="C378" i="120"/>
  <c r="C44" i="117"/>
  <c r="C649" i="117"/>
  <c r="C540" i="120"/>
  <c r="C387" i="115"/>
  <c r="C317" i="109"/>
  <c r="C315" i="109"/>
  <c r="K86" i="62"/>
  <c r="C254" i="65"/>
  <c r="C407" i="75"/>
  <c r="C458" i="75"/>
  <c r="C265" i="65"/>
  <c r="C43" i="109"/>
  <c r="C222" i="115"/>
  <c r="C607" i="108"/>
  <c r="C480" i="109"/>
  <c r="C382" i="75"/>
  <c r="C645" i="108"/>
  <c r="C402" i="108"/>
  <c r="C290" i="120"/>
  <c r="C604" i="108"/>
  <c r="C619" i="108"/>
  <c r="C433" i="75"/>
  <c r="C135" i="65"/>
  <c r="C588" i="109"/>
  <c r="C294" i="120"/>
  <c r="C84" i="119" s="1"/>
  <c r="C269" i="120"/>
  <c r="C334" i="120" s="1"/>
  <c r="C305" i="120"/>
  <c r="C301" i="120"/>
  <c r="C540" i="108"/>
  <c r="C578" i="109"/>
  <c r="E62" i="123"/>
  <c r="C78" i="119"/>
  <c r="C97" i="119" s="1"/>
  <c r="C524" i="109"/>
  <c r="C378" i="115"/>
  <c r="C242" i="109"/>
  <c r="C146" i="65"/>
  <c r="C188" i="65"/>
  <c r="C340" i="117"/>
  <c r="C368" i="120"/>
  <c r="C426" i="117"/>
  <c r="C61" i="116"/>
  <c r="C373" i="115"/>
  <c r="C81" i="120"/>
  <c r="C396" i="120" s="1"/>
  <c r="C270" i="120"/>
  <c r="C281" i="120" s="1"/>
  <c r="C307" i="120"/>
  <c r="C312" i="120"/>
  <c r="C176" i="119"/>
  <c r="C71" i="85"/>
  <c r="C91" i="117"/>
  <c r="C508" i="120"/>
  <c r="C195" i="117"/>
  <c r="C463" i="117"/>
  <c r="C447" i="109"/>
  <c r="C333" i="65"/>
  <c r="C506" i="109"/>
  <c r="C217" i="115"/>
  <c r="H74" i="123"/>
  <c r="N77" i="123"/>
  <c r="C212" i="65"/>
  <c r="C187" i="85" s="1"/>
  <c r="C646" i="108"/>
  <c r="C72" i="120"/>
  <c r="C258" i="120" s="1"/>
  <c r="F11" i="120"/>
  <c r="C296" i="120"/>
  <c r="C90" i="119" s="1"/>
  <c r="D12" i="85"/>
  <c r="C176" i="85" s="1"/>
  <c r="E61" i="123"/>
  <c r="C534" i="117"/>
  <c r="C612" i="117"/>
  <c r="C429" i="117"/>
  <c r="C161" i="117"/>
  <c r="C519" i="117"/>
  <c r="C162" i="117"/>
  <c r="C627" i="117"/>
  <c r="C347" i="117"/>
  <c r="C42" i="119"/>
  <c r="C142" i="119" s="1"/>
  <c r="C620" i="117"/>
  <c r="F10" i="120"/>
  <c r="C243" i="120" s="1"/>
  <c r="C622" i="117"/>
  <c r="C439" i="117"/>
  <c r="C528" i="117"/>
  <c r="C529" i="117"/>
  <c r="C435" i="117"/>
  <c r="C156" i="117"/>
  <c r="C440" i="117"/>
  <c r="C253" i="117"/>
  <c r="C334" i="117"/>
  <c r="C59" i="116"/>
  <c r="C228" i="119"/>
  <c r="C302" i="120"/>
  <c r="C297" i="120"/>
  <c r="C8" i="63"/>
  <c r="C323" i="120"/>
  <c r="C172" i="119"/>
  <c r="C127" i="85"/>
  <c r="C102" i="117"/>
  <c r="C9" i="117"/>
  <c r="C458" i="109"/>
  <c r="C595" i="108"/>
  <c r="C625" i="108"/>
  <c r="B74" i="123"/>
  <c r="N74" i="123"/>
  <c r="N64" i="123"/>
  <c r="K102" i="62"/>
  <c r="C65" i="109"/>
  <c r="E72" i="123"/>
  <c r="C543" i="108"/>
  <c r="C558" i="108"/>
  <c r="Q59" i="123"/>
  <c r="B3" i="123"/>
  <c r="C628" i="109"/>
  <c r="B61" i="123"/>
  <c r="B64" i="123"/>
  <c r="C167" i="65"/>
  <c r="C129" i="85" s="1"/>
  <c r="C612" i="109"/>
  <c r="T63" i="123"/>
  <c r="T72" i="123"/>
  <c r="H72" i="123"/>
  <c r="C296" i="109"/>
  <c r="C134" i="65"/>
  <c r="E60" i="123"/>
  <c r="B72" i="123"/>
  <c r="K72" i="123"/>
  <c r="K127" i="62"/>
  <c r="K348" i="62" s="1"/>
  <c r="K59" i="123"/>
  <c r="N61" i="123"/>
  <c r="K77" i="123"/>
  <c r="T77" i="123"/>
  <c r="C538" i="109"/>
  <c r="C606" i="109"/>
  <c r="C600" i="109"/>
  <c r="E71" i="123"/>
  <c r="B60" i="123"/>
  <c r="H77" i="123"/>
  <c r="C187" i="75"/>
  <c r="C541" i="109"/>
  <c r="C107" i="116" s="1"/>
  <c r="C363" i="108"/>
  <c r="C108" i="118"/>
  <c r="C521" i="108"/>
  <c r="C551" i="108" s="1"/>
  <c r="C470" i="109"/>
  <c r="C509" i="75"/>
  <c r="C453" i="109"/>
  <c r="C520" i="75"/>
  <c r="C47" i="86"/>
  <c r="C212" i="85"/>
  <c r="C353" i="65"/>
  <c r="C401" i="108"/>
  <c r="C35" i="86"/>
  <c r="C127" i="86" s="1"/>
  <c r="C374" i="120"/>
  <c r="C108" i="85"/>
  <c r="C475" i="108"/>
  <c r="C471" i="109"/>
  <c r="C98" i="86"/>
  <c r="C476" i="108"/>
  <c r="C109" i="108"/>
  <c r="C437" i="109"/>
  <c r="D75" i="113"/>
  <c r="E38" i="112"/>
  <c r="C237" i="120"/>
  <c r="C432" i="108"/>
  <c r="C492" i="108"/>
  <c r="C104" i="108"/>
  <c r="C364" i="115"/>
  <c r="C398" i="109"/>
  <c r="C85" i="116" s="1"/>
  <c r="B5" i="123"/>
  <c r="B8" i="123" s="1"/>
  <c r="C497" i="108"/>
  <c r="C280" i="109"/>
  <c r="C71" i="116" s="1"/>
  <c r="C475" i="109"/>
  <c r="C356" i="108"/>
  <c r="K94" i="62"/>
  <c r="C192" i="65"/>
  <c r="C358" i="108"/>
  <c r="C355" i="108"/>
  <c r="C311" i="109"/>
  <c r="C307" i="109"/>
  <c r="K89" i="62"/>
  <c r="K181" i="62"/>
  <c r="C495" i="109"/>
  <c r="K97" i="62"/>
  <c r="C531" i="109"/>
  <c r="C459" i="109"/>
  <c r="C112" i="116" s="1"/>
  <c r="B13" i="123"/>
  <c r="C513" i="109"/>
  <c r="C110" i="116" s="1"/>
  <c r="K129" i="62"/>
  <c r="K351" i="62" s="1"/>
  <c r="E63" i="123"/>
  <c r="B62" i="123"/>
  <c r="C42" i="65"/>
  <c r="C161" i="118"/>
  <c r="C251" i="109"/>
  <c r="C352" i="108"/>
  <c r="K72" i="62"/>
  <c r="C313" i="109"/>
  <c r="C354" i="108"/>
  <c r="K292" i="62"/>
  <c r="C40" i="95" s="1"/>
  <c r="C248" i="109"/>
  <c r="C455" i="108"/>
  <c r="C114" i="113" s="1"/>
  <c r="C241" i="109"/>
  <c r="C272" i="109"/>
  <c r="C65" i="116" s="1"/>
  <c r="C249" i="109"/>
  <c r="C257" i="109"/>
  <c r="D612" i="108"/>
  <c r="C273" i="109"/>
  <c r="C68" i="116" s="1"/>
  <c r="C255" i="109"/>
  <c r="C564" i="108"/>
  <c r="K135" i="62"/>
  <c r="K354" i="62" s="1"/>
  <c r="K143" i="62"/>
  <c r="K148" i="62"/>
  <c r="K360" i="62" s="1"/>
  <c r="K104" i="62"/>
  <c r="K336" i="62" s="1"/>
  <c r="C99" i="86"/>
  <c r="C433" i="109"/>
  <c r="C450" i="109"/>
  <c r="C436" i="109"/>
  <c r="C370" i="120"/>
  <c r="C125" i="86"/>
  <c r="C168" i="86"/>
  <c r="C13" i="119"/>
  <c r="C14" i="119"/>
  <c r="C467" i="109"/>
  <c r="C40" i="120"/>
  <c r="B389" i="109"/>
  <c r="C422" i="109"/>
  <c r="C96" i="116" s="1"/>
  <c r="C137" i="108"/>
  <c r="C454" i="109"/>
  <c r="C58" i="85"/>
  <c r="C489" i="108"/>
  <c r="C152" i="75"/>
  <c r="C520" i="108"/>
  <c r="C510" i="108"/>
  <c r="C236" i="75"/>
  <c r="C371" i="120"/>
  <c r="C464" i="109"/>
  <c r="C481" i="109"/>
  <c r="C486" i="108"/>
  <c r="B14" i="123"/>
  <c r="K396" i="62"/>
  <c r="C246" i="109"/>
  <c r="K137" i="62"/>
  <c r="K357" i="62" s="1"/>
  <c r="C163" i="108"/>
  <c r="C630" i="108" s="1"/>
  <c r="C442" i="109"/>
  <c r="C111" i="116" s="1"/>
  <c r="K402" i="62"/>
  <c r="K395" i="62"/>
  <c r="C232" i="108"/>
  <c r="C177" i="108" s="1"/>
  <c r="C40" i="113" s="1"/>
  <c r="C310" i="109"/>
  <c r="C399" i="109"/>
  <c r="C86" i="116" s="1"/>
  <c r="C364" i="108"/>
  <c r="E64" i="123"/>
  <c r="C476" i="109"/>
  <c r="C113" i="116" s="1"/>
  <c r="C306" i="109"/>
  <c r="C498" i="108"/>
  <c r="C134" i="113" s="1"/>
  <c r="C189" i="65"/>
  <c r="C399" i="65" s="1"/>
  <c r="K73" i="62"/>
  <c r="C170" i="85" s="1"/>
  <c r="C285" i="108"/>
  <c r="C54" i="113" s="1"/>
  <c r="C147" i="108"/>
  <c r="C144" i="113" s="1"/>
  <c r="K405" i="62"/>
  <c r="K398" i="62"/>
  <c r="C290" i="109"/>
  <c r="C80" i="116" s="1"/>
  <c r="C274" i="109"/>
  <c r="C67" i="116" s="1"/>
  <c r="C256" i="109"/>
  <c r="C170" i="108"/>
  <c r="C636" i="108" s="1"/>
  <c r="C259" i="109"/>
  <c r="C252" i="109"/>
  <c r="C250" i="109"/>
  <c r="C288" i="109"/>
  <c r="C77" i="116" s="1"/>
  <c r="B4" i="123"/>
  <c r="C367" i="115"/>
  <c r="C237" i="75"/>
  <c r="C174" i="119"/>
  <c r="C241" i="75"/>
  <c r="C23" i="75"/>
  <c r="C92" i="75" s="1"/>
  <c r="T60" i="123"/>
  <c r="E74" i="123"/>
  <c r="T62" i="123"/>
  <c r="T71" i="123"/>
  <c r="Q77" i="123"/>
  <c r="C43" i="65"/>
  <c r="K93" i="62"/>
  <c r="C298" i="109"/>
  <c r="T61" i="123"/>
  <c r="C289" i="109"/>
  <c r="C79" i="116" s="1"/>
  <c r="C60" i="120"/>
  <c r="C114" i="120" s="1"/>
  <c r="C153" i="119"/>
  <c r="C156" i="119" s="1"/>
  <c r="C254" i="109"/>
  <c r="C63" i="109"/>
  <c r="H62" i="123"/>
  <c r="Q71" i="123"/>
  <c r="Q74" i="123"/>
  <c r="C308" i="109"/>
  <c r="C396" i="109"/>
  <c r="C281" i="109"/>
  <c r="C253" i="109"/>
  <c r="C260" i="109"/>
  <c r="C602" i="108"/>
  <c r="C421" i="109"/>
  <c r="C95" i="116" s="1"/>
  <c r="B410" i="115"/>
  <c r="E77" i="123"/>
  <c r="B63" i="123"/>
  <c r="H60" i="123"/>
  <c r="K63" i="123"/>
  <c r="N63" i="123"/>
  <c r="C71" i="65"/>
  <c r="C112" i="65"/>
  <c r="B59" i="123"/>
  <c r="B77" i="123"/>
  <c r="K60" i="123"/>
  <c r="K64" i="123"/>
  <c r="Q61" i="123"/>
  <c r="T64" i="123"/>
  <c r="B71" i="123"/>
  <c r="C325" i="65"/>
  <c r="C393" i="65" s="1"/>
  <c r="Q62" i="123"/>
  <c r="C294" i="109"/>
  <c r="Q63" i="123"/>
  <c r="K62" i="123"/>
  <c r="N62" i="123"/>
  <c r="K61" i="123"/>
  <c r="T74" i="123"/>
  <c r="C73" i="65"/>
  <c r="H61" i="123"/>
  <c r="J407" i="62"/>
  <c r="C76" i="65"/>
  <c r="N72" i="123"/>
  <c r="H71" i="123"/>
  <c r="K71" i="123"/>
  <c r="H64" i="123"/>
  <c r="E59" i="123"/>
  <c r="H59" i="123"/>
  <c r="C75" i="65"/>
  <c r="C68" i="65"/>
  <c r="N60" i="123"/>
  <c r="Q60" i="123"/>
  <c r="Q64" i="123"/>
  <c r="C324" i="65"/>
  <c r="C392" i="65" s="1"/>
  <c r="C101" i="65"/>
  <c r="C278" i="109"/>
  <c r="C519" i="108"/>
  <c r="C145" i="65"/>
  <c r="K83" i="62"/>
  <c r="K82" i="62"/>
  <c r="C137" i="65"/>
  <c r="C282" i="109"/>
  <c r="C133" i="108"/>
  <c r="E232" i="115"/>
  <c r="C232" i="115"/>
  <c r="J396" i="62"/>
  <c r="C472" i="108"/>
  <c r="C506" i="108"/>
  <c r="C160" i="75"/>
  <c r="D11" i="115"/>
  <c r="C357" i="108"/>
  <c r="C442" i="108"/>
  <c r="C144" i="65"/>
  <c r="K84" i="62"/>
  <c r="C138" i="65"/>
  <c r="C44" i="65"/>
  <c r="K95" i="62"/>
  <c r="K87" i="62"/>
  <c r="C502" i="108"/>
  <c r="C41" i="65"/>
  <c r="C133" i="65"/>
  <c r="C78" i="127" s="1"/>
  <c r="C304" i="109"/>
  <c r="C346" i="120" s="1"/>
  <c r="C480" i="108"/>
  <c r="C361" i="108"/>
  <c r="C141" i="65"/>
  <c r="C140" i="65"/>
  <c r="C136" i="65"/>
  <c r="C309" i="109"/>
  <c r="C353" i="108"/>
  <c r="C482" i="109"/>
  <c r="C139" i="65"/>
  <c r="C194" i="65"/>
  <c r="C536" i="109" s="1"/>
  <c r="C362" i="108"/>
  <c r="C359" i="108"/>
  <c r="C514" i="109"/>
  <c r="C550" i="109" s="1"/>
  <c r="K88" i="62"/>
  <c r="K85" i="62"/>
  <c r="C365" i="108"/>
  <c r="K279" i="62"/>
  <c r="C360" i="108"/>
  <c r="C131" i="65"/>
  <c r="C74" i="127" s="1"/>
  <c r="C305" i="109"/>
  <c r="C349" i="120" s="1"/>
  <c r="K280" i="62"/>
  <c r="C132" i="65"/>
  <c r="C76" i="127" s="1"/>
  <c r="K92" i="62"/>
  <c r="C348" i="109"/>
  <c r="C485" i="108"/>
  <c r="C351" i="108"/>
  <c r="C124" i="65"/>
  <c r="K90" i="62"/>
  <c r="C353" i="109"/>
  <c r="F130" i="63" s="1"/>
  <c r="C292" i="109"/>
  <c r="C68" i="109"/>
  <c r="C442" i="115"/>
  <c r="C190" i="65"/>
  <c r="C312" i="109"/>
  <c r="K278" i="62"/>
  <c r="C66" i="65"/>
  <c r="C90" i="109"/>
  <c r="C64" i="109"/>
  <c r="C270" i="109"/>
  <c r="C395" i="109"/>
  <c r="C83" i="116" s="1"/>
  <c r="C258" i="109"/>
  <c r="C247" i="109"/>
  <c r="C245" i="109"/>
  <c r="C377" i="115"/>
  <c r="C284" i="108"/>
  <c r="C53" i="113" s="1"/>
  <c r="C416" i="109"/>
  <c r="C92" i="116" s="1"/>
  <c r="C64" i="65"/>
  <c r="C67" i="65"/>
  <c r="C70" i="65"/>
  <c r="C74" i="65"/>
  <c r="C77" i="65"/>
  <c r="C350" i="108"/>
  <c r="C341" i="109"/>
  <c r="C286" i="109"/>
  <c r="K91" i="62"/>
  <c r="K281" i="62"/>
  <c r="B407" i="115"/>
  <c r="B408" i="115"/>
  <c r="B399" i="115"/>
  <c r="B404" i="115"/>
  <c r="B409" i="115"/>
  <c r="B400" i="115"/>
  <c r="B412" i="115"/>
  <c r="B402" i="115"/>
  <c r="K74" i="123"/>
  <c r="T59" i="123"/>
  <c r="C566" i="108"/>
  <c r="C129" i="113" s="1"/>
  <c r="C125" i="108"/>
  <c r="K404" i="62"/>
  <c r="C565" i="108"/>
  <c r="C130" i="113" s="1"/>
  <c r="C148" i="108"/>
  <c r="K403" i="62"/>
  <c r="K151" i="62"/>
  <c r="K363" i="62" s="1"/>
  <c r="C236" i="108"/>
  <c r="K400" i="62"/>
  <c r="K150" i="62"/>
  <c r="K362" i="62" s="1"/>
  <c r="K397" i="62"/>
  <c r="K136" i="62"/>
  <c r="K356" i="62" s="1"/>
  <c r="K195" i="62"/>
  <c r="C120" i="108"/>
  <c r="C124" i="108"/>
  <c r="C123" i="108"/>
  <c r="K401" i="62"/>
  <c r="K145" i="62"/>
  <c r="C481" i="108"/>
  <c r="C122" i="108"/>
  <c r="K399" i="62"/>
  <c r="K407" i="62"/>
  <c r="K410" i="62"/>
  <c r="N71" i="123"/>
  <c r="H63" i="123"/>
  <c r="C91" i="65"/>
  <c r="C113" i="109"/>
  <c r="C284" i="109"/>
  <c r="C76" i="116" s="1"/>
  <c r="C394" i="109"/>
  <c r="C82" i="116" s="1"/>
  <c r="C377" i="108"/>
  <c r="C396" i="108"/>
  <c r="B406" i="115"/>
  <c r="C443" i="108"/>
  <c r="D242" i="65"/>
  <c r="D235" i="65"/>
  <c r="D233" i="65"/>
  <c r="D237" i="65"/>
  <c r="D231" i="65"/>
  <c r="D236" i="65"/>
  <c r="D230" i="65"/>
  <c r="D240" i="65"/>
  <c r="D243" i="65"/>
  <c r="D228" i="65"/>
  <c r="D241" i="65"/>
  <c r="C268" i="109"/>
  <c r="C64" i="116" s="1"/>
  <c r="C240" i="109"/>
  <c r="D155" i="115"/>
  <c r="C376" i="108"/>
  <c r="C60" i="113" s="1"/>
  <c r="C135" i="109"/>
  <c r="C102" i="65"/>
  <c r="C540" i="109"/>
  <c r="C108" i="116" s="1"/>
  <c r="C106" i="109"/>
  <c r="C90" i="65"/>
  <c r="C326" i="65"/>
  <c r="C389" i="65" s="1"/>
  <c r="C323" i="65"/>
  <c r="C390" i="65" s="1"/>
  <c r="C223" i="65"/>
  <c r="C72" i="65"/>
  <c r="C123" i="65"/>
  <c r="C65" i="65"/>
  <c r="C91" i="109"/>
  <c r="C113" i="65"/>
  <c r="C63" i="65"/>
  <c r="C66" i="109"/>
  <c r="C69" i="65"/>
  <c r="C62" i="65"/>
  <c r="C330" i="109"/>
  <c r="B413" i="115"/>
  <c r="C351" i="109"/>
  <c r="B12" i="123"/>
  <c r="C365" i="115"/>
  <c r="C583" i="109"/>
  <c r="C342" i="109"/>
  <c r="C343" i="109" s="1"/>
  <c r="C336" i="109"/>
  <c r="C386" i="108"/>
  <c r="C362" i="115"/>
  <c r="C340" i="109"/>
  <c r="B19" i="123"/>
  <c r="C385" i="108"/>
  <c r="C339" i="109"/>
  <c r="C387" i="108"/>
  <c r="C388" i="108" s="1"/>
  <c r="C352" i="109"/>
  <c r="F129" i="63" s="1"/>
  <c r="C368" i="115"/>
  <c r="C381" i="108"/>
  <c r="C366" i="115"/>
  <c r="B414" i="115"/>
  <c r="C347" i="109"/>
  <c r="C390" i="108"/>
  <c r="C345" i="109"/>
  <c r="C163" i="75"/>
  <c r="T57" i="123"/>
  <c r="K56" i="123"/>
  <c r="Q57" i="123"/>
  <c r="H56" i="123"/>
  <c r="T58" i="123"/>
  <c r="K57" i="123"/>
  <c r="B56" i="123"/>
  <c r="K133" i="62"/>
  <c r="Q58" i="123"/>
  <c r="H57" i="123"/>
  <c r="C161" i="108"/>
  <c r="N58" i="123"/>
  <c r="E57" i="123"/>
  <c r="H58" i="123"/>
  <c r="T56" i="123"/>
  <c r="K141" i="62"/>
  <c r="E58" i="123"/>
  <c r="Q56" i="123"/>
  <c r="B58" i="123"/>
  <c r="N56" i="123"/>
  <c r="K58" i="123"/>
  <c r="N57" i="123"/>
  <c r="K125" i="62"/>
  <c r="K130" i="62" s="1"/>
  <c r="B57" i="123"/>
  <c r="C116" i="108"/>
  <c r="E56" i="123"/>
  <c r="C589" i="108"/>
  <c r="C128" i="113" s="1"/>
  <c r="C168" i="108"/>
  <c r="K147" i="62"/>
  <c r="K359" i="62" s="1"/>
  <c r="B405" i="115"/>
  <c r="B411" i="115"/>
  <c r="C323" i="108"/>
  <c r="C65" i="113" s="1"/>
  <c r="C296" i="108"/>
  <c r="C339" i="108"/>
  <c r="C79" i="113" s="1"/>
  <c r="C436" i="108"/>
  <c r="C86" i="113" s="1"/>
  <c r="C331" i="108"/>
  <c r="C72" i="113" s="1"/>
  <c r="C63" i="120"/>
  <c r="C375" i="115"/>
  <c r="C428" i="115"/>
  <c r="C395" i="108"/>
  <c r="C372" i="115"/>
  <c r="C337" i="109"/>
  <c r="C89" i="116" s="1"/>
  <c r="C376" i="115"/>
  <c r="C350" i="109"/>
  <c r="C382" i="108"/>
  <c r="C94" i="113" s="1"/>
  <c r="C104" i="109"/>
  <c r="C134" i="109"/>
  <c r="C318" i="65"/>
  <c r="C388" i="65" s="1"/>
  <c r="C59" i="109"/>
  <c r="C570" i="109"/>
  <c r="C106" i="116" s="1"/>
  <c r="C111" i="109"/>
  <c r="C107" i="65"/>
  <c r="C111" i="65" s="1"/>
  <c r="C58" i="65"/>
  <c r="C368" i="65" s="1"/>
  <c r="C96" i="65"/>
  <c r="C118" i="65"/>
  <c r="C85" i="65"/>
  <c r="C55" i="115" s="1"/>
  <c r="J406" i="62"/>
  <c r="J400" i="62"/>
  <c r="J401" i="62"/>
  <c r="J399" i="62"/>
  <c r="J397" i="62"/>
  <c r="J409" i="62"/>
  <c r="J408" i="62"/>
  <c r="J395" i="62"/>
  <c r="J405" i="62"/>
  <c r="J404" i="62"/>
  <c r="J403" i="62"/>
  <c r="J402" i="62"/>
  <c r="J398" i="62"/>
  <c r="D167" i="115"/>
  <c r="D160" i="115"/>
  <c r="D168" i="115"/>
  <c r="D153" i="115"/>
  <c r="D165" i="115"/>
  <c r="D154" i="115"/>
  <c r="D159" i="115"/>
  <c r="D164" i="115"/>
  <c r="D161" i="115"/>
  <c r="D158" i="115"/>
  <c r="D156" i="115"/>
  <c r="D163" i="115"/>
  <c r="D157" i="115"/>
  <c r="D166" i="115"/>
  <c r="B375" i="109"/>
  <c r="B385" i="109"/>
  <c r="B376" i="109"/>
  <c r="B386" i="109"/>
  <c r="B384" i="109"/>
  <c r="B388" i="109"/>
  <c r="B380" i="109"/>
  <c r="B381" i="109"/>
  <c r="B379" i="109"/>
  <c r="B374" i="109"/>
  <c r="C232" i="119"/>
  <c r="C231" i="119"/>
  <c r="C108" i="113"/>
  <c r="C103" i="113"/>
  <c r="C98" i="113"/>
  <c r="C107" i="113"/>
  <c r="C102" i="113"/>
  <c r="C97" i="113"/>
  <c r="C67" i="113"/>
  <c r="C111" i="113"/>
  <c r="C106" i="113"/>
  <c r="C101" i="113"/>
  <c r="C96" i="113"/>
  <c r="C75" i="113"/>
  <c r="C110" i="113"/>
  <c r="C99" i="113"/>
  <c r="C82" i="113"/>
  <c r="D82" i="113" s="1"/>
  <c r="C109" i="113"/>
  <c r="C105" i="113"/>
  <c r="C104" i="113"/>
  <c r="C100" i="113"/>
  <c r="C341" i="108"/>
  <c r="C329" i="108"/>
  <c r="C69" i="113" s="1"/>
  <c r="C314" i="108"/>
  <c r="C304" i="108"/>
  <c r="C437" i="108"/>
  <c r="C87" i="113" s="1"/>
  <c r="C316" i="108"/>
  <c r="C306" i="108"/>
  <c r="C345" i="108"/>
  <c r="C84" i="113" s="1"/>
  <c r="C313" i="108"/>
  <c r="C301" i="108"/>
  <c r="C438" i="108"/>
  <c r="C89" i="113" s="1"/>
  <c r="C344" i="108"/>
  <c r="C83" i="113" s="1"/>
  <c r="C312" i="108"/>
  <c r="C298" i="108"/>
  <c r="C343" i="108"/>
  <c r="C80" i="113" s="1"/>
  <c r="C328" i="108"/>
  <c r="C70" i="113" s="1"/>
  <c r="C311" i="108"/>
  <c r="C297" i="108"/>
  <c r="C327" i="108"/>
  <c r="C66" i="113" s="1"/>
  <c r="C310" i="108"/>
  <c r="C325" i="108"/>
  <c r="C309" i="108"/>
  <c r="C337" i="108"/>
  <c r="C308" i="108"/>
  <c r="C336" i="108"/>
  <c r="C307" i="108"/>
  <c r="C305" i="108"/>
  <c r="C441" i="108"/>
  <c r="C91" i="113" s="1"/>
  <c r="C335" i="108"/>
  <c r="C73" i="113" s="1"/>
  <c r="C303" i="108"/>
  <c r="C440" i="108"/>
  <c r="C90" i="113" s="1"/>
  <c r="C333" i="108"/>
  <c r="C315" i="108"/>
  <c r="C302" i="108"/>
  <c r="C128" i="86"/>
  <c r="C135" i="86"/>
  <c r="C96" i="86" a="1"/>
  <c r="C96" i="86" s="1"/>
  <c r="C129" i="86"/>
  <c r="C136" i="86"/>
  <c r="C391" i="120"/>
  <c r="C386" i="120"/>
  <c r="C375" i="120"/>
  <c r="C398" i="120"/>
  <c r="C367" i="120"/>
  <c r="C103" i="86" a="1"/>
  <c r="F142" i="112"/>
  <c r="I332" i="87"/>
  <c r="C230" i="120"/>
  <c r="C279" i="120"/>
  <c r="C248" i="120"/>
  <c r="C277" i="120"/>
  <c r="C238" i="120"/>
  <c r="C260" i="120"/>
  <c r="C253" i="120"/>
  <c r="C243" i="119"/>
  <c r="C242" i="119"/>
  <c r="C65" i="85"/>
  <c r="C188" i="85"/>
  <c r="B306" i="120"/>
  <c r="B296" i="120"/>
  <c r="B305" i="120"/>
  <c r="B294" i="120"/>
  <c r="B304" i="120"/>
  <c r="B303" i="120"/>
  <c r="B293" i="120"/>
  <c r="B302" i="120"/>
  <c r="B301" i="120"/>
  <c r="B300" i="120"/>
  <c r="B299" i="120"/>
  <c r="B298" i="120"/>
  <c r="B308" i="120"/>
  <c r="B297" i="120"/>
  <c r="B307" i="120"/>
  <c r="B295" i="120"/>
  <c r="F169" i="112"/>
  <c r="F144" i="112"/>
  <c r="B205" i="75"/>
  <c r="B195" i="75"/>
  <c r="B203" i="75"/>
  <c r="B193" i="75"/>
  <c r="B202" i="75"/>
  <c r="B201" i="75"/>
  <c r="B200" i="75"/>
  <c r="B199" i="75"/>
  <c r="B208" i="75"/>
  <c r="B197" i="75"/>
  <c r="B207" i="75"/>
  <c r="B196" i="75"/>
  <c r="B206" i="75"/>
  <c r="B194" i="75"/>
  <c r="B198" i="75"/>
  <c r="B204" i="75"/>
  <c r="E137" i="112"/>
  <c r="C95" i="86"/>
  <c r="C48" i="86" a="1"/>
  <c r="C48" i="86" s="1"/>
  <c r="C106" i="85"/>
  <c r="C122" i="85"/>
  <c r="C133" i="85"/>
  <c r="C140" i="85"/>
  <c r="C335" i="120" a="1"/>
  <c r="C348" i="120" a="1"/>
  <c r="C338" i="120" a="1"/>
  <c r="C351" i="120" a="1"/>
  <c r="C341" i="120" a="1"/>
  <c r="C332" i="120" a="1"/>
  <c r="C345" i="120" a="1"/>
  <c r="C154" i="75"/>
  <c r="C530" i="75"/>
  <c r="C313" i="75"/>
  <c r="C288" i="75"/>
  <c r="C119" i="75"/>
  <c r="C273" i="75"/>
  <c r="C227" i="75"/>
  <c r="C147" i="75"/>
  <c r="C262" i="75"/>
  <c r="C246" i="75"/>
  <c r="C125" i="75"/>
  <c r="C504" i="75"/>
  <c r="C298" i="75"/>
  <c r="F143" i="112"/>
  <c r="I333" i="87"/>
  <c r="F168" i="112" s="1"/>
  <c r="C425" i="75"/>
  <c r="B320" i="120"/>
  <c r="B323" i="120"/>
  <c r="B312" i="120"/>
  <c r="B322" i="120"/>
  <c r="B311" i="120"/>
  <c r="B321" i="120"/>
  <c r="B310" i="120"/>
  <c r="B319" i="120"/>
  <c r="B318" i="120"/>
  <c r="B317" i="120"/>
  <c r="B316" i="120"/>
  <c r="B315" i="120"/>
  <c r="B325" i="120"/>
  <c r="B314" i="120"/>
  <c r="B324" i="120"/>
  <c r="B313" i="120"/>
  <c r="B106" i="113"/>
  <c r="B105" i="113"/>
  <c r="B96" i="113"/>
  <c r="B104" i="113"/>
  <c r="B103" i="113"/>
  <c r="B102" i="113"/>
  <c r="B111" i="113"/>
  <c r="B101" i="113"/>
  <c r="B97" i="113"/>
  <c r="B110" i="113"/>
  <c r="B109" i="113"/>
  <c r="B108" i="113"/>
  <c r="B107" i="113"/>
  <c r="B100" i="113"/>
  <c r="B99" i="113"/>
  <c r="B98" i="113"/>
  <c r="C561" i="117"/>
  <c r="C141" i="117"/>
  <c r="C560" i="120"/>
  <c r="C11" i="117"/>
  <c r="C598" i="117"/>
  <c r="C513" i="117"/>
  <c r="C514" i="117"/>
  <c r="C104" i="117"/>
  <c r="C22" i="117"/>
  <c r="C228" i="117"/>
  <c r="B31" i="123"/>
  <c r="B24" i="123"/>
  <c r="F141" i="112"/>
  <c r="I331" i="87"/>
  <c r="D277" i="75"/>
  <c r="D332" i="75"/>
  <c r="D353" i="75"/>
  <c r="D293" i="75"/>
  <c r="C105" i="85"/>
  <c r="C59" i="85"/>
  <c r="B191" i="75"/>
  <c r="B181" i="75"/>
  <c r="B186" i="75"/>
  <c r="B176" i="75"/>
  <c r="B185" i="75"/>
  <c r="B184" i="75"/>
  <c r="B183" i="75"/>
  <c r="B182" i="75"/>
  <c r="B190" i="75"/>
  <c r="B179" i="75"/>
  <c r="B189" i="75"/>
  <c r="B178" i="75"/>
  <c r="B188" i="75"/>
  <c r="B177" i="75"/>
  <c r="B187" i="75"/>
  <c r="B180" i="75"/>
  <c r="C155" i="120"/>
  <c r="C124" i="120"/>
  <c r="D516" i="108"/>
  <c r="D460" i="109"/>
  <c r="D482" i="108"/>
  <c r="D443" i="109"/>
  <c r="D477" i="109"/>
  <c r="D499" i="108"/>
  <c r="C71" i="119"/>
  <c r="C149" i="86"/>
  <c r="C92" i="86"/>
  <c r="C87" i="86" a="1"/>
  <c r="C87" i="86" s="1"/>
  <c r="C141" i="86"/>
  <c r="C114" i="86"/>
  <c r="C381" i="75"/>
  <c r="C15" i="75"/>
  <c r="C432" i="75"/>
  <c r="C30" i="75"/>
  <c r="C457" i="75"/>
  <c r="C303" i="75"/>
  <c r="C278" i="75"/>
  <c r="F45" i="112"/>
  <c r="F20" i="112" a="1"/>
  <c r="F20" i="112" s="1"/>
  <c r="C52" i="119"/>
  <c r="C59" i="119"/>
  <c r="C68" i="95"/>
  <c r="C66" i="95"/>
  <c r="C52" i="95"/>
  <c r="C67" i="95"/>
  <c r="C29" i="119"/>
  <c r="C229" i="119"/>
  <c r="C64" i="119"/>
  <c r="C186" i="85"/>
  <c r="C66" i="85"/>
  <c r="D345" i="75" a="1"/>
  <c r="D345" i="75" s="1"/>
  <c r="D326" i="75" a="1"/>
  <c r="D326" i="75" s="1"/>
  <c r="D266" i="75" a="1"/>
  <c r="D266" i="75" s="1"/>
  <c r="D249" i="75" a="1"/>
  <c r="D249" i="75" s="1"/>
  <c r="D391" i="120"/>
  <c r="D375" i="120"/>
  <c r="D398" i="120"/>
  <c r="D386" i="120"/>
  <c r="D279" i="120"/>
  <c r="D248" i="120"/>
  <c r="D238" i="120"/>
  <c r="D260" i="120"/>
  <c r="D253" i="120"/>
  <c r="C342" i="75"/>
  <c r="AA53" i="63"/>
  <c r="J89" i="54"/>
  <c r="I89" i="54"/>
  <c r="H89" i="54"/>
  <c r="C224" i="120"/>
  <c r="C231" i="120"/>
  <c r="C113" i="119"/>
  <c r="C212" i="119"/>
  <c r="C202" i="119"/>
  <c r="C198" i="85"/>
  <c r="C184" i="85"/>
  <c r="C278" i="120"/>
  <c r="C291" i="120"/>
  <c r="C104" i="119"/>
  <c r="C100" i="119"/>
  <c r="C112" i="119"/>
  <c r="C108" i="119"/>
  <c r="D301" i="75"/>
  <c r="D317" i="75"/>
  <c r="D357" i="75"/>
  <c r="D335" i="75"/>
  <c r="AA51" i="63"/>
  <c r="AA52" i="63"/>
  <c r="I88" i="54"/>
  <c r="H88" i="54"/>
  <c r="G88" i="54"/>
  <c r="J88" i="54"/>
  <c r="D314" i="75"/>
  <c r="D299" i="75"/>
  <c r="D263" i="75"/>
  <c r="D247" i="75"/>
  <c r="D289" i="75"/>
  <c r="D274" i="75"/>
  <c r="C220" i="75" l="1"/>
  <c r="C95" i="117"/>
  <c r="C579" i="117"/>
  <c r="C18" i="117"/>
  <c r="C560" i="117"/>
  <c r="C483" i="117"/>
  <c r="B21" i="123"/>
  <c r="C232" i="117"/>
  <c r="C465" i="117"/>
  <c r="C520" i="120"/>
  <c r="C392" i="117"/>
  <c r="C202" i="117"/>
  <c r="C214" i="117"/>
  <c r="C122" i="117"/>
  <c r="B32" i="123"/>
  <c r="C50" i="117"/>
  <c r="C653" i="117"/>
  <c r="C577" i="117"/>
  <c r="C131" i="117"/>
  <c r="C391" i="117"/>
  <c r="C211" i="117"/>
  <c r="C23" i="117"/>
  <c r="C307" i="117"/>
  <c r="D12" i="109"/>
  <c r="D13" i="109" s="1"/>
  <c r="C428" i="75"/>
  <c r="C184" i="120"/>
  <c r="C118" i="117"/>
  <c r="C467" i="117"/>
  <c r="C401" i="117"/>
  <c r="C422" i="117"/>
  <c r="C163" i="120"/>
  <c r="C123" i="120"/>
  <c r="C563" i="109"/>
  <c r="C552" i="109"/>
  <c r="C406" i="75"/>
  <c r="C59" i="115"/>
  <c r="C58" i="115"/>
  <c r="C92" i="115"/>
  <c r="C91" i="115"/>
  <c r="C88" i="115"/>
  <c r="C66" i="115"/>
  <c r="C70" i="115"/>
  <c r="C69" i="115"/>
  <c r="C77" i="115"/>
  <c r="C80" i="115"/>
  <c r="C81" i="115"/>
  <c r="K115" i="62"/>
  <c r="C89" i="119"/>
  <c r="C80" i="127"/>
  <c r="G92" i="54"/>
  <c r="J32" i="54" s="1"/>
  <c r="J33" i="54" s="1"/>
  <c r="K32" i="54"/>
  <c r="L32" i="54"/>
  <c r="L33" i="54" s="1"/>
  <c r="M32" i="54"/>
  <c r="C307" i="65"/>
  <c r="C287" i="65"/>
  <c r="AA57" i="63"/>
  <c r="D14" i="65"/>
  <c r="C107" i="108"/>
  <c r="C136" i="113" s="1"/>
  <c r="AA58" i="63"/>
  <c r="D16" i="65"/>
  <c r="E309" i="65" s="1"/>
  <c r="E14" i="109"/>
  <c r="E11" i="109"/>
  <c r="E13" i="109"/>
  <c r="E16" i="109"/>
  <c r="E12" i="109"/>
  <c r="E15" i="109"/>
  <c r="AA55" i="63"/>
  <c r="D15" i="65"/>
  <c r="D13" i="65"/>
  <c r="D17" i="65"/>
  <c r="D18" i="65"/>
  <c r="AA61" i="63"/>
  <c r="D193" i="85" s="1"/>
  <c r="B43" i="123"/>
  <c r="C561" i="120"/>
  <c r="C494" i="117"/>
  <c r="C40" i="117"/>
  <c r="C325" i="117"/>
  <c r="C169" i="85"/>
  <c r="X35" i="123"/>
  <c r="C426" i="75"/>
  <c r="C136" i="120"/>
  <c r="C181" i="119"/>
  <c r="C57" i="119"/>
  <c r="X26" i="123"/>
  <c r="X48" i="123"/>
  <c r="C211" i="119"/>
  <c r="C365" i="120"/>
  <c r="D16" i="109"/>
  <c r="T78" i="123" s="1"/>
  <c r="C239" i="75"/>
  <c r="C211" i="85"/>
  <c r="N73" i="123"/>
  <c r="T73" i="123"/>
  <c r="E78" i="123"/>
  <c r="B73" i="123"/>
  <c r="B75" i="123"/>
  <c r="Q75" i="123"/>
  <c r="K78" i="123"/>
  <c r="H78" i="123"/>
  <c r="Q78" i="123"/>
  <c r="N75" i="123"/>
  <c r="N78" i="123"/>
  <c r="T75" i="123"/>
  <c r="B78" i="123"/>
  <c r="E75" i="123"/>
  <c r="H75" i="123"/>
  <c r="H73" i="123"/>
  <c r="K75" i="123"/>
  <c r="Q73" i="123"/>
  <c r="C160" i="112"/>
  <c r="H160" i="112"/>
  <c r="F160" i="112"/>
  <c r="D160" i="112"/>
  <c r="G160" i="112"/>
  <c r="E160" i="112"/>
  <c r="E73" i="123"/>
  <c r="K73" i="123"/>
  <c r="C415" i="120"/>
  <c r="C47" i="109"/>
  <c r="C76" i="109"/>
  <c r="C405" i="120"/>
  <c r="C323" i="75"/>
  <c r="C167" i="86"/>
  <c r="C103" i="86"/>
  <c r="C337" i="120"/>
  <c r="C331" i="120"/>
  <c r="C115" i="86"/>
  <c r="C151" i="119"/>
  <c r="C480" i="117"/>
  <c r="C113" i="117"/>
  <c r="C347" i="120"/>
  <c r="C50" i="119"/>
  <c r="C516" i="75"/>
  <c r="C178" i="120"/>
  <c r="B23" i="123"/>
  <c r="B39" i="123"/>
  <c r="C215" i="117"/>
  <c r="C544" i="120"/>
  <c r="C46" i="117"/>
  <c r="C383" i="117"/>
  <c r="C546" i="120"/>
  <c r="C28" i="117"/>
  <c r="C212" i="117"/>
  <c r="C573" i="117"/>
  <c r="C468" i="117"/>
  <c r="C188" i="117"/>
  <c r="C572" i="117"/>
  <c r="C584" i="117"/>
  <c r="C320" i="117"/>
  <c r="C14" i="117"/>
  <c r="C321" i="117"/>
  <c r="C96" i="117"/>
  <c r="C490" i="117"/>
  <c r="C200" i="117"/>
  <c r="B33" i="123"/>
  <c r="B20" i="123"/>
  <c r="C302" i="117"/>
  <c r="C554" i="120"/>
  <c r="C119" i="117"/>
  <c r="C492" i="117"/>
  <c r="C27" i="117"/>
  <c r="C108" i="117"/>
  <c r="C299" i="117"/>
  <c r="C386" i="117"/>
  <c r="C484" i="117"/>
  <c r="C204" i="117"/>
  <c r="C582" i="117"/>
  <c r="C600" i="117"/>
  <c r="C375" i="117"/>
  <c r="C24" i="117"/>
  <c r="C376" i="117"/>
  <c r="C112" i="117"/>
  <c r="C506" i="117"/>
  <c r="C345" i="120"/>
  <c r="C161" i="119"/>
  <c r="C169" i="119"/>
  <c r="C162" i="119"/>
  <c r="C111" i="119"/>
  <c r="C344" i="120"/>
  <c r="C284" i="120"/>
  <c r="C562" i="117"/>
  <c r="C281" i="117"/>
  <c r="C542" i="120"/>
  <c r="C306" i="117"/>
  <c r="C41" i="117"/>
  <c r="C505" i="117"/>
  <c r="C196" i="117"/>
  <c r="C575" i="117"/>
  <c r="C304" i="117"/>
  <c r="C530" i="120"/>
  <c r="C390" i="117"/>
  <c r="C388" i="117"/>
  <c r="C107" i="117"/>
  <c r="C413" i="117"/>
  <c r="C412" i="117"/>
  <c r="C114" i="117"/>
  <c r="C518" i="120"/>
  <c r="C526" i="120"/>
  <c r="C607" i="117"/>
  <c r="C536" i="120"/>
  <c r="C372" i="117"/>
  <c r="C308" i="117"/>
  <c r="C190" i="117"/>
  <c r="C189" i="117"/>
  <c r="B40" i="123"/>
  <c r="B44" i="123"/>
  <c r="B45" i="123"/>
  <c r="C507" i="117"/>
  <c r="C226" i="117"/>
  <c r="C606" i="117"/>
  <c r="C296" i="117"/>
  <c r="C25" i="117"/>
  <c r="C489" i="117"/>
  <c r="C139" i="117"/>
  <c r="C558" i="117"/>
  <c r="C294" i="117"/>
  <c r="C655" i="117"/>
  <c r="C374" i="117"/>
  <c r="C329" i="117"/>
  <c r="C20" i="117"/>
  <c r="C397" i="117"/>
  <c r="C396" i="117"/>
  <c r="C538" i="120"/>
  <c r="C399" i="117"/>
  <c r="C654" i="117"/>
  <c r="C389" i="117"/>
  <c r="C599" i="117"/>
  <c r="C283" i="117"/>
  <c r="C282" i="117"/>
  <c r="C143" i="117"/>
  <c r="C142" i="117"/>
  <c r="B30" i="123"/>
  <c r="B34" i="123"/>
  <c r="B42" i="123"/>
  <c r="C491" i="117"/>
  <c r="C210" i="117"/>
  <c r="C587" i="117"/>
  <c r="C279" i="117"/>
  <c r="C15" i="117"/>
  <c r="C479" i="117"/>
  <c r="C226" i="75"/>
  <c r="C140" i="75"/>
  <c r="C215" i="75"/>
  <c r="C225" i="75"/>
  <c r="C353" i="120"/>
  <c r="C201" i="119"/>
  <c r="C486" i="75"/>
  <c r="B35" i="123"/>
  <c r="B27" i="123"/>
  <c r="B41" i="123"/>
  <c r="C512" i="120"/>
  <c r="C201" i="117"/>
  <c r="C486" i="117"/>
  <c r="C49" i="117"/>
  <c r="C206" i="117"/>
  <c r="C298" i="117"/>
  <c r="C135" i="117"/>
  <c r="C493" i="117"/>
  <c r="C569" i="117"/>
  <c r="C289" i="117"/>
  <c r="C400" i="117"/>
  <c r="C38" i="117"/>
  <c r="C420" i="117"/>
  <c r="C111" i="117"/>
  <c r="C576" i="117"/>
  <c r="C197" i="117"/>
  <c r="C552" i="120"/>
  <c r="C382" i="117"/>
  <c r="C351" i="120"/>
  <c r="C165" i="85"/>
  <c r="C107" i="119"/>
  <c r="C168" i="75"/>
  <c r="B36" i="123"/>
  <c r="B37" i="123"/>
  <c r="C510" i="120"/>
  <c r="C521" i="120"/>
  <c r="C227" i="117"/>
  <c r="C534" i="120"/>
  <c r="C103" i="117"/>
  <c r="C293" i="117"/>
  <c r="C327" i="117"/>
  <c r="C186" i="117"/>
  <c r="C511" i="117"/>
  <c r="C581" i="117"/>
  <c r="C301" i="117"/>
  <c r="C418" i="117"/>
  <c r="C93" i="117"/>
  <c r="C476" i="117"/>
  <c r="C121" i="117"/>
  <c r="C586" i="117"/>
  <c r="C209" i="117"/>
  <c r="C16" i="117"/>
  <c r="C394" i="117"/>
  <c r="C338" i="120"/>
  <c r="C238" i="75"/>
  <c r="C374" i="75"/>
  <c r="C341" i="75"/>
  <c r="C292" i="65"/>
  <c r="C171" i="119" s="1"/>
  <c r="C58" i="119"/>
  <c r="C452" i="75"/>
  <c r="C159" i="75"/>
  <c r="B46" i="123"/>
  <c r="B47" i="123"/>
  <c r="C529" i="120"/>
  <c r="C17" i="117"/>
  <c r="C482" i="117"/>
  <c r="C545" i="120"/>
  <c r="C205" i="117"/>
  <c r="C319" i="117"/>
  <c r="C528" i="120"/>
  <c r="C213" i="117"/>
  <c r="C568" i="117"/>
  <c r="C596" i="117"/>
  <c r="C398" i="117"/>
  <c r="C475" i="117"/>
  <c r="C110" i="117"/>
  <c r="C488" i="117"/>
  <c r="C208" i="117"/>
  <c r="C604" i="117"/>
  <c r="C224" i="117"/>
  <c r="C26" i="117"/>
  <c r="C348" i="120"/>
  <c r="C280" i="120"/>
  <c r="C283" i="120"/>
  <c r="C302" i="65"/>
  <c r="C96" i="119"/>
  <c r="C401" i="75"/>
  <c r="C216" i="75"/>
  <c r="B22" i="123"/>
  <c r="B28" i="123"/>
  <c r="C553" i="120"/>
  <c r="C116" i="117"/>
  <c r="C513" i="120"/>
  <c r="C21" i="117"/>
  <c r="C234" i="117"/>
  <c r="C395" i="117"/>
  <c r="C29" i="117"/>
  <c r="C300" i="117"/>
  <c r="C580" i="117"/>
  <c r="C651" i="117"/>
  <c r="C414" i="117"/>
  <c r="C487" i="117"/>
  <c r="C120" i="117"/>
  <c r="C503" i="117"/>
  <c r="C236" i="117"/>
  <c r="C514" i="120"/>
  <c r="C393" i="117"/>
  <c r="C42" i="117"/>
  <c r="C481" i="117"/>
  <c r="C335" i="120"/>
  <c r="C130" i="120"/>
  <c r="C204" i="120"/>
  <c r="C112" i="120"/>
  <c r="C297" i="65"/>
  <c r="C191" i="85" s="1"/>
  <c r="C77" i="119"/>
  <c r="C234" i="75"/>
  <c r="B25" i="123"/>
  <c r="B38" i="123"/>
  <c r="C10" i="117"/>
  <c r="C303" i="117"/>
  <c r="C522" i="120"/>
  <c r="C48" i="117"/>
  <c r="C290" i="117"/>
  <c r="C537" i="120"/>
  <c r="C109" i="117"/>
  <c r="C328" i="117"/>
  <c r="C608" i="117"/>
  <c r="C117" i="117"/>
  <c r="C469" i="117"/>
  <c r="C515" i="117"/>
  <c r="C207" i="117"/>
  <c r="C585" i="117"/>
  <c r="C295" i="117"/>
  <c r="C550" i="120"/>
  <c r="C421" i="117"/>
  <c r="C97" i="117"/>
  <c r="C578" i="117"/>
  <c r="C285" i="120"/>
  <c r="C152" i="119"/>
  <c r="C476" i="75"/>
  <c r="C142" i="120"/>
  <c r="B26" i="123"/>
  <c r="B29" i="123"/>
  <c r="C115" i="117"/>
  <c r="C583" i="117"/>
  <c r="C19" i="117"/>
  <c r="C203" i="117"/>
  <c r="C317" i="117"/>
  <c r="C562" i="120"/>
  <c r="C134" i="117"/>
  <c r="C410" i="117"/>
  <c r="C387" i="117"/>
  <c r="C133" i="117"/>
  <c r="C485" i="117"/>
  <c r="C574" i="117"/>
  <c r="C235" i="117"/>
  <c r="C558" i="120"/>
  <c r="C305" i="117"/>
  <c r="C109" i="119"/>
  <c r="C332" i="120"/>
  <c r="C341" i="120"/>
  <c r="C175" i="119"/>
  <c r="C376" i="65"/>
  <c r="C93" i="65"/>
  <c r="C92" i="65"/>
  <c r="C89" i="65"/>
  <c r="C382" i="65"/>
  <c r="C100" i="65"/>
  <c r="C104" i="65"/>
  <c r="C103" i="65"/>
  <c r="C126" i="65"/>
  <c r="C125" i="65"/>
  <c r="C122" i="65"/>
  <c r="C389" i="115"/>
  <c r="C233" i="120"/>
  <c r="C153" i="115" a="1"/>
  <c r="C157" i="115" s="1"/>
  <c r="K335" i="62"/>
  <c r="K105" i="62"/>
  <c r="K353" i="62"/>
  <c r="K139" i="62"/>
  <c r="K138" i="62"/>
  <c r="K347" i="62"/>
  <c r="K131" i="62"/>
  <c r="C228" i="65" a="1"/>
  <c r="C232" i="65" s="1"/>
  <c r="C77" i="75"/>
  <c r="K119" i="62"/>
  <c r="K120" i="62"/>
  <c r="C165" i="120"/>
  <c r="C69" i="119"/>
  <c r="C60" i="75"/>
  <c r="C46" i="75"/>
  <c r="C110" i="119"/>
  <c r="C339" i="120"/>
  <c r="C52" i="75"/>
  <c r="C223" i="120"/>
  <c r="C340" i="120"/>
  <c r="C103" i="119"/>
  <c r="C350" i="120"/>
  <c r="C547" i="108"/>
  <c r="C183" i="85"/>
  <c r="C289" i="120"/>
  <c r="C63" i="85"/>
  <c r="C178" i="108"/>
  <c r="C61" i="119"/>
  <c r="C412" i="120"/>
  <c r="C275" i="120"/>
  <c r="C356" i="109"/>
  <c r="C392" i="120"/>
  <c r="C254" i="120"/>
  <c r="C173" i="85"/>
  <c r="C592" i="108"/>
  <c r="C568" i="108"/>
  <c r="C549" i="108"/>
  <c r="C598" i="108"/>
  <c r="C575" i="108"/>
  <c r="C571" i="108"/>
  <c r="C556" i="108"/>
  <c r="C36" i="116"/>
  <c r="C117" i="116"/>
  <c r="C161" i="85"/>
  <c r="C154" i="85"/>
  <c r="C241" i="119"/>
  <c r="C264" i="120"/>
  <c r="C413" i="120"/>
  <c r="C395" i="120"/>
  <c r="C257" i="120"/>
  <c r="C228" i="120"/>
  <c r="C123" i="85"/>
  <c r="C402" i="120"/>
  <c r="C367" i="109"/>
  <c r="C163" i="85"/>
  <c r="C362" i="109"/>
  <c r="C197" i="85"/>
  <c r="C263" i="75"/>
  <c r="C104" i="85"/>
  <c r="C314" i="75"/>
  <c r="C409" i="108"/>
  <c r="C289" i="75"/>
  <c r="C235" i="75"/>
  <c r="C299" i="75"/>
  <c r="C50" i="85"/>
  <c r="C430" i="109"/>
  <c r="C247" i="75"/>
  <c r="C274" i="75"/>
  <c r="C97" i="120"/>
  <c r="C69" i="108"/>
  <c r="C115" i="85"/>
  <c r="C486" i="109"/>
  <c r="C523" i="108"/>
  <c r="C138" i="85"/>
  <c r="C539" i="108"/>
  <c r="C105" i="86"/>
  <c r="C42" i="113"/>
  <c r="C504" i="109"/>
  <c r="C151" i="75"/>
  <c r="C27" i="113"/>
  <c r="C360" i="120"/>
  <c r="C124" i="86"/>
  <c r="C46" i="86"/>
  <c r="C133" i="86"/>
  <c r="C45" i="85"/>
  <c r="C148" i="75"/>
  <c r="C400" i="108"/>
  <c r="C405" i="108"/>
  <c r="C70" i="85"/>
  <c r="C94" i="86"/>
  <c r="C57" i="85"/>
  <c r="C469" i="108"/>
  <c r="C438" i="115"/>
  <c r="C22" i="119"/>
  <c r="C444" i="109"/>
  <c r="C517" i="108"/>
  <c r="C377" i="120"/>
  <c r="C182" i="119"/>
  <c r="C462" i="109"/>
  <c r="K340" i="62"/>
  <c r="C19" i="119"/>
  <c r="C500" i="108"/>
  <c r="C125" i="113"/>
  <c r="C103" i="116"/>
  <c r="C478" i="109"/>
  <c r="C461" i="109"/>
  <c r="C483" i="108"/>
  <c r="C49" i="113"/>
  <c r="C11" i="113"/>
  <c r="C352" i="65"/>
  <c r="C490" i="109"/>
  <c r="C496" i="109"/>
  <c r="C112" i="75"/>
  <c r="C116" i="85"/>
  <c r="C445" i="109"/>
  <c r="C193" i="119"/>
  <c r="C106" i="86"/>
  <c r="C242" i="120"/>
  <c r="C479" i="109"/>
  <c r="C137" i="119"/>
  <c r="C380" i="120"/>
  <c r="C185" i="108"/>
  <c r="C30" i="113"/>
  <c r="C162" i="108"/>
  <c r="C606" i="108" s="1"/>
  <c r="C620" i="109"/>
  <c r="C423" i="109"/>
  <c r="C116" i="116"/>
  <c r="C573" i="108" a="1"/>
  <c r="C573" i="108" s="1"/>
  <c r="C582" i="108" a="1"/>
  <c r="C582" i="108" s="1"/>
  <c r="C111" i="120"/>
  <c r="C643" i="108" a="1"/>
  <c r="C643" i="108" s="1"/>
  <c r="C170" i="119"/>
  <c r="C575" i="109"/>
  <c r="C529" i="109"/>
  <c r="C127" i="109"/>
  <c r="C605" i="109" s="1"/>
  <c r="C554" i="109"/>
  <c r="C545" i="109"/>
  <c r="C522" i="109"/>
  <c r="C518" i="109"/>
  <c r="C83" i="119"/>
  <c r="C333" i="120"/>
  <c r="C102" i="119"/>
  <c r="C106" i="119"/>
  <c r="C86" i="119"/>
  <c r="C336" i="120"/>
  <c r="C98" i="119"/>
  <c r="C80" i="119"/>
  <c r="C330" i="120"/>
  <c r="C126" i="85"/>
  <c r="C561" i="109"/>
  <c r="C411" i="109"/>
  <c r="C565" i="109"/>
  <c r="C415" i="109"/>
  <c r="C408" i="109"/>
  <c r="C553" i="108"/>
  <c r="C545" i="108"/>
  <c r="C580" i="108"/>
  <c r="C454" i="108"/>
  <c r="C561" i="108"/>
  <c r="C449" i="108"/>
  <c r="C451" i="108"/>
  <c r="C584" i="108"/>
  <c r="C23" i="116"/>
  <c r="C92" i="109"/>
  <c r="C234" i="119"/>
  <c r="C245" i="119"/>
  <c r="C211" i="120"/>
  <c r="C595" i="109"/>
  <c r="C35" i="116"/>
  <c r="C41" i="116"/>
  <c r="C122" i="116"/>
  <c r="C518" i="108"/>
  <c r="C184" i="108"/>
  <c r="C624" i="108" s="1"/>
  <c r="C169" i="108"/>
  <c r="C139" i="113"/>
  <c r="C37" i="113"/>
  <c r="C145" i="113"/>
  <c r="C43" i="113"/>
  <c r="C133" i="113"/>
  <c r="C527" i="108"/>
  <c r="C533" i="108"/>
  <c r="C23" i="113"/>
  <c r="C149" i="108"/>
  <c r="C140" i="113"/>
  <c r="C38" i="113"/>
  <c r="C392" i="108"/>
  <c r="C61" i="113"/>
  <c r="C29" i="116"/>
  <c r="C617" i="109"/>
  <c r="C128" i="109"/>
  <c r="C412" i="65"/>
  <c r="C411" i="65"/>
  <c r="C407" i="65"/>
  <c r="C414" i="65"/>
  <c r="C406" i="65"/>
  <c r="C417" i="65"/>
  <c r="C413" i="65"/>
  <c r="C421" i="65"/>
  <c r="C410" i="65"/>
  <c r="C415" i="65"/>
  <c r="C409" i="65"/>
  <c r="C420" i="65"/>
  <c r="C419" i="65"/>
  <c r="C408" i="65"/>
  <c r="C416" i="65"/>
  <c r="C418" i="65"/>
  <c r="C37" i="116"/>
  <c r="C118" i="116"/>
  <c r="C634" i="108"/>
  <c r="C620" i="108"/>
  <c r="C458" i="108"/>
  <c r="C142" i="113"/>
  <c r="C123" i="116"/>
  <c r="C42" i="116"/>
  <c r="C26" i="116"/>
  <c r="C611" i="109"/>
  <c r="C121" i="109"/>
  <c r="C120" i="109"/>
  <c r="C105" i="109"/>
  <c r="C618" i="108"/>
  <c r="C626" i="109"/>
  <c r="C401" i="109"/>
  <c r="C371" i="115"/>
  <c r="C590" i="109"/>
  <c r="C14" i="116"/>
  <c r="C119" i="109"/>
  <c r="C602" i="109"/>
  <c r="C18" i="113"/>
  <c r="C183" i="108"/>
  <c r="C627" i="108"/>
  <c r="C615" i="108"/>
  <c r="C14" i="113"/>
  <c r="C609" i="108"/>
  <c r="C621" i="108"/>
  <c r="C176" i="108"/>
  <c r="C22" i="113"/>
  <c r="C144" i="108"/>
  <c r="C18" i="116"/>
  <c r="C593" i="109"/>
  <c r="C596" i="109"/>
  <c r="C608" i="109"/>
  <c r="C126" i="109"/>
  <c r="C88" i="116"/>
  <c r="C402" i="109"/>
  <c r="C102" i="116"/>
  <c r="C124" i="113"/>
  <c r="C10" i="113"/>
  <c r="C48" i="113"/>
  <c r="K339" i="62"/>
  <c r="C93" i="113"/>
  <c r="C444" i="108"/>
  <c r="C484" i="108"/>
  <c r="C501" i="108"/>
  <c r="F167" i="112"/>
  <c r="F166" i="112"/>
  <c r="C73" i="116"/>
  <c r="C76" i="113"/>
  <c r="C77" i="113"/>
  <c r="C74" i="116"/>
  <c r="H92" i="54"/>
  <c r="J92" i="54"/>
  <c r="I92" i="54"/>
  <c r="O281" i="87" l="1"/>
  <c r="C51" i="109"/>
  <c r="C373" i="65"/>
  <c r="C79" i="109" s="1"/>
  <c r="C119" i="116" s="1"/>
  <c r="C346" i="65"/>
  <c r="C372" i="65"/>
  <c r="C47" i="116" s="1"/>
  <c r="C158" i="109"/>
  <c r="C11" i="116"/>
  <c r="C10" i="116"/>
  <c r="C48" i="116"/>
  <c r="C20" i="95"/>
  <c r="K33" i="54"/>
  <c r="R8" i="54"/>
  <c r="R9" i="54" s="1"/>
  <c r="C58" i="95"/>
  <c r="U9" i="63"/>
  <c r="D44" i="95" s="1"/>
  <c r="C94" i="95"/>
  <c r="U11" i="63"/>
  <c r="D45" i="95" s="1"/>
  <c r="C90" i="95"/>
  <c r="K280" i="87"/>
  <c r="M275" i="87"/>
  <c r="K275" i="87" a="1"/>
  <c r="K275" i="87" s="1"/>
  <c r="M274" i="87"/>
  <c r="C39" i="95"/>
  <c r="C76" i="95"/>
  <c r="U20" i="63"/>
  <c r="E307" i="65"/>
  <c r="E310" i="65"/>
  <c r="E308" i="65"/>
  <c r="O276" i="87"/>
  <c r="K281" i="87"/>
  <c r="M276" i="87"/>
  <c r="M271" i="87"/>
  <c r="K279" i="87"/>
  <c r="O279" i="87"/>
  <c r="K278" i="87"/>
  <c r="K277" i="87"/>
  <c r="M272" i="87"/>
  <c r="O277" i="87"/>
  <c r="O278" i="87"/>
  <c r="O280" i="87"/>
  <c r="K276" i="87"/>
  <c r="O275" i="87"/>
  <c r="M273" i="87"/>
  <c r="M270" i="87"/>
  <c r="C167" i="109"/>
  <c r="U15" i="63"/>
  <c r="C157" i="109"/>
  <c r="U16" i="63"/>
  <c r="U10" i="63"/>
  <c r="C21" i="95"/>
  <c r="AA21" i="63"/>
  <c r="C19" i="95" s="1"/>
  <c r="U8" i="63"/>
  <c r="C81" i="95"/>
  <c r="C35" i="95"/>
  <c r="C193" i="85"/>
  <c r="C45" i="95"/>
  <c r="U32" i="63"/>
  <c r="U12" i="63"/>
  <c r="C51" i="95"/>
  <c r="U14" i="63"/>
  <c r="C96" i="95"/>
  <c r="U13" i="63"/>
  <c r="D96" i="95" s="1"/>
  <c r="C44" i="95"/>
  <c r="C168" i="109"/>
  <c r="C190" i="85"/>
  <c r="C173" i="108"/>
  <c r="C31" i="113" s="1"/>
  <c r="C116" i="109"/>
  <c r="C30" i="116" s="1"/>
  <c r="C166" i="108"/>
  <c r="C28" i="113" s="1"/>
  <c r="C456" i="108"/>
  <c r="C115" i="113" s="1"/>
  <c r="C463" i="108"/>
  <c r="C118" i="113" s="1"/>
  <c r="C109" i="109"/>
  <c r="C27" i="116" s="1"/>
  <c r="C234" i="120"/>
  <c r="C164" i="85"/>
  <c r="C189" i="85"/>
  <c r="C192" i="85"/>
  <c r="C78" i="109"/>
  <c r="C156" i="115"/>
  <c r="C175" i="85"/>
  <c r="C174" i="85"/>
  <c r="C235" i="65"/>
  <c r="C230" i="65"/>
  <c r="C159" i="115"/>
  <c r="C241" i="65"/>
  <c r="C52" i="109"/>
  <c r="C234" i="65"/>
  <c r="C236" i="65"/>
  <c r="C164" i="115"/>
  <c r="C162" i="115"/>
  <c r="C163" i="115"/>
  <c r="C161" i="115"/>
  <c r="C155" i="115"/>
  <c r="C153" i="115"/>
  <c r="C160" i="115"/>
  <c r="C165" i="115"/>
  <c r="C158" i="115"/>
  <c r="C154" i="115"/>
  <c r="C167" i="115"/>
  <c r="C166" i="115"/>
  <c r="C168" i="115"/>
  <c r="C229" i="65"/>
  <c r="C228" i="65"/>
  <c r="C237" i="65"/>
  <c r="C238" i="65"/>
  <c r="C239" i="65"/>
  <c r="C240" i="65"/>
  <c r="C243" i="65"/>
  <c r="C231" i="65"/>
  <c r="C242" i="65"/>
  <c r="C233" i="65"/>
  <c r="C34" i="113"/>
  <c r="C633" i="108"/>
  <c r="C608" i="108"/>
  <c r="C137" i="113"/>
  <c r="C457" i="108"/>
  <c r="C35" i="113"/>
  <c r="C39" i="113"/>
  <c r="C141" i="113"/>
  <c r="C121" i="116"/>
  <c r="C607" i="109"/>
  <c r="C621" i="109"/>
  <c r="C424" i="109"/>
  <c r="C40" i="116"/>
  <c r="C138" i="113"/>
  <c r="C614" i="108"/>
  <c r="C612" i="108"/>
  <c r="C639" i="108"/>
  <c r="C36" i="113"/>
  <c r="C461" i="108"/>
  <c r="C640" i="108"/>
  <c r="C143" i="113"/>
  <c r="C41" i="113"/>
  <c r="C462" i="108"/>
  <c r="C626" i="108"/>
  <c r="C614" i="109"/>
  <c r="C589" i="109"/>
  <c r="C115" i="116"/>
  <c r="C34" i="116"/>
  <c r="C418" i="109"/>
  <c r="C120" i="116"/>
  <c r="C39" i="116"/>
  <c r="C419" i="109"/>
  <c r="C601" i="109"/>
  <c r="C615" i="109"/>
  <c r="C599" i="109"/>
  <c r="C587" i="109"/>
  <c r="R16" i="54"/>
  <c r="R15" i="54"/>
  <c r="M33" i="54"/>
  <c r="C50" i="109" l="1"/>
  <c r="C33" i="116" s="1"/>
  <c r="D58" i="95"/>
  <c r="D39" i="95"/>
  <c r="D35" i="95"/>
  <c r="D81" i="95"/>
  <c r="D51" i="95"/>
  <c r="D94" i="95"/>
  <c r="D90" i="95"/>
  <c r="D76" i="95"/>
  <c r="C80" i="109"/>
  <c r="C613" i="109"/>
  <c r="C131" i="109"/>
  <c r="C638" i="108"/>
  <c r="C632" i="108"/>
  <c r="C181" i="108"/>
  <c r="C188" i="108"/>
  <c r="C619" i="109"/>
  <c r="C124" i="109"/>
  <c r="C38" i="116"/>
  <c r="R17" i="54"/>
  <c r="R10" i="54"/>
  <c r="C114" i="116" l="1"/>
  <c r="R18" i="54"/>
  <c r="R19" i="54" s="1"/>
  <c r="R20" i="54" s="1"/>
  <c r="R21" i="5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<sst xmlns="http://schemas.openxmlformats.org/spreadsheetml/2006/main" count="14474" uniqueCount="4205">
  <si>
    <t xml:space="preserve">         VMware Cloud Foundation Management Domain Post-Deployment </t>
  </si>
  <si>
    <t>This page contains all user required values used for associated Post-Config tasks. Each table and value maps directly to a process in the deployment guidance documentation.</t>
  </si>
  <si>
    <t>Configure SFTP Backups for SDDC Manager and NSX</t>
  </si>
  <si>
    <t>Apply Signed Certificates</t>
  </si>
  <si>
    <t>NSX Network Connectivity for the MGMT Workload Domain</t>
  </si>
  <si>
    <t xml:space="preserve">Deploy AVI Loadbalancer </t>
  </si>
  <si>
    <t>Stretched Cluster</t>
  </si>
  <si>
    <t>NSX Federation for Management Domain</t>
  </si>
  <si>
    <t>Management Domain: Post-Deployment Options</t>
  </si>
  <si>
    <t>Select Option</t>
  </si>
  <si>
    <t>Feature</t>
  </si>
  <si>
    <t>Final Result</t>
  </si>
  <si>
    <t>Information</t>
  </si>
  <si>
    <t>Exclude</t>
  </si>
  <si>
    <t>NSX Network Connectivity for MGMT Workload Domain</t>
  </si>
  <si>
    <t>vSAN Stretched Cluster</t>
  </si>
  <si>
    <t>Configure SFTP Backups for SDDC Manager and NSX {VCF Operations}</t>
  </si>
  <si>
    <t>Configure SFTP Settings</t>
  </si>
  <si>
    <t>Configuration</t>
  </si>
  <si>
    <t>Sample</t>
  </si>
  <si>
    <t>Your Value</t>
  </si>
  <si>
    <t>Notes</t>
  </si>
  <si>
    <t xml:space="preserve">Host FQDN or IP </t>
  </si>
  <si>
    <t>20.10.5.10</t>
  </si>
  <si>
    <t>SFTP server for NSX Backups</t>
  </si>
  <si>
    <t>Port</t>
  </si>
  <si>
    <t>Transfer Protocol</t>
  </si>
  <si>
    <t>SFTP</t>
  </si>
  <si>
    <t>Username</t>
  </si>
  <si>
    <t>svc-vcf-bck</t>
  </si>
  <si>
    <t>Password</t>
  </si>
  <si>
    <t>VMw@re1!</t>
  </si>
  <si>
    <t>Backup Directory</t>
  </si>
  <si>
    <t>/backups/</t>
  </si>
  <si>
    <t>SSH Fingerprint</t>
  </si>
  <si>
    <t>SHA256:JYFI4GSJS3V9BpPzHMX8NDpo3R0sAJvM5QpB0cWs61Y</t>
  </si>
  <si>
    <t>Encryption Passphrase</t>
  </si>
  <si>
    <t xml:space="preserve"> Minimum 8 Characters, 2 Uppercase, 2  Lower, 2 Digits </t>
  </si>
  <si>
    <t>Install Microsoft Certificate Authority Roles</t>
  </si>
  <si>
    <t>FQDN</t>
  </si>
  <si>
    <t>rpl-ad01.rainpole.io</t>
  </si>
  <si>
    <t>User</t>
  </si>
  <si>
    <t>Administrator</t>
  </si>
  <si>
    <t>Configure the Microsoft Certificate Authority for Basic Authentication</t>
  </si>
  <si>
    <t>Your_Server</t>
  </si>
  <si>
    <t>Create and Add a Microsoft Certificate Authority Template</t>
  </si>
  <si>
    <t>CA Server URL</t>
  </si>
  <si>
    <t>User Name</t>
  </si>
  <si>
    <t>Template Name</t>
  </si>
  <si>
    <t>VMware</t>
  </si>
  <si>
    <t>Assign Certificate Management Privileges to the SDDC Manager Service Account</t>
  </si>
  <si>
    <t>Active Directory Account Username</t>
  </si>
  <si>
    <t>svc-vcf-ca</t>
  </si>
  <si>
    <t>Configure a Microsoft Certificate Authority in VCF Operations</t>
  </si>
  <si>
    <t>Certificate Authority</t>
  </si>
  <si>
    <t>Microsoft</t>
  </si>
  <si>
    <t>Installing Microsoft CA-Signed Certificates using VCF Operations</t>
  </si>
  <si>
    <t>Algorithm</t>
  </si>
  <si>
    <t>RSA</t>
  </si>
  <si>
    <t>Organization</t>
  </si>
  <si>
    <t>Rainpole</t>
  </si>
  <si>
    <t>Organizational Unit</t>
  </si>
  <si>
    <t>IT</t>
  </si>
  <si>
    <t>Country</t>
  </si>
  <si>
    <t>US</t>
  </si>
  <si>
    <t>State</t>
  </si>
  <si>
    <t>CA</t>
  </si>
  <si>
    <t>Locality</t>
  </si>
  <si>
    <t>San Francisco</t>
  </si>
  <si>
    <t>Email</t>
  </si>
  <si>
    <t>administrator@rainpole.io</t>
  </si>
  <si>
    <t>Key Size</t>
  </si>
  <si>
    <t>Configure OpenSSL-signed Certificates in VCF Operations</t>
  </si>
  <si>
    <t>OpenSSL</t>
  </si>
  <si>
    <t>Common Name</t>
  </si>
  <si>
    <t>Locality Name</t>
  </si>
  <si>
    <t>Organization Name</t>
  </si>
  <si>
    <t>Organizational Unit Name</t>
  </si>
  <si>
    <t>Installing OpenSSL-signed Certificates using VCF Operations</t>
  </si>
  <si>
    <t>User name</t>
  </si>
  <si>
    <t>VCF</t>
  </si>
  <si>
    <t>Create an NSX Edge Cluster</t>
  </si>
  <si>
    <t>Gateway Type</t>
  </si>
  <si>
    <t>Centralized Connectivity</t>
  </si>
  <si>
    <t>External Network Connectivity</t>
  </si>
  <si>
    <t>VLAN ID</t>
  </si>
  <si>
    <t>Gateway CIDR IPv4</t>
  </si>
  <si>
    <t>10.11.98.1/24</t>
  </si>
  <si>
    <t>Edge Cluster</t>
  </si>
  <si>
    <t>Edge Cluster Name</t>
  </si>
  <si>
    <t>Tunnel Endpoint MTU</t>
  </si>
  <si>
    <t>Edge Form Factor</t>
  </si>
  <si>
    <t>Medium</t>
  </si>
  <si>
    <t>Edge Node 1</t>
  </si>
  <si>
    <t>Edge Node 1: Edge Node Name (FQDN)</t>
  </si>
  <si>
    <t>vSphere Cluster</t>
  </si>
  <si>
    <t>Values are set based on vSphere Cluster configuration in the Deploy Management Domain Tab. Click to Redirect</t>
  </si>
  <si>
    <t>Resource Pool</t>
  </si>
  <si>
    <t xml:space="preserve">Resource Pool is optional and must be precreated in vCenter Prior to Starting this workflow </t>
  </si>
  <si>
    <t>Host Group Affinity</t>
  </si>
  <si>
    <t>No</t>
  </si>
  <si>
    <t>Host Group</t>
  </si>
  <si>
    <t>Datastore</t>
  </si>
  <si>
    <t>Values are set based on Datastore configuration in the Deploy Management Domain Tab. Click to Redirect</t>
  </si>
  <si>
    <t>IP Allocation</t>
  </si>
  <si>
    <t>Static</t>
  </si>
  <si>
    <t>Port Group</t>
  </si>
  <si>
    <t>Values are set based on VM Management Network configuration in the Deploy Management Domain Tab. Click to Redirect</t>
  </si>
  <si>
    <t>Edge Node 1: Management IP (CIDR)</t>
  </si>
  <si>
    <t>Edge Node 1: Management Gateway</t>
  </si>
  <si>
    <t>Use the host overlay network configuration from the selected vSphere Cluster</t>
  </si>
  <si>
    <t xml:space="preserve">Unselected </t>
  </si>
  <si>
    <t>Edge Node 1 Uplink Mapping</t>
  </si>
  <si>
    <t>fp-eth0</t>
  </si>
  <si>
    <t>Active PNIC</t>
  </si>
  <si>
    <t>fp-eth1</t>
  </si>
  <si>
    <t>TEP VLAN</t>
  </si>
  <si>
    <t>IP Allocation (TEP)</t>
  </si>
  <si>
    <t>Static IP List</t>
  </si>
  <si>
    <t xml:space="preserve">IP Pool </t>
  </si>
  <si>
    <t>Edge Overlay Pool: Start IP</t>
  </si>
  <si>
    <t>Edge Overlay Pool: End IP</t>
  </si>
  <si>
    <t>IPv4 Static List - Edge Node 1: Edge TEP 1 IP</t>
  </si>
  <si>
    <t>IPv4 Static List - Edge Node 1: Edge TEP 2 IP</t>
  </si>
  <si>
    <t>Static IPv4 Gateway</t>
  </si>
  <si>
    <t>IPv4 Subnet Mask</t>
  </si>
  <si>
    <t>255.255.255.0</t>
  </si>
  <si>
    <t>Edge Node 2</t>
  </si>
  <si>
    <t>Edge Node 2: Edge Node Name (FQDN)</t>
  </si>
  <si>
    <t xml:space="preserve">Value is set based on Host Group Affinity for Edge node 1 </t>
  </si>
  <si>
    <t xml:space="preserve">Value is set based on IP allocation for Edge node 1 </t>
  </si>
  <si>
    <t>Edge Node 2: Management IP (CIDR)</t>
  </si>
  <si>
    <t>Edge Node 2: Management Gateway</t>
  </si>
  <si>
    <t xml:space="preserve">Value is set based on configuration for Edge node 1 </t>
  </si>
  <si>
    <t>Edge Node 2 Uplink Mapping</t>
  </si>
  <si>
    <t>IPv4 Static List - Edge Node 2: Edge TEP 1 IP (CIDR)</t>
  </si>
  <si>
    <t>IPv4 Static List - Edge Node 2: Edge TEP 2 IP (CIDR)</t>
  </si>
  <si>
    <t>Auto generate passwords with VCF to manage Edge node</t>
  </si>
  <si>
    <t>Edge Root Password</t>
  </si>
  <si>
    <t>VMw@re1!VMw@re1!</t>
  </si>
  <si>
    <t>Edge Admin Password</t>
  </si>
  <si>
    <t>Workload Domain Connectivity</t>
  </si>
  <si>
    <t>Unselected</t>
  </si>
  <si>
    <t>Gateway Name</t>
  </si>
  <si>
    <t>High Availability Mode</t>
  </si>
  <si>
    <t>Active-Active</t>
  </si>
  <si>
    <t>Gateway Routing Type</t>
  </si>
  <si>
    <t>BGP</t>
  </si>
  <si>
    <t>ASN</t>
  </si>
  <si>
    <t>Edge 01 Gateway Uplinks</t>
  </si>
  <si>
    <t xml:space="preserve">First Uplink - Gateway Interface VLAN </t>
  </si>
  <si>
    <t>NSX Edge Uplink 1 VLAN</t>
  </si>
  <si>
    <t xml:space="preserve">Gateway Interface IP </t>
  </si>
  <si>
    <t>Uplink 1 IP Address for Edge Node 1</t>
  </si>
  <si>
    <t xml:space="preserve">BGP Peer IP </t>
  </si>
  <si>
    <t>BFD</t>
  </si>
  <si>
    <t>Selected</t>
  </si>
  <si>
    <t>MTU</t>
  </si>
  <si>
    <t>BGP Peer ASN</t>
  </si>
  <si>
    <t>BGP Peer Password</t>
  </si>
  <si>
    <t xml:space="preserve">Second Uplink - Gateway Interface VLAN </t>
  </si>
  <si>
    <t>NSX Edge Uplink 2 VLAN</t>
  </si>
  <si>
    <t>Uplink 2 IP Address for Edge Node 2</t>
  </si>
  <si>
    <t>Edge 02 Gateway Uplinks</t>
  </si>
  <si>
    <t>Uplink 1 IP Address for Edge Node 2</t>
  </si>
  <si>
    <t>Top of Rack 1 - IP Address</t>
  </si>
  <si>
    <t>Top of Rack 1 - Autonomous System ID</t>
  </si>
  <si>
    <t>Top of Rack 1 - BGP Neighbor Password</t>
  </si>
  <si>
    <t>Top of Rack 2 - IP Address</t>
  </si>
  <si>
    <t>Top of Rack 2 - Autonomous System ID</t>
  </si>
  <si>
    <t>Top of Rack 2 - BGP Neighbor Password</t>
  </si>
  <si>
    <t>VPC Configuration</t>
  </si>
  <si>
    <t>VPC External IP Blocks</t>
  </si>
  <si>
    <t>Provide External IPs to setup external connectivity</t>
  </si>
  <si>
    <t>Private - Transit Gateway IP Blocks</t>
  </si>
  <si>
    <t>Provide Private IPs for VPC configuration</t>
  </si>
  <si>
    <t xml:space="preserve">Additonal Network Information </t>
  </si>
  <si>
    <t>Deploy Edges Using API</t>
  </si>
  <si>
    <t>Include</t>
  </si>
  <si>
    <t>Uplink 1 Network</t>
  </si>
  <si>
    <t>Distributed PortGroup Name</t>
  </si>
  <si>
    <t>System generated PortGroup names are used unless NSX Edges are deployed using API</t>
  </si>
  <si>
    <t>Gateway</t>
  </si>
  <si>
    <t>CIDR Notation</t>
  </si>
  <si>
    <t>Uplink 2 Network</t>
  </si>
  <si>
    <t>Edge Overlay Network</t>
  </si>
  <si>
    <t>AVI Load Balancer  {SDDC}</t>
  </si>
  <si>
    <t>Deploy Advanced Load Balancer</t>
  </si>
  <si>
    <t>Select Version</t>
  </si>
  <si>
    <t>Version</t>
  </si>
  <si>
    <t>31.1.1</t>
  </si>
  <si>
    <t>Form Factor</t>
  </si>
  <si>
    <t>Settings</t>
  </si>
  <si>
    <t>Admin Password</t>
  </si>
  <si>
    <t>Minimum 15 Characters, 1 Uppercase, 1 Special</t>
  </si>
  <si>
    <t>Node 1 IP Address</t>
  </si>
  <si>
    <t>AVI Load Balancer Node A</t>
  </si>
  <si>
    <t>Node 2 IP Address</t>
  </si>
  <si>
    <t>AVI Load Balancer Node B</t>
  </si>
  <si>
    <t>Node 3 IP Address</t>
  </si>
  <si>
    <t>AVI Load Balancer Node C</t>
  </si>
  <si>
    <t>Cluster VIP</t>
  </si>
  <si>
    <t>AVI Load Valancer VIP</t>
  </si>
  <si>
    <t>Cluster FQDN</t>
  </si>
  <si>
    <t>Cluster Name</t>
  </si>
  <si>
    <t>Initial Host Configuration</t>
  </si>
  <si>
    <t>ESX Management Network</t>
  </si>
  <si>
    <t>ESX</t>
  </si>
  <si>
    <t>Host 1</t>
  </si>
  <si>
    <t>Management IP (ESX Host 1)</t>
  </si>
  <si>
    <t>Host 2</t>
  </si>
  <si>
    <t>Management IP (ESX Host 2)</t>
  </si>
  <si>
    <t>Host 3</t>
  </si>
  <si>
    <t>Management IP (ESX Host 3)</t>
  </si>
  <si>
    <t>Host 4</t>
  </si>
  <si>
    <t>Management IP (ESX Host 4)</t>
  </si>
  <si>
    <t>Host 5</t>
  </si>
  <si>
    <t>Management IP (ESX Host 5)</t>
  </si>
  <si>
    <t>Host 6</t>
  </si>
  <si>
    <t>Management IP (ESX Host 6)</t>
  </si>
  <si>
    <t>Host 7</t>
  </si>
  <si>
    <t>Management IP (ESX Host 7)</t>
  </si>
  <si>
    <t>Host 8</t>
  </si>
  <si>
    <t>Management IP (ESX Host 8)</t>
  </si>
  <si>
    <t>Host 9</t>
  </si>
  <si>
    <t>Management IP (ESX Host 9)</t>
  </si>
  <si>
    <t>Host 10</t>
  </si>
  <si>
    <t>Management IP (ESX Host 10)</t>
  </si>
  <si>
    <t>Host 11</t>
  </si>
  <si>
    <t>Management IP (ESX Host 11)</t>
  </si>
  <si>
    <t>Host 12</t>
  </si>
  <si>
    <t>Management IP (ESX Host 12)</t>
  </si>
  <si>
    <t>Host 13</t>
  </si>
  <si>
    <t>Management IP (ESX Host 13)</t>
  </si>
  <si>
    <t>Host 14</t>
  </si>
  <si>
    <t>Management IP (ESX Host 14)</t>
  </si>
  <si>
    <t>Host 15</t>
  </si>
  <si>
    <t>Management IP (ESX Host 15)</t>
  </si>
  <si>
    <t>Host 16</t>
  </si>
  <si>
    <t>Management IP (ESX Host 16)</t>
  </si>
  <si>
    <t>Create Network Pool {vCenter}</t>
  </si>
  <si>
    <t xml:space="preserve">VCF Network Pool  Type </t>
  </si>
  <si>
    <t>Create a new VCF Network Pool</t>
  </si>
  <si>
    <t>Network Pool Name</t>
  </si>
  <si>
    <t>vMotion Network</t>
  </si>
  <si>
    <t>Network</t>
  </si>
  <si>
    <t>Subnet Mask</t>
  </si>
  <si>
    <t>Default Gateway</t>
  </si>
  <si>
    <t>IP Range Start:</t>
  </si>
  <si>
    <t>IP Range End:</t>
  </si>
  <si>
    <t>vSAN Network</t>
  </si>
  <si>
    <t>NFS Network</t>
  </si>
  <si>
    <t>Commission Hosts {vCenter}</t>
  </si>
  <si>
    <t xml:space="preserve">Commission Hosts </t>
  </si>
  <si>
    <t>Name</t>
  </si>
  <si>
    <t>Reference Value</t>
  </si>
  <si>
    <t>Description</t>
  </si>
  <si>
    <t>Storage Type</t>
  </si>
  <si>
    <t>vSAN</t>
  </si>
  <si>
    <t xml:space="preserve">vSAN TYPE </t>
  </si>
  <si>
    <t>vSAN HCI</t>
  </si>
  <si>
    <t>vSAN ESA</t>
  </si>
  <si>
    <t>root</t>
  </si>
  <si>
    <t>Deploy and Configure vSAN Witness {vCenter}</t>
  </si>
  <si>
    <t>Management Domain VLAN and IP Subnet Requirements (vSAN Witness Zone)</t>
  </si>
  <si>
    <t>Deploy the vSAN Witness Host</t>
  </si>
  <si>
    <t>vcenter_server_fqdn</t>
  </si>
  <si>
    <t>vCenter Server outside of AZ1 and AZ2 to host the vSAN Witness</t>
  </si>
  <si>
    <t>vcenter_server_ip</t>
  </si>
  <si>
    <t>virtual machine name</t>
  </si>
  <si>
    <t>cluster</t>
  </si>
  <si>
    <t>vSAN Witness</t>
  </si>
  <si>
    <t>vSAN Datastore Name</t>
  </si>
  <si>
    <t>Management Network</t>
  </si>
  <si>
    <t>Secondary Network</t>
  </si>
  <si>
    <t>Root password</t>
  </si>
  <si>
    <t>IP Address</t>
  </si>
  <si>
    <t>vSAN Witness management IP</t>
  </si>
  <si>
    <t>Netmask</t>
  </si>
  <si>
    <t>DNS Domain</t>
  </si>
  <si>
    <t>Witness Hostname</t>
  </si>
  <si>
    <t>DNS Servers #1</t>
  </si>
  <si>
    <t>First DNS Server to assign to Witness Components</t>
  </si>
  <si>
    <t>DNS Servers #2</t>
  </si>
  <si>
    <t>Second DNS Server to assign to Witness Components. Should be in a different fault domain to DNS Server 1</t>
  </si>
  <si>
    <t>NTP Servers #1</t>
  </si>
  <si>
    <t>NTP Servers #2</t>
  </si>
  <si>
    <t>Register vSAN Witness Host</t>
  </si>
  <si>
    <t>data center</t>
  </si>
  <si>
    <t>vsan_witness_root_password</t>
  </si>
  <si>
    <t>Configure NTP on the Witness Host</t>
  </si>
  <si>
    <t>vSAN Witness Host</t>
  </si>
  <si>
    <t>NTP Servers</t>
  </si>
  <si>
    <t>Configure the VMkernel Adapters on the vSAN Witness Host</t>
  </si>
  <si>
    <t>Datacenter</t>
  </si>
  <si>
    <t>Hostname</t>
  </si>
  <si>
    <t>Stretch a Cluster</t>
  </si>
  <si>
    <t>64d34a69-104d-443e-bd92-d949e278da83</t>
  </si>
  <si>
    <t>&lt;ESX host 1 ID&gt;</t>
  </si>
  <si>
    <t>61ae8e47-7dee-420b-83b2-b4136af0aef6</t>
  </si>
  <si>
    <t>&lt;ESX host 2 ID&gt;</t>
  </si>
  <si>
    <t>785d7869-018a-4185-b08e-f168236adc11</t>
  </si>
  <si>
    <t>&lt;ESX host 3 ID&gt;</t>
  </si>
  <si>
    <t>eafaa6a2-a673-4dee-9cd8-8d1f4d33065d</t>
  </si>
  <si>
    <t>&lt;ESX host 4 ID&gt;</t>
  </si>
  <si>
    <t>50c63ea6-1315-4dcd-80e1-4f3e4980c193</t>
  </si>
  <si>
    <t>&lt;ESX host 5 ID&gt;</t>
  </si>
  <si>
    <t>04749811-67dd-4d6b-b60c-b1c2b0a63597</t>
  </si>
  <si>
    <t>&lt;ESX host 6 ID&gt;</t>
  </si>
  <si>
    <t>74b8959c-e258-43b7-8427-80eaa66a650e</t>
  </si>
  <si>
    <t>&lt;ESX host 7 ID&gt;</t>
  </si>
  <si>
    <t>d39235c9-7990-44f8-8c84-a720e69ed735</t>
  </si>
  <si>
    <t>&lt;ESX host 8 ID&gt;</t>
  </si>
  <si>
    <t>f10cdad4-934e-4dcf-8fd6-22f5effb10db</t>
  </si>
  <si>
    <t>&lt;ESX host 9  ID&gt;</t>
  </si>
  <si>
    <t>091218b0-0f2a-4e98-9324-2e5faa5074fd</t>
  </si>
  <si>
    <t>&lt;ESX host 10 ID&gt;</t>
  </si>
  <si>
    <t>8a8e743d-18d2-4c47-9f9c-bf3ae325cf23</t>
  </si>
  <si>
    <t>&lt;ESX host 11 ID&gt;</t>
  </si>
  <si>
    <t>3c76963e-a2a3-41f0-9d16-e8c1f3bee02a</t>
  </si>
  <si>
    <t>&lt;ESX host 12 ID&gt;</t>
  </si>
  <si>
    <t>aa3cae6a-9ec4-40aa-8fb0-07ce69c8280d</t>
  </si>
  <si>
    <t>&lt;ESX host 13 ID&gt;</t>
  </si>
  <si>
    <t>853da4cc-c508-4394-8fc8-bf792335f623</t>
  </si>
  <si>
    <t>&lt;ESX host 14 ID&gt;</t>
  </si>
  <si>
    <t>c451d185-550a-4c1d-8bc0-0d6e34bf8a73</t>
  </si>
  <si>
    <t>&lt;ESX host 15 ID&gt;</t>
  </si>
  <si>
    <t>9acfd9fd-493d-4576-8652-45809d626663</t>
  </si>
  <si>
    <t>&lt;ESX host 16 ID&gt;</t>
  </si>
  <si>
    <t>NSX Host Overlay Network Profile Name</t>
  </si>
  <si>
    <t>NSX Host Overlay Static IP Pool Type</t>
  </si>
  <si>
    <t>Create New Static IP Pool</t>
  </si>
  <si>
    <t>NSX Host Overlay Network Pool Name</t>
  </si>
  <si>
    <t xml:space="preserve">NSX Host Overlay Uplink Profile Name </t>
  </si>
  <si>
    <t>AZ2 Host Overlay VLAN ID</t>
  </si>
  <si>
    <t>AZ2 Host Overlay Default Gateway</t>
  </si>
  <si>
    <t>AZ2 Host Overlay CIDR Notation</t>
  </si>
  <si>
    <t xml:space="preserve">AZ2 Host Overlay MTU </t>
  </si>
  <si>
    <t>Witness FQDN</t>
  </si>
  <si>
    <t>Witness Subnet</t>
  </si>
  <si>
    <t>vsanIp</t>
  </si>
  <si>
    <t>Witness IP Address</t>
  </si>
  <si>
    <t>vsanCidr</t>
  </si>
  <si>
    <t>Management Cluster SDDC ID</t>
  </si>
  <si>
    <t>b39f8008-6db0-4f13-82de-c46ccfd03c49</t>
  </si>
  <si>
    <t>id (cluster)</t>
  </si>
  <si>
    <t>Configure IP Prefixes in the Tier-0 Gateway for Availability Zone 2</t>
  </si>
  <si>
    <t>&lt;nsx_manager_fqdn&gt;</t>
  </si>
  <si>
    <t>Configure Route Maps in the Tier-0 Gateway for Availability Zone 2</t>
  </si>
  <si>
    <t>bgp_asn</t>
  </si>
  <si>
    <t>Configure BGP in the Tier-0 Gateway for Availability Zone 2</t>
  </si>
  <si>
    <t>ip_bgp_neighbor1</t>
  </si>
  <si>
    <t>asn_bgp_neighbor1</t>
  </si>
  <si>
    <t>1st Source Address</t>
  </si>
  <si>
    <t>2nd Source Address</t>
  </si>
  <si>
    <t>bgp_password</t>
  </si>
  <si>
    <t>ip_bgp_neighbor2</t>
  </si>
  <si>
    <t>asn_bgp_neighbor2</t>
  </si>
  <si>
    <t>Deploy the Global Manager Appliances</t>
  </si>
  <si>
    <t>&lt;vcenter_server_fqdn&gt;</t>
  </si>
  <si>
    <t>NSX Global Manager #1</t>
  </si>
  <si>
    <r>
      <t>Virtual Machine Name</t>
    </r>
    <r>
      <rPr>
        <i/>
        <sz val="12"/>
        <color theme="1"/>
        <rFont val="Arial"/>
        <family val="2"/>
      </rPr>
      <t xml:space="preserve"> (Node 1)</t>
    </r>
  </si>
  <si>
    <r>
      <t xml:space="preserve">Location </t>
    </r>
    <r>
      <rPr>
        <i/>
        <sz val="12"/>
        <color theme="1"/>
        <rFont val="Arial"/>
        <family val="2"/>
      </rPr>
      <t>(Node 1)</t>
    </r>
  </si>
  <si>
    <r>
      <t>Compute Resource</t>
    </r>
    <r>
      <rPr>
        <i/>
        <sz val="12"/>
        <color theme="1"/>
        <rFont val="Arial"/>
        <family val="2"/>
      </rPr>
      <t xml:space="preserve"> (Node 1)</t>
    </r>
  </si>
  <si>
    <r>
      <t>Deployment configuration size</t>
    </r>
    <r>
      <rPr>
        <i/>
        <sz val="12"/>
        <color theme="1"/>
        <rFont val="Arial"/>
        <family val="2"/>
      </rPr>
      <t xml:space="preserve"> (Node 1)</t>
    </r>
  </si>
  <si>
    <r>
      <t>Datastore</t>
    </r>
    <r>
      <rPr>
        <i/>
        <sz val="12"/>
        <color theme="1"/>
        <rFont val="Arial"/>
        <family val="2"/>
      </rPr>
      <t xml:space="preserve"> (Node 1)</t>
    </r>
  </si>
  <si>
    <r>
      <t>Network 1 (Management Network</t>
    </r>
    <r>
      <rPr>
        <i/>
        <sz val="12"/>
        <color theme="1"/>
        <rFont val="Arial"/>
        <family val="2"/>
      </rPr>
      <t>) (Node 1)</t>
    </r>
  </si>
  <si>
    <r>
      <t xml:space="preserve">System Root User Password </t>
    </r>
    <r>
      <rPr>
        <i/>
        <sz val="12"/>
        <color theme="1"/>
        <rFont val="Arial"/>
        <family val="2"/>
      </rPr>
      <t>(Node 1)</t>
    </r>
  </si>
  <si>
    <r>
      <t>CLI "admin" User Password</t>
    </r>
    <r>
      <rPr>
        <i/>
        <sz val="12"/>
        <color theme="1"/>
        <rFont val="Arial"/>
        <family val="2"/>
      </rPr>
      <t xml:space="preserve"> (Node 1)</t>
    </r>
  </si>
  <si>
    <r>
      <t xml:space="preserve">CLI "audit" User Password </t>
    </r>
    <r>
      <rPr>
        <i/>
        <sz val="12"/>
        <color theme="1"/>
        <rFont val="Arial"/>
        <family val="2"/>
      </rPr>
      <t>(Node 1)</t>
    </r>
  </si>
  <si>
    <r>
      <t xml:space="preserve">Hostname (FQDN) </t>
    </r>
    <r>
      <rPr>
        <i/>
        <sz val="12"/>
        <color theme="1"/>
        <rFont val="Arial"/>
        <family val="2"/>
      </rPr>
      <t>(Node 1)</t>
    </r>
  </si>
  <si>
    <t xml:space="preserve"> During OVA deployment FQDN is required. </t>
  </si>
  <si>
    <r>
      <t xml:space="preserve">Management Network IPv4 Address </t>
    </r>
    <r>
      <rPr>
        <i/>
        <sz val="12"/>
        <color theme="1"/>
        <rFont val="Arial"/>
        <family val="2"/>
      </rPr>
      <t>(Node 1)</t>
    </r>
  </si>
  <si>
    <r>
      <t xml:space="preserve">Management Network Netmask </t>
    </r>
    <r>
      <rPr>
        <i/>
        <sz val="12"/>
        <color theme="1"/>
        <rFont val="Arial"/>
        <family val="2"/>
      </rPr>
      <t>(Node 1)</t>
    </r>
  </si>
  <si>
    <r>
      <t>Default IPv4 Gateway</t>
    </r>
    <r>
      <rPr>
        <i/>
        <sz val="12"/>
        <color theme="1"/>
        <rFont val="Arial"/>
        <family val="2"/>
      </rPr>
      <t xml:space="preserve"> (Node 1)</t>
    </r>
  </si>
  <si>
    <r>
      <t xml:space="preserve">DNS Server list </t>
    </r>
    <r>
      <rPr>
        <i/>
        <sz val="12"/>
        <color theme="1"/>
        <rFont val="Arial"/>
        <family val="2"/>
      </rPr>
      <t>(Node 1)</t>
    </r>
  </si>
  <si>
    <r>
      <t>Domain Search List</t>
    </r>
    <r>
      <rPr>
        <i/>
        <sz val="12"/>
        <color theme="1"/>
        <rFont val="Arial"/>
        <family val="2"/>
      </rPr>
      <t xml:space="preserve"> (Node 1)</t>
    </r>
  </si>
  <si>
    <r>
      <t>NTP Server List</t>
    </r>
    <r>
      <rPr>
        <i/>
        <sz val="12"/>
        <color theme="1"/>
        <rFont val="Arial"/>
        <family val="2"/>
      </rPr>
      <t xml:space="preserve"> (Node 1)</t>
    </r>
  </si>
  <si>
    <t>NSX Global Manager #2</t>
  </si>
  <si>
    <r>
      <t>Virtual Machine Name</t>
    </r>
    <r>
      <rPr>
        <i/>
        <sz val="12"/>
        <color theme="1"/>
        <rFont val="Arial"/>
        <family val="2"/>
      </rPr>
      <t xml:space="preserve"> (Node 2)</t>
    </r>
  </si>
  <si>
    <r>
      <t xml:space="preserve">Location </t>
    </r>
    <r>
      <rPr>
        <i/>
        <sz val="12"/>
        <color theme="1"/>
        <rFont val="Arial"/>
        <family val="2"/>
      </rPr>
      <t>(Node 2)</t>
    </r>
  </si>
  <si>
    <r>
      <t>Compute Resource</t>
    </r>
    <r>
      <rPr>
        <i/>
        <sz val="12"/>
        <color theme="1"/>
        <rFont val="Arial"/>
        <family val="2"/>
      </rPr>
      <t xml:space="preserve"> (Node 2)</t>
    </r>
  </si>
  <si>
    <r>
      <t>Deployment configuration size</t>
    </r>
    <r>
      <rPr>
        <i/>
        <sz val="12"/>
        <color theme="1"/>
        <rFont val="Arial"/>
        <family val="2"/>
      </rPr>
      <t xml:space="preserve"> (Node 2)</t>
    </r>
  </si>
  <si>
    <r>
      <t>Datastore</t>
    </r>
    <r>
      <rPr>
        <i/>
        <sz val="12"/>
        <color theme="1"/>
        <rFont val="Arial"/>
        <family val="2"/>
      </rPr>
      <t xml:space="preserve"> (Node 2)</t>
    </r>
  </si>
  <si>
    <r>
      <t>Network 1 (Management Network</t>
    </r>
    <r>
      <rPr>
        <i/>
        <sz val="12"/>
        <color theme="1"/>
        <rFont val="Arial"/>
        <family val="2"/>
      </rPr>
      <t>) (Node 2)</t>
    </r>
  </si>
  <si>
    <r>
      <t xml:space="preserve">System Root User Password </t>
    </r>
    <r>
      <rPr>
        <i/>
        <sz val="12"/>
        <color theme="1"/>
        <rFont val="Arial"/>
        <family val="2"/>
      </rPr>
      <t>(Node 2)</t>
    </r>
  </si>
  <si>
    <r>
      <t>CLI "admin" User Password</t>
    </r>
    <r>
      <rPr>
        <i/>
        <sz val="12"/>
        <color theme="1"/>
        <rFont val="Arial"/>
        <family val="2"/>
      </rPr>
      <t xml:space="preserve"> (Node 2)</t>
    </r>
  </si>
  <si>
    <r>
      <t xml:space="preserve">CLI "audit" User Password </t>
    </r>
    <r>
      <rPr>
        <i/>
        <sz val="12"/>
        <color theme="1"/>
        <rFont val="Arial"/>
        <family val="2"/>
      </rPr>
      <t>(Node 2)</t>
    </r>
  </si>
  <si>
    <r>
      <t xml:space="preserve">Hostname (FQDN) </t>
    </r>
    <r>
      <rPr>
        <i/>
        <sz val="12"/>
        <color theme="1"/>
        <rFont val="Arial"/>
        <family val="2"/>
      </rPr>
      <t>(Node 2)</t>
    </r>
  </si>
  <si>
    <r>
      <t xml:space="preserve">Management Network IPv4 Address </t>
    </r>
    <r>
      <rPr>
        <i/>
        <sz val="12"/>
        <color theme="1"/>
        <rFont val="Arial"/>
        <family val="2"/>
      </rPr>
      <t>(Node 2)</t>
    </r>
  </si>
  <si>
    <r>
      <t xml:space="preserve">Management Network Netmask </t>
    </r>
    <r>
      <rPr>
        <i/>
        <sz val="12"/>
        <color theme="1"/>
        <rFont val="Arial"/>
        <family val="2"/>
      </rPr>
      <t>(Node 2)</t>
    </r>
  </si>
  <si>
    <r>
      <t>Default IPv4 Gateway</t>
    </r>
    <r>
      <rPr>
        <i/>
        <sz val="12"/>
        <color theme="1"/>
        <rFont val="Arial"/>
        <family val="2"/>
      </rPr>
      <t xml:space="preserve"> (Node 2)</t>
    </r>
  </si>
  <si>
    <r>
      <t xml:space="preserve">DNS Server list </t>
    </r>
    <r>
      <rPr>
        <i/>
        <sz val="12"/>
        <color theme="1"/>
        <rFont val="Arial"/>
        <family val="2"/>
      </rPr>
      <t>(Node 2)</t>
    </r>
  </si>
  <si>
    <r>
      <t>Domain Search List</t>
    </r>
    <r>
      <rPr>
        <i/>
        <sz val="12"/>
        <color theme="1"/>
        <rFont val="Arial"/>
        <family val="2"/>
      </rPr>
      <t xml:space="preserve"> (Node 2)</t>
    </r>
  </si>
  <si>
    <r>
      <t>NTP Server List</t>
    </r>
    <r>
      <rPr>
        <i/>
        <sz val="12"/>
        <color theme="1"/>
        <rFont val="Arial"/>
        <family val="2"/>
      </rPr>
      <t xml:space="preserve"> (Node 2)</t>
    </r>
  </si>
  <si>
    <t>NSX Global Manager #3</t>
  </si>
  <si>
    <r>
      <t>Virtual Machine Name</t>
    </r>
    <r>
      <rPr>
        <i/>
        <sz val="12"/>
        <color theme="1"/>
        <rFont val="Arial"/>
        <family val="2"/>
      </rPr>
      <t xml:space="preserve"> (Node 3)</t>
    </r>
  </si>
  <si>
    <r>
      <t xml:space="preserve">Location </t>
    </r>
    <r>
      <rPr>
        <i/>
        <sz val="12"/>
        <color theme="1"/>
        <rFont val="Arial"/>
        <family val="2"/>
      </rPr>
      <t>(Node 3)</t>
    </r>
  </si>
  <si>
    <r>
      <t>Compute Resource</t>
    </r>
    <r>
      <rPr>
        <i/>
        <sz val="12"/>
        <color theme="1"/>
        <rFont val="Arial"/>
        <family val="2"/>
      </rPr>
      <t xml:space="preserve"> (Node 3)</t>
    </r>
  </si>
  <si>
    <r>
      <t>Deployment configuration size</t>
    </r>
    <r>
      <rPr>
        <i/>
        <sz val="12"/>
        <color theme="1"/>
        <rFont val="Arial"/>
        <family val="2"/>
      </rPr>
      <t xml:space="preserve"> (Node 3)</t>
    </r>
  </si>
  <si>
    <r>
      <t>Datastore</t>
    </r>
    <r>
      <rPr>
        <i/>
        <sz val="12"/>
        <color theme="1"/>
        <rFont val="Arial"/>
        <family val="2"/>
      </rPr>
      <t xml:space="preserve"> (Node 3)</t>
    </r>
  </si>
  <si>
    <r>
      <t>Network 1 (Management Network</t>
    </r>
    <r>
      <rPr>
        <i/>
        <sz val="12"/>
        <color theme="1"/>
        <rFont val="Arial"/>
        <family val="2"/>
      </rPr>
      <t>) (Node 3)</t>
    </r>
  </si>
  <si>
    <r>
      <t xml:space="preserve">System Root User Password </t>
    </r>
    <r>
      <rPr>
        <i/>
        <sz val="12"/>
        <color theme="1"/>
        <rFont val="Arial"/>
        <family val="2"/>
      </rPr>
      <t>(Node 3)</t>
    </r>
  </si>
  <si>
    <r>
      <t>CLI "admin" User Password</t>
    </r>
    <r>
      <rPr>
        <i/>
        <sz val="12"/>
        <color theme="1"/>
        <rFont val="Arial"/>
        <family val="2"/>
      </rPr>
      <t xml:space="preserve"> (Node 3)</t>
    </r>
  </si>
  <si>
    <r>
      <t xml:space="preserve">CLI "audit" User Password </t>
    </r>
    <r>
      <rPr>
        <i/>
        <sz val="12"/>
        <color theme="1"/>
        <rFont val="Arial"/>
        <family val="2"/>
      </rPr>
      <t>(Node 3)</t>
    </r>
  </si>
  <si>
    <r>
      <t xml:space="preserve">Hostname (FQDN) </t>
    </r>
    <r>
      <rPr>
        <i/>
        <sz val="12"/>
        <color theme="1"/>
        <rFont val="Arial"/>
        <family val="2"/>
      </rPr>
      <t>(Node 3)</t>
    </r>
  </si>
  <si>
    <r>
      <t xml:space="preserve">Management Network IPv4 Address </t>
    </r>
    <r>
      <rPr>
        <i/>
        <sz val="12"/>
        <color theme="1"/>
        <rFont val="Arial"/>
        <family val="2"/>
      </rPr>
      <t>(Node 3)</t>
    </r>
  </si>
  <si>
    <r>
      <t xml:space="preserve">Management Network Netmask </t>
    </r>
    <r>
      <rPr>
        <i/>
        <sz val="12"/>
        <color theme="1"/>
        <rFont val="Arial"/>
        <family val="2"/>
      </rPr>
      <t>(Node 3)</t>
    </r>
  </si>
  <si>
    <r>
      <t>Default IPv4 Gateway</t>
    </r>
    <r>
      <rPr>
        <i/>
        <sz val="12"/>
        <color theme="1"/>
        <rFont val="Arial"/>
        <family val="2"/>
      </rPr>
      <t xml:space="preserve"> (Node 3)</t>
    </r>
  </si>
  <si>
    <r>
      <t xml:space="preserve">DNS Server list </t>
    </r>
    <r>
      <rPr>
        <i/>
        <sz val="12"/>
        <color theme="1"/>
        <rFont val="Arial"/>
        <family val="2"/>
      </rPr>
      <t>(Node 3)</t>
    </r>
  </si>
  <si>
    <r>
      <t>Domain Search List</t>
    </r>
    <r>
      <rPr>
        <i/>
        <sz val="12"/>
        <color theme="1"/>
        <rFont val="Arial"/>
        <family val="2"/>
      </rPr>
      <t xml:space="preserve"> (Node 3)</t>
    </r>
  </si>
  <si>
    <r>
      <t>NTP Server List</t>
    </r>
    <r>
      <rPr>
        <i/>
        <sz val="12"/>
        <color theme="1"/>
        <rFont val="Arial"/>
        <family val="2"/>
      </rPr>
      <t xml:space="preserve"> (Node 3)</t>
    </r>
  </si>
  <si>
    <t xml:space="preserve">&lt;gm_node1_fqdn&gt; </t>
  </si>
  <si>
    <t>Join Global Manager Nodes to Form a Cluster</t>
  </si>
  <si>
    <t>NSX Global Manager Cluster ID</t>
  </si>
  <si>
    <t>ca3bd7dc-aa06-4f2d-a9e1-0c4999354c9b</t>
  </si>
  <si>
    <t>NSX Global Manager Cluster API Thumbprint</t>
  </si>
  <si>
    <t>c7a6264cd8f74033e851944a205110afdeb046386af42ce47240939c417acb93</t>
  </si>
  <si>
    <r>
      <t xml:space="preserve">FQDN </t>
    </r>
    <r>
      <rPr>
        <i/>
        <sz val="12"/>
        <color rgb="FF000000"/>
        <rFont val="Arial"/>
        <family val="2"/>
      </rPr>
      <t>(Node 2)</t>
    </r>
  </si>
  <si>
    <r>
      <t>first_node_IP</t>
    </r>
    <r>
      <rPr>
        <i/>
        <sz val="12"/>
        <color rgb="FF000000"/>
        <rFont val="Arial"/>
        <family val="2"/>
      </rPr>
      <t xml:space="preserve"> (Node 2)</t>
    </r>
  </si>
  <si>
    <r>
      <t>cluster_ID</t>
    </r>
    <r>
      <rPr>
        <i/>
        <sz val="12"/>
        <color rgb="FF000000"/>
        <rFont val="Arial"/>
        <family val="2"/>
      </rPr>
      <t xml:space="preserve"> (Node 2)</t>
    </r>
  </si>
  <si>
    <r>
      <t>username</t>
    </r>
    <r>
      <rPr>
        <i/>
        <sz val="12"/>
        <color rgb="FF000000"/>
        <rFont val="Arial"/>
        <family val="2"/>
      </rPr>
      <t xml:space="preserve"> (Node 2)</t>
    </r>
  </si>
  <si>
    <t>admin</t>
  </si>
  <si>
    <r>
      <t>nsx_admin_password</t>
    </r>
    <r>
      <rPr>
        <i/>
        <sz val="12"/>
        <color rgb="FF000000"/>
        <rFont val="Arial"/>
        <family val="2"/>
      </rPr>
      <t xml:space="preserve"> (Node 2)</t>
    </r>
  </si>
  <si>
    <r>
      <t>api_thumbprint</t>
    </r>
    <r>
      <rPr>
        <i/>
        <sz val="12"/>
        <color rgb="FF000000"/>
        <rFont val="Arial"/>
        <family val="2"/>
      </rPr>
      <t xml:space="preserve"> (Node 2)</t>
    </r>
  </si>
  <si>
    <r>
      <t xml:space="preserve">FQDN </t>
    </r>
    <r>
      <rPr>
        <i/>
        <sz val="12"/>
        <color rgb="FF000000"/>
        <rFont val="Arial"/>
        <family val="2"/>
      </rPr>
      <t>(Node 3)</t>
    </r>
  </si>
  <si>
    <r>
      <t xml:space="preserve">first_node_IP </t>
    </r>
    <r>
      <rPr>
        <i/>
        <sz val="12"/>
        <color rgb="FF000000"/>
        <rFont val="Arial"/>
        <family val="2"/>
      </rPr>
      <t xml:space="preserve"> (Node 3)</t>
    </r>
  </si>
  <si>
    <r>
      <t>cluster_ID</t>
    </r>
    <r>
      <rPr>
        <i/>
        <sz val="12"/>
        <color rgb="FF000000"/>
        <rFont val="Arial"/>
        <family val="2"/>
      </rPr>
      <t xml:space="preserve"> (Node 3)</t>
    </r>
  </si>
  <si>
    <r>
      <t>username</t>
    </r>
    <r>
      <rPr>
        <i/>
        <sz val="12"/>
        <color rgb="FF000000"/>
        <rFont val="Arial"/>
        <family val="2"/>
      </rPr>
      <t xml:space="preserve"> (Node 3)</t>
    </r>
  </si>
  <si>
    <r>
      <t>nsx_admin_password</t>
    </r>
    <r>
      <rPr>
        <i/>
        <sz val="12"/>
        <color rgb="FF000000"/>
        <rFont val="Arial"/>
        <family val="2"/>
      </rPr>
      <t xml:space="preserve"> (Node 3)</t>
    </r>
  </si>
  <si>
    <r>
      <t>api_thumbprint</t>
    </r>
    <r>
      <rPr>
        <i/>
        <sz val="12"/>
        <color rgb="FF000000"/>
        <rFont val="Arial"/>
        <family val="2"/>
      </rPr>
      <t xml:space="preserve"> (Node 3)</t>
    </r>
  </si>
  <si>
    <t>Create Anti-Affinity Rule for Global Manager Cluster</t>
  </si>
  <si>
    <t>Member 1</t>
  </si>
  <si>
    <t>Member 2</t>
  </si>
  <si>
    <t>Member 3</t>
  </si>
  <si>
    <t>Assign a Virtual IP Address to the Global Manager Cluster</t>
  </si>
  <si>
    <t>&lt;gm_node1_fqdn&gt;</t>
  </si>
  <si>
    <t>VIP address</t>
  </si>
  <si>
    <t>&lt;gm_vip_fqdn&gt;</t>
  </si>
  <si>
    <t>Import a CA-Signed Certificates to the NSX Global Manager Cluster</t>
  </si>
  <si>
    <t>Replace the Certificate for the First NSX Global Manager Node</t>
  </si>
  <si>
    <t>Certificate ID</t>
  </si>
  <si>
    <t>a900065b-aeb5-457e-aca6-4612b17d06d9</t>
  </si>
  <si>
    <t>gm_vip_fqdn_certificate_ID</t>
  </si>
  <si>
    <t>Replace the Certificates for the Remaining NSX Global Manager Nodes and Virtual IP</t>
  </si>
  <si>
    <t>&lt;gm_node2_fqdn&gt;</t>
  </si>
  <si>
    <t>&lt;gm_node3_fqdn&gt;</t>
  </si>
  <si>
    <t>Prepare Local Manager for NSX Federation</t>
  </si>
  <si>
    <t>&lt;lm_vip_fqdn&gt;</t>
  </si>
  <si>
    <t>IP Ranges: IP Ranges/Block - Start</t>
  </si>
  <si>
    <t xml:space="preserve">IP Ranges: IP Ranges/Block - End </t>
  </si>
  <si>
    <t>CIDR</t>
  </si>
  <si>
    <t>Gateway IP</t>
  </si>
  <si>
    <t>Set Active Global Manager</t>
  </si>
  <si>
    <t>&lt;nsx_gm_vip_fqdn&gt;</t>
  </si>
  <si>
    <t>Name for Local Manager</t>
  </si>
  <si>
    <t>Set Standby Global Manager</t>
  </si>
  <si>
    <t>&lt;standby_gm_vip_fqdn&gt;</t>
  </si>
  <si>
    <t>SHA-256 Thumbprint</t>
  </si>
  <si>
    <t>0d472de0d92da89f2b469d4d10ab23505ad4edb90cd7e68f84497008f6c89ff1</t>
  </si>
  <si>
    <t>&lt;active_gm_vip_fqdn&gt;</t>
  </si>
  <si>
    <t>Global Manager Name</t>
  </si>
  <si>
    <t>FQDN/IP</t>
  </si>
  <si>
    <t>Add Location to Global Manager</t>
  </si>
  <si>
    <t>676edbc9b8c639d9311aaea32a357c7c81226856ad4f8c73a68dd760652d6b5d</t>
  </si>
  <si>
    <t>Location Name</t>
  </si>
  <si>
    <t>Edge Switch Name</t>
  </si>
  <si>
    <t>nsxDefaultHostSwitch</t>
  </si>
  <si>
    <t>RTEP VLAN</t>
  </si>
  <si>
    <t>IP Pool for all Nodes</t>
  </si>
  <si>
    <t>Create and Configure Cross-Instance Tier-1 Gateway</t>
  </si>
  <si>
    <t>Tier-1 Gateway Name</t>
  </si>
  <si>
    <t>Linked Tier-0 Gateway</t>
  </si>
  <si>
    <t>Location</t>
  </si>
  <si>
    <t>Connect Cross-Instance Segments to Cross-Instance Tier-1 Gateway</t>
  </si>
  <si>
    <t>&lt;cross-instance_nsx_segment&gt;</t>
  </si>
  <si>
    <t>&lt;cross-instance_tier1&gt;</t>
  </si>
  <si>
    <t>Connect Additional VCF Instances to Cross-Instance Tier-0 Gateway</t>
  </si>
  <si>
    <t>&lt;cross-instance_tier0&gt;</t>
  </si>
  <si>
    <t>sfo-m01-ec01</t>
  </si>
  <si>
    <r>
      <t>Name</t>
    </r>
    <r>
      <rPr>
        <i/>
        <sz val="12"/>
        <color theme="1"/>
        <rFont val="Arial"/>
        <family val="2"/>
      </rPr>
      <t xml:space="preserve"> (1st Additional Interface)</t>
    </r>
  </si>
  <si>
    <r>
      <t xml:space="preserve">Location </t>
    </r>
    <r>
      <rPr>
        <i/>
        <sz val="12"/>
        <color theme="1"/>
        <rFont val="Arial"/>
        <family val="2"/>
      </rPr>
      <t>(1st Additional Interface)</t>
    </r>
  </si>
  <si>
    <r>
      <t>IP Address/Mask</t>
    </r>
    <r>
      <rPr>
        <i/>
        <sz val="12"/>
        <color theme="1"/>
        <rFont val="Arial"/>
        <family val="2"/>
      </rPr>
      <t xml:space="preserve"> (1st Additional Interface)</t>
    </r>
  </si>
  <si>
    <r>
      <t xml:space="preserve">Segment </t>
    </r>
    <r>
      <rPr>
        <i/>
        <sz val="12"/>
        <color theme="1"/>
        <rFont val="Arial"/>
        <family val="2"/>
      </rPr>
      <t>(1st Additional Interface)</t>
    </r>
  </si>
  <si>
    <r>
      <t>Edge Node</t>
    </r>
    <r>
      <rPr>
        <i/>
        <sz val="12"/>
        <color theme="1"/>
        <rFont val="Arial"/>
        <family val="2"/>
      </rPr>
      <t xml:space="preserve"> (1st Additional Interface)</t>
    </r>
  </si>
  <si>
    <t>sfo-m01-en1</t>
  </si>
  <si>
    <r>
      <t xml:space="preserve">MTU </t>
    </r>
    <r>
      <rPr>
        <i/>
        <sz val="12"/>
        <color theme="1"/>
        <rFont val="Arial"/>
        <family val="2"/>
      </rPr>
      <t>(1st Additional Interface)</t>
    </r>
  </si>
  <si>
    <r>
      <t>Name</t>
    </r>
    <r>
      <rPr>
        <i/>
        <sz val="12"/>
        <color theme="1"/>
        <rFont val="Arial"/>
        <family val="2"/>
      </rPr>
      <t xml:space="preserve"> (2nd Additional Interface)</t>
    </r>
  </si>
  <si>
    <r>
      <t xml:space="preserve">Location </t>
    </r>
    <r>
      <rPr>
        <i/>
        <sz val="12"/>
        <color theme="1"/>
        <rFont val="Arial"/>
        <family val="2"/>
      </rPr>
      <t>(2nd Additional Interface)</t>
    </r>
  </si>
  <si>
    <r>
      <t xml:space="preserve">IP Address/Mask </t>
    </r>
    <r>
      <rPr>
        <i/>
        <sz val="12"/>
        <color theme="1"/>
        <rFont val="Arial"/>
        <family val="2"/>
      </rPr>
      <t>(2nd Additional Interface)</t>
    </r>
  </si>
  <si>
    <r>
      <t>Segment</t>
    </r>
    <r>
      <rPr>
        <i/>
        <sz val="12"/>
        <color rgb="FF000000"/>
        <rFont val="Arial"/>
        <family val="2"/>
      </rPr>
      <t xml:space="preserve"> (2nd Additional Interface)</t>
    </r>
  </si>
  <si>
    <r>
      <t>Edge Node</t>
    </r>
    <r>
      <rPr>
        <i/>
        <sz val="12"/>
        <color theme="1"/>
        <rFont val="Arial"/>
        <family val="2"/>
      </rPr>
      <t xml:space="preserve"> (2nd Additional Interface)</t>
    </r>
  </si>
  <si>
    <t>sfo-m01-en2</t>
  </si>
  <si>
    <r>
      <t xml:space="preserve">MTU </t>
    </r>
    <r>
      <rPr>
        <i/>
        <sz val="12"/>
        <color theme="1"/>
        <rFont val="Arial"/>
        <family val="2"/>
      </rPr>
      <t>(2nd Additional Interface)</t>
    </r>
  </si>
  <si>
    <r>
      <t>Name</t>
    </r>
    <r>
      <rPr>
        <i/>
        <sz val="12"/>
        <color theme="1"/>
        <rFont val="Arial"/>
        <family val="2"/>
      </rPr>
      <t xml:space="preserve"> (3rd Additional Interface)</t>
    </r>
  </si>
  <si>
    <r>
      <t xml:space="preserve">Location </t>
    </r>
    <r>
      <rPr>
        <i/>
        <sz val="12"/>
        <color theme="1"/>
        <rFont val="Arial"/>
        <family val="2"/>
      </rPr>
      <t>(3rd Additional Interface)</t>
    </r>
  </si>
  <si>
    <r>
      <t>IP Address/Mask</t>
    </r>
    <r>
      <rPr>
        <i/>
        <sz val="12"/>
        <color theme="1"/>
        <rFont val="Arial"/>
        <family val="2"/>
      </rPr>
      <t xml:space="preserve"> (3rd Additional Interface)</t>
    </r>
  </si>
  <si>
    <r>
      <t>Segment</t>
    </r>
    <r>
      <rPr>
        <i/>
        <sz val="12"/>
        <color rgb="FF000000"/>
        <rFont val="Arial"/>
        <family val="2"/>
      </rPr>
      <t xml:space="preserve"> (3rd Additional Interface)</t>
    </r>
  </si>
  <si>
    <r>
      <t xml:space="preserve">Edge Node </t>
    </r>
    <r>
      <rPr>
        <i/>
        <sz val="12"/>
        <color theme="1"/>
        <rFont val="Arial"/>
        <family val="2"/>
      </rPr>
      <t>(3rd Additional Interface)</t>
    </r>
  </si>
  <si>
    <r>
      <t xml:space="preserve">MTU </t>
    </r>
    <r>
      <rPr>
        <i/>
        <sz val="12"/>
        <color theme="1"/>
        <rFont val="Arial"/>
        <family val="2"/>
      </rPr>
      <t>(3rd Additional Interface)</t>
    </r>
  </si>
  <si>
    <r>
      <t>Name</t>
    </r>
    <r>
      <rPr>
        <i/>
        <sz val="12"/>
        <color theme="1"/>
        <rFont val="Arial"/>
        <family val="2"/>
      </rPr>
      <t xml:space="preserve"> (4th Additional Interface)</t>
    </r>
  </si>
  <si>
    <r>
      <t xml:space="preserve">Location </t>
    </r>
    <r>
      <rPr>
        <i/>
        <sz val="12"/>
        <color theme="1"/>
        <rFont val="Arial"/>
        <family val="2"/>
      </rPr>
      <t>(4th Additional Interface)</t>
    </r>
  </si>
  <si>
    <r>
      <t xml:space="preserve">IP Address/Mask </t>
    </r>
    <r>
      <rPr>
        <i/>
        <sz val="12"/>
        <color theme="1"/>
        <rFont val="Arial"/>
        <family val="2"/>
      </rPr>
      <t>(4th Additional Interface)</t>
    </r>
  </si>
  <si>
    <r>
      <t>Segment</t>
    </r>
    <r>
      <rPr>
        <i/>
        <sz val="12"/>
        <color rgb="FF000000"/>
        <rFont val="Arial"/>
        <family val="2"/>
      </rPr>
      <t xml:space="preserve"> (4th Additional Interface)</t>
    </r>
  </si>
  <si>
    <r>
      <t>Edge Node</t>
    </r>
    <r>
      <rPr>
        <i/>
        <sz val="12"/>
        <color theme="1"/>
        <rFont val="Arial"/>
        <family val="2"/>
      </rPr>
      <t xml:space="preserve"> (4th Additional Interface)</t>
    </r>
  </si>
  <si>
    <r>
      <t>MTU</t>
    </r>
    <r>
      <rPr>
        <i/>
        <sz val="12"/>
        <color theme="1"/>
        <rFont val="Arial"/>
        <family val="2"/>
      </rPr>
      <t xml:space="preserve"> (4th Additional Interface)</t>
    </r>
  </si>
  <si>
    <r>
      <t xml:space="preserve">IP Address </t>
    </r>
    <r>
      <rPr>
        <i/>
        <sz val="12"/>
        <color theme="1"/>
        <rFont val="Arial"/>
        <family val="2"/>
      </rPr>
      <t>(1st BGP Peer)</t>
    </r>
  </si>
  <si>
    <r>
      <t>Location</t>
    </r>
    <r>
      <rPr>
        <i/>
        <sz val="12"/>
        <color theme="1"/>
        <rFont val="Arial"/>
        <family val="2"/>
      </rPr>
      <t xml:space="preserve"> (1st BGP Peer)</t>
    </r>
  </si>
  <si>
    <r>
      <t xml:space="preserve">Remote AS Number </t>
    </r>
    <r>
      <rPr>
        <i/>
        <sz val="12"/>
        <color theme="1"/>
        <rFont val="Arial"/>
        <family val="2"/>
      </rPr>
      <t>(1st BGP Peer)</t>
    </r>
  </si>
  <si>
    <r>
      <t>1st Source Address</t>
    </r>
    <r>
      <rPr>
        <i/>
        <sz val="12"/>
        <color theme="1"/>
        <rFont val="Arial"/>
        <family val="2"/>
      </rPr>
      <t xml:space="preserve"> (1st BGP Peer)</t>
    </r>
  </si>
  <si>
    <r>
      <t xml:space="preserve">2nd Source Address </t>
    </r>
    <r>
      <rPr>
        <i/>
        <sz val="12"/>
        <color theme="1"/>
        <rFont val="Arial"/>
        <family val="2"/>
      </rPr>
      <t>(1st BGP Peer)</t>
    </r>
  </si>
  <si>
    <r>
      <t>Password</t>
    </r>
    <r>
      <rPr>
        <i/>
        <sz val="12"/>
        <color theme="1"/>
        <rFont val="Arial"/>
        <family val="2"/>
      </rPr>
      <t xml:space="preserve"> (1st BGP Peer)</t>
    </r>
  </si>
  <si>
    <r>
      <t xml:space="preserve">IP Address </t>
    </r>
    <r>
      <rPr>
        <i/>
        <sz val="12"/>
        <color theme="1"/>
        <rFont val="Arial"/>
        <family val="2"/>
      </rPr>
      <t>(2nd BGP Peer)</t>
    </r>
  </si>
  <si>
    <r>
      <t>Location</t>
    </r>
    <r>
      <rPr>
        <i/>
        <sz val="12"/>
        <color theme="1"/>
        <rFont val="Arial"/>
        <family val="2"/>
      </rPr>
      <t xml:space="preserve"> (2nd BGP Peer)</t>
    </r>
  </si>
  <si>
    <r>
      <t xml:space="preserve">Remote AS Number </t>
    </r>
    <r>
      <rPr>
        <i/>
        <sz val="12"/>
        <color theme="1"/>
        <rFont val="Arial"/>
        <family val="2"/>
      </rPr>
      <t>(2nd BGP Peer)</t>
    </r>
  </si>
  <si>
    <r>
      <t xml:space="preserve">1st Source Address </t>
    </r>
    <r>
      <rPr>
        <i/>
        <sz val="12"/>
        <color theme="1"/>
        <rFont val="Arial"/>
        <family val="2"/>
      </rPr>
      <t>(2nd BGP Peer)</t>
    </r>
  </si>
  <si>
    <r>
      <t>2nd Source Address</t>
    </r>
    <r>
      <rPr>
        <i/>
        <sz val="12"/>
        <color theme="1"/>
        <rFont val="Arial"/>
        <family val="2"/>
      </rPr>
      <t xml:space="preserve"> (2nd BGP Peer)</t>
    </r>
  </si>
  <si>
    <r>
      <t xml:space="preserve">Password </t>
    </r>
    <r>
      <rPr>
        <i/>
        <sz val="12"/>
        <color theme="1"/>
        <rFont val="Arial"/>
        <family val="2"/>
      </rPr>
      <t>(2nd BGP Peer)</t>
    </r>
  </si>
  <si>
    <t>Add Additional Instance as Locations to the Cross-Instance Tier-1 Gateway</t>
  </si>
  <si>
    <t xml:space="preserve">         VMware Cloud Foundation Fleet Components Deployment</t>
  </si>
  <si>
    <t xml:space="preserve"> VMware Cloud Foundation Fleet Components Deployment</t>
  </si>
  <si>
    <t>Networking Model for Component Deployment</t>
  </si>
  <si>
    <t xml:space="preserve">Deploy VCF Operations and Automation </t>
  </si>
  <si>
    <t>Deploy VCF Operations for Networks</t>
  </si>
  <si>
    <t xml:space="preserve">Deployment Type </t>
  </si>
  <si>
    <t>Standard</t>
  </si>
  <si>
    <t>gateway</t>
  </si>
  <si>
    <t>Root Password</t>
  </si>
  <si>
    <t>Node Prefix</t>
  </si>
  <si>
    <t>VCF Automation virtual machines will be deployed with flt-auto-&lt;generated id&gt;</t>
  </si>
  <si>
    <t>ipPool #1</t>
  </si>
  <si>
    <t>ipPool #2</t>
  </si>
  <si>
    <t>ipPool #3</t>
  </si>
  <si>
    <t>ipPool #4</t>
  </si>
  <si>
    <t>The CIDR used for pods running the internal Kubernetes cluster</t>
  </si>
  <si>
    <t>Deployment</t>
  </si>
  <si>
    <t>Installation Type</t>
  </si>
  <si>
    <t>New Install</t>
  </si>
  <si>
    <t xml:space="preserve">Use this section if  VCF Automation was skipped during the intial deployment. </t>
  </si>
  <si>
    <t>Small</t>
  </si>
  <si>
    <t xml:space="preserve">Certifcate </t>
  </si>
  <si>
    <t>Add Certifcate</t>
  </si>
  <si>
    <t>Generate Certificate</t>
  </si>
  <si>
    <t>Alias</t>
  </si>
  <si>
    <t>Certificate File</t>
  </si>
  <si>
    <t>Common Name (CN)</t>
  </si>
  <si>
    <t>Organization (O)</t>
  </si>
  <si>
    <t>Organization (OU)</t>
  </si>
  <si>
    <t>Country Code (C)</t>
  </si>
  <si>
    <t>Locality (L)</t>
  </si>
  <si>
    <t>State (ST)</t>
  </si>
  <si>
    <t>Key Length</t>
  </si>
  <si>
    <t>4096</t>
  </si>
  <si>
    <t>VCF Automation  FQDN</t>
  </si>
  <si>
    <t>Select Certificate</t>
  </si>
  <si>
    <t xml:space="preserve">Infrastructure </t>
  </si>
  <si>
    <t>Select vCenter Server</t>
  </si>
  <si>
    <t>Select Cluster</t>
  </si>
  <si>
    <t>Select Folder</t>
  </si>
  <si>
    <t>Must be available in vCenter prior to running workflow</t>
  </si>
  <si>
    <t>Select Resource Pool</t>
  </si>
  <si>
    <t>Select Network</t>
  </si>
  <si>
    <t>Select Datastore</t>
  </si>
  <si>
    <t>Domain Name</t>
  </si>
  <si>
    <t>Domain Search Path</t>
  </si>
  <si>
    <t>DNS Servers</t>
  </si>
  <si>
    <t>Time Sync Mode</t>
  </si>
  <si>
    <t>Use NTP Server</t>
  </si>
  <si>
    <t>Default IPv4 Gateway</t>
  </si>
  <si>
    <t>IPv4 Netmask</t>
  </si>
  <si>
    <t xml:space="preserve">Components </t>
  </si>
  <si>
    <t>VMware System User Password  Alias</t>
  </si>
  <si>
    <t>flt-auto01-admin-password</t>
  </si>
  <si>
    <t>VMware System User Password Description</t>
  </si>
  <si>
    <t>VCF Automation Admin Password</t>
  </si>
  <si>
    <t>VMware System Username</t>
  </si>
  <si>
    <t>Root Password Alias</t>
  </si>
  <si>
    <t>Root Password Description</t>
  </si>
  <si>
    <t>VCF Automation root Password</t>
  </si>
  <si>
    <t>Root Username</t>
  </si>
  <si>
    <t>vCenter Server List</t>
  </si>
  <si>
    <t>Controller Type</t>
  </si>
  <si>
    <t>Internal Load Balancer</t>
  </si>
  <si>
    <t>flt-auto</t>
  </si>
  <si>
    <t>Primary VIP</t>
  </si>
  <si>
    <t>Internal Cluster CIDR</t>
  </si>
  <si>
    <t>192.18.0.0/15</t>
  </si>
  <si>
    <t>Additional VIPs</t>
  </si>
  <si>
    <t>N/A</t>
  </si>
  <si>
    <t>Cluster Node IP Pool #1</t>
  </si>
  <si>
    <t>Cluster Node IP Pool #2</t>
  </si>
  <si>
    <t>Cluster Node IP Pool #3</t>
  </si>
  <si>
    <t>Cluster Node IP Pool #4</t>
  </si>
  <si>
    <t>Deploy Identity Broker  {VMware Cloud Foundation Operations}</t>
  </si>
  <si>
    <t>100.64.0.0/15</t>
  </si>
  <si>
    <t>Choose the Identity Provider</t>
  </si>
  <si>
    <t>Identity Provider</t>
  </si>
  <si>
    <t>AD/LDAP</t>
  </si>
  <si>
    <t>DNS Server Location</t>
  </si>
  <si>
    <t>The Identity Broker locates and connects to the optimal domain controller in your Active Directory by querying DNS Service Records.</t>
  </si>
  <si>
    <t>Global Catalog</t>
  </si>
  <si>
    <t>Global catalog has a partial read-only replica of all objects across all domains in the forest</t>
  </si>
  <si>
    <t>Encrypted Connection</t>
  </si>
  <si>
    <t>Enable LDAPS for all connections to this directory</t>
  </si>
  <si>
    <t xml:space="preserve">Certificate(s) for encrypted connection </t>
  </si>
  <si>
    <t>cert.pem</t>
  </si>
  <si>
    <t>Ensure the certificate is in PEM format and include the "BEGIN CERTIFICATE" and "END CERTIFICATE" lines.</t>
  </si>
  <si>
    <t>Primary domain controller</t>
  </si>
  <si>
    <t>sfo-ad01.sfo.rainpole.io</t>
  </si>
  <si>
    <t>Primary domain controller port number</t>
  </si>
  <si>
    <t>Secondary domain controller</t>
  </si>
  <si>
    <t>Secondary domain controller port number</t>
  </si>
  <si>
    <t>Directory search attribute</t>
  </si>
  <si>
    <t>sAMAccountName</t>
  </si>
  <si>
    <t xml:space="preserve">Base DN </t>
  </si>
  <si>
    <t>DC=rainpole,DC=io</t>
  </si>
  <si>
    <t>Bind user name</t>
  </si>
  <si>
    <t>CN=svc-idm-ad,OU=Security Users,DC=rainpole,DC=io</t>
  </si>
  <si>
    <t>Enter the account that can search for users. For example, CN=user1, CN=Users, OU=myUnit, DC=myCorp, DC=com.</t>
  </si>
  <si>
    <t xml:space="preserve">Bind user password </t>
  </si>
  <si>
    <t>Atrribute Mappings</t>
  </si>
  <si>
    <t>userName</t>
  </si>
  <si>
    <t>firstName</t>
  </si>
  <si>
    <t>givenName</t>
  </si>
  <si>
    <t>lastName</t>
  </si>
  <si>
    <t>sn</t>
  </si>
  <si>
    <t>disthinguishedName</t>
  </si>
  <si>
    <t>employeeID</t>
  </si>
  <si>
    <t>email</t>
  </si>
  <si>
    <t>mail</t>
  </si>
  <si>
    <t>userPrincipalName</t>
  </si>
  <si>
    <t>Group Provisioning</t>
  </si>
  <si>
    <t>Specify the base group DN</t>
  </si>
  <si>
    <t>OU=Security Groups,DC=rainpole,DC=io</t>
  </si>
  <si>
    <t>User Provisioning</t>
  </si>
  <si>
    <t>Specify the base user DN</t>
  </si>
  <si>
    <t>OU=Security Users,DC=rainpole,DC=io</t>
  </si>
  <si>
    <t>Passphrase</t>
  </si>
  <si>
    <t>Admin Password Alias</t>
  </si>
  <si>
    <t>Admin Password Description</t>
  </si>
  <si>
    <t>Admin Username</t>
  </si>
  <si>
    <t xml:space="preserve">Node Size </t>
  </si>
  <si>
    <t>Admin Email</t>
  </si>
  <si>
    <t>Component Password</t>
  </si>
  <si>
    <t>Cluster Virtual IP</t>
  </si>
  <si>
    <t>VM Name</t>
  </si>
  <si>
    <t>Cluster</t>
  </si>
  <si>
    <t>FQDN - Platform Node #1</t>
  </si>
  <si>
    <t>FQDN - Platform Node #2</t>
  </si>
  <si>
    <t>FQDN - Platform Node #3</t>
  </si>
  <si>
    <t>IP - Platform Node #1</t>
  </si>
  <si>
    <t>IP - Platform Node #2</t>
  </si>
  <si>
    <t>IP - Platform Node #3</t>
  </si>
  <si>
    <t>Operations for Networks Platform Password</t>
  </si>
  <si>
    <t>Support Password</t>
  </si>
  <si>
    <t>Console Password</t>
  </si>
  <si>
    <t>operations-network platform node</t>
  </si>
  <si>
    <t>Large</t>
  </si>
  <si>
    <t>operations-network collector node</t>
  </si>
  <si>
    <t xml:space="preserve">        VMware Cloud Foundation Workload Domain Deployment using VCF Operations</t>
  </si>
  <si>
    <t>This page contains all user required values used during the deployment of a VMware Cloud Foundation Workload Domain and associated Post-Config tasks. Each table and value maps directly to a process in the deployment guidance documentation.</t>
  </si>
  <si>
    <t>Workload Domain Deployment</t>
  </si>
  <si>
    <t>Number of Compute Hosts per rack for initial cluster</t>
  </si>
  <si>
    <t>Number of additional racks available for Layer 3 Multi-Rack Deployments</t>
  </si>
  <si>
    <t>Separate VLAN for Management VMs and ESX Management VMK Interfaces</t>
  </si>
  <si>
    <t>vSAN-ESA</t>
  </si>
  <si>
    <t>Principal Storage Model</t>
  </si>
  <si>
    <t xml:space="preserve">Create or Re-use an exising VCF Network Pool </t>
  </si>
  <si>
    <t>Deploy Workload Domain using ESX Hosts with External Certificates</t>
  </si>
  <si>
    <t>Enable Single Management Zone vSphere Supervisor with NSX VPC Networking</t>
  </si>
  <si>
    <t>Enter the general configuration details for this deployment</t>
  </si>
  <si>
    <t>Workload Domain Name</t>
  </si>
  <si>
    <t>Specify a vCenter</t>
  </si>
  <si>
    <t>Select vCenter</t>
  </si>
  <si>
    <t>Specify an external vCenter</t>
  </si>
  <si>
    <t>vCenter server FQDN</t>
  </si>
  <si>
    <t>vCenter Server Root Password</t>
  </si>
  <si>
    <t>SSO user name</t>
  </si>
  <si>
    <t>SSO user password</t>
  </si>
  <si>
    <t>This vCenter is connected to an NSX instance</t>
  </si>
  <si>
    <t>NSX Manager</t>
  </si>
  <si>
    <t>Provide details about the networking to use with this workload domain.</t>
  </si>
  <si>
    <t>NSX Manager Instance Options</t>
  </si>
  <si>
    <t>Create new NSX Manager Instance</t>
  </si>
  <si>
    <t>Deployment Size</t>
  </si>
  <si>
    <t>NSX Management Cluster</t>
  </si>
  <si>
    <t>Appliance Size</t>
  </si>
  <si>
    <t>Appliance 1 FQDN</t>
  </si>
  <si>
    <t>NSX Manager / Local Manager Node A</t>
  </si>
  <si>
    <t xml:space="preserve">Appliance 2 FQDN </t>
  </si>
  <si>
    <t>NSX Manager / Local Manager Node B</t>
  </si>
  <si>
    <t xml:space="preserve">Appliance 3 FQDN </t>
  </si>
  <si>
    <t>NSX Manager / Local Manager Node C</t>
  </si>
  <si>
    <t>Appliance Cluster FQDN</t>
  </si>
  <si>
    <t>NSX Manager / Local Manager VIP</t>
  </si>
  <si>
    <t>Enable Edge cluster sync and import NSX Edge node VMs</t>
  </si>
  <si>
    <t>The import process will add the discovered Edge node VMs to the VCF inventory</t>
  </si>
  <si>
    <t>Configure NSX Overlay using ESXi Management VMkernel Networking:</t>
  </si>
  <si>
    <t>If this option is unchecked, NSX will be configured only in VLAN transport zone mode</t>
  </si>
  <si>
    <t>Auto Generate Passwords</t>
  </si>
  <si>
    <t>NSX Administrator Password</t>
  </si>
  <si>
    <t>NSX Root Password</t>
  </si>
  <si>
    <t>NSX Audit Password</t>
  </si>
  <si>
    <t>Initial Host Configuring</t>
  </si>
  <si>
    <t>Management IP (ESXHost 3)</t>
  </si>
  <si>
    <t>Create Network Pool</t>
  </si>
  <si>
    <t xml:space="preserve">vSAN Network - vSAN Storage Cluster </t>
  </si>
  <si>
    <t>Commission Hosts</t>
  </si>
  <si>
    <t>General Information</t>
  </si>
  <si>
    <t>Enable vSphere Supervisor</t>
  </si>
  <si>
    <t>SSO Domain Name</t>
  </si>
  <si>
    <t>Auto-generate my passwords for newly installed appliances</t>
  </si>
  <si>
    <t>SSO Administration Password</t>
  </si>
  <si>
    <t>vCenter</t>
  </si>
  <si>
    <t>vCenter FQDN</t>
  </si>
  <si>
    <t>vCenter Root Password</t>
  </si>
  <si>
    <t>Enter the details for the first cluster that will be created as default in this new workload domain</t>
  </si>
  <si>
    <t>vSphere Zone Name</t>
  </si>
  <si>
    <t>Image</t>
  </si>
  <si>
    <t>Select an image and assign it to the selected clusters. You can import images from the Image Management catalog.</t>
  </si>
  <si>
    <t>High-Availability</t>
  </si>
  <si>
    <t>IP Address 1</t>
  </si>
  <si>
    <t>IP Address 2</t>
  </si>
  <si>
    <t>IP Address 3</t>
  </si>
  <si>
    <t>Cluster IP</t>
  </si>
  <si>
    <t>Audit Password</t>
  </si>
  <si>
    <t>Configure Network Connectivity and VPC External IP Blocks</t>
  </si>
  <si>
    <t>Gateway CIDR IPv4 Address</t>
  </si>
  <si>
    <t>Storage</t>
  </si>
  <si>
    <t>Storage Selection</t>
  </si>
  <si>
    <t>Enable vSAN ESA</t>
  </si>
  <si>
    <t>Select the cluster type and review the storage configuration.</t>
  </si>
  <si>
    <t xml:space="preserve">vSAN Storage Type </t>
  </si>
  <si>
    <t xml:space="preserve">vSAN HCI </t>
  </si>
  <si>
    <t>vSAN Storage Client Network</t>
  </si>
  <si>
    <t>1</t>
  </si>
  <si>
    <t>vSAN: Deduplication and Compression</t>
  </si>
  <si>
    <t>VMFS on FC: Datastore Name</t>
  </si>
  <si>
    <t>NFS: Datastore Name</t>
  </si>
  <si>
    <t>NFS: Share Path</t>
  </si>
  <si>
    <t>NFS: Address of NFS Server</t>
  </si>
  <si>
    <t xml:space="preserve">Host Selection </t>
  </si>
  <si>
    <t>Distributed Switch</t>
  </si>
  <si>
    <t>Provide the VDS configuration to be applied to the hosts in the cluster.</t>
  </si>
  <si>
    <t xml:space="preserve">Switch Configuration </t>
  </si>
  <si>
    <t>Default</t>
  </si>
  <si>
    <t xml:space="preserve">Copy From Preconfigured Profile </t>
  </si>
  <si>
    <t>Distributed Switch Configuration</t>
  </si>
  <si>
    <t>Preconfigured Profiles</t>
  </si>
  <si>
    <t>Primary vSphere Distributed Switch</t>
  </si>
  <si>
    <t>Number of Uplinks</t>
  </si>
  <si>
    <t>Physical Network Adapters Used</t>
  </si>
  <si>
    <t>vmnic0,vmnic1</t>
  </si>
  <si>
    <t>Supported Traffic Type</t>
  </si>
  <si>
    <t>Management,vMotion,vSan,Overlay</t>
  </si>
  <si>
    <t>Network Traffic: Management</t>
  </si>
  <si>
    <t>Portgroup will be created on Primary Distributed Switch</t>
  </si>
  <si>
    <t>Load Balancing</t>
  </si>
  <si>
    <t>Route Based on Physical NIC Load</t>
  </si>
  <si>
    <t>uplink1</t>
  </si>
  <si>
    <t>Active</t>
  </si>
  <si>
    <t>uplink2</t>
  </si>
  <si>
    <t>Network Traffic: VM Management</t>
  </si>
  <si>
    <t>Network Traffic: vMotion</t>
  </si>
  <si>
    <t>Network Traffic: vSAN</t>
  </si>
  <si>
    <t>Network Traffic: vSAN Storage Client</t>
  </si>
  <si>
    <t>Network Traffic: NSX</t>
  </si>
  <si>
    <t>Apply default operation mode configured in NSX Manager</t>
  </si>
  <si>
    <t>Transport Zone Type: NSX-Overlay</t>
  </si>
  <si>
    <t>Transport Zone Type: NSX-VLAN</t>
  </si>
  <si>
    <t>Transport Zones</t>
  </si>
  <si>
    <t>Transport Zone Name</t>
  </si>
  <si>
    <t>IP Assignment (TEP)</t>
  </si>
  <si>
    <t>Static IP Pool</t>
  </si>
  <si>
    <t>Pool name</t>
  </si>
  <si>
    <t>ESX Host Overlay TEP IP Pool</t>
  </si>
  <si>
    <t>VLAN Transport Zone Name</t>
  </si>
  <si>
    <t>nsx-vlan-transportzone</t>
  </si>
  <si>
    <t>Transport Node Profile Settings</t>
  </si>
  <si>
    <t>Number of NSX uplinks</t>
  </si>
  <si>
    <t>uplink-1</t>
  </si>
  <si>
    <t>uplink-2</t>
  </si>
  <si>
    <t>NSX Uplink Profile Name</t>
  </si>
  <si>
    <t>Teaming Policy</t>
  </si>
  <si>
    <t>Load Balance Source</t>
  </si>
  <si>
    <t>Active Uplink uplink-1</t>
  </si>
  <si>
    <t>Active Uplink uplink-2</t>
  </si>
  <si>
    <t>Secondary Distributed Switch Name</t>
  </si>
  <si>
    <t>Secondary vSphere Distributed Switch</t>
  </si>
  <si>
    <t>vmnic2,vmnic3</t>
  </si>
  <si>
    <t>Tertiary Distributed Switch Name</t>
  </si>
  <si>
    <t>Tertiary vSphere Distributed Switch</t>
  </si>
  <si>
    <t>vmnic4,vmnic5</t>
  </si>
  <si>
    <t>NSX-Overlay</t>
  </si>
  <si>
    <t>vSphere Supervisor</t>
  </si>
  <si>
    <t xml:space="preserve"> vSphere Supervisor requires centralized edge gateway deployment</t>
  </si>
  <si>
    <t>Supervisor Name</t>
  </si>
  <si>
    <t>Service CIDR</t>
  </si>
  <si>
    <t>Use ESXi Management VMK settings</t>
  </si>
  <si>
    <t>Control Plane IP Range</t>
  </si>
  <si>
    <t>Virtual Private Cloud Network</t>
  </si>
  <si>
    <t>NSX Project</t>
  </si>
  <si>
    <t>VPC Connectivity Profile</t>
  </si>
  <si>
    <t>Default profile</t>
  </si>
  <si>
    <t>Private (Transit Gateway) CIDR</t>
  </si>
  <si>
    <t>Correlates to Private - Transit Gateway IP Blocks in the NSX Network Connectivity for VI WLD workflow</t>
  </si>
  <si>
    <t>Private CIDR</t>
  </si>
  <si>
    <t xml:space="preserve">Workload DNS </t>
  </si>
  <si>
    <t xml:space="preserve">Workload NTP </t>
  </si>
  <si>
    <t>VCF Workload Domain Reference Sheet</t>
  </si>
  <si>
    <t>VM Management Network</t>
  </si>
  <si>
    <t>10.13.12.101</t>
  </si>
  <si>
    <t>10.13.12.116</t>
  </si>
  <si>
    <t>10.13.13.101</t>
  </si>
  <si>
    <t>10.13.13.116</t>
  </si>
  <si>
    <t>Host Overlay Network</t>
  </si>
  <si>
    <t>Hostnames</t>
  </si>
  <si>
    <t>Reference IP Address</t>
  </si>
  <si>
    <t>Your IP Address</t>
  </si>
  <si>
    <t>NSX-T</t>
  </si>
  <si>
    <t>Management IP (ESXi Host 1)</t>
  </si>
  <si>
    <t>Management IP (ESXi Host 2)</t>
  </si>
  <si>
    <t>Management IP (ESXi Host 3)</t>
  </si>
  <si>
    <t>Management IP (ESXi Host 4)</t>
  </si>
  <si>
    <t>Management IP (ESXi Host 5)</t>
  </si>
  <si>
    <t>Management IP (ESXi Host 6)</t>
  </si>
  <si>
    <t>Management IP (ESXi Host 7)</t>
  </si>
  <si>
    <t>Management IP (ESXi Host 8)</t>
  </si>
  <si>
    <t>Management IP (ESXi Host 9)</t>
  </si>
  <si>
    <t>Management IP (ESXi Host 10)</t>
  </si>
  <si>
    <t>Management IP (ESXi Host 11)</t>
  </si>
  <si>
    <t>Management IP (ESXi Host 12)</t>
  </si>
  <si>
    <t>Management IP (ESXi Host 13)</t>
  </si>
  <si>
    <t>Management IP (ESXi Host 14)</t>
  </si>
  <si>
    <t>Management IP (ESXi Host 15)</t>
  </si>
  <si>
    <t>Management IP (ESXi Host 16)</t>
  </si>
  <si>
    <t xml:space="preserve"> </t>
  </si>
  <si>
    <t>NSX Network Connectivity for the Workload Domain</t>
  </si>
  <si>
    <t>NSX Federation for Workload Domain</t>
  </si>
  <si>
    <t>Installing Microsoft CA-Signed Certificates using SDDC Manager</t>
  </si>
  <si>
    <t>NSX Network Connectivity for the Workload Domain {vCenter}</t>
  </si>
  <si>
    <t>Configured as part of Global Fabric Setting</t>
  </si>
  <si>
    <t>Values are set based on vSphere Cluster configuration in the Deploy Workload Domain Tab. Click to Redirect</t>
  </si>
  <si>
    <t xml:space="preserve">Host Group is optional and must be precreated in vCenter Prior to Starting this workflow </t>
  </si>
  <si>
    <t>Data Store</t>
  </si>
  <si>
    <t>Values are set based on Datastore configuration in the Deploy Workload Domain Tab. Click to Redirect</t>
  </si>
  <si>
    <t>Must be precreated in vCenter, Values are set based on VM Management Network configuration in the Deploy Workload Domain Tab. Click to Redirect</t>
  </si>
  <si>
    <t>Values are set based on VM Management Network configuration in the Deploy Workload Domain Tab. Click to Redirect</t>
  </si>
  <si>
    <t>Edge Node Uplink Mapping</t>
  </si>
  <si>
    <t>vmnic0</t>
  </si>
  <si>
    <t>vmnic1</t>
  </si>
  <si>
    <t>Overlay IP Address #01 for Edge Node 1</t>
  </si>
  <si>
    <t>Overlay IP Address #02  for Edge Node 1</t>
  </si>
  <si>
    <t xml:space="preserve">Value is set based on Host Group affinity for Edge node 1 </t>
  </si>
  <si>
    <t>Must be precreated in vCenter</t>
  </si>
  <si>
    <t xml:space="preserve">Input is determined based on your selection for Edge Node 01  </t>
  </si>
  <si>
    <t>Standby PNIC</t>
  </si>
  <si>
    <t>IPv4 Static List Edge Node 2: Edge TEP 1 IP</t>
  </si>
  <si>
    <t>Overlay IP Address #01 for Edge Node 2</t>
  </si>
  <si>
    <t>IPv4 Static List Edge Node 2: Edge TEP 2 IP</t>
  </si>
  <si>
    <t>Overlay IP Address #02 for Edge Node 2</t>
  </si>
  <si>
    <t>Active Active</t>
  </si>
  <si>
    <t xml:space="preserve">Uplink 1 IP Address for Edge Node 1 </t>
  </si>
  <si>
    <t>Uplink 2 IP Address for Edge Node 1</t>
  </si>
  <si>
    <t xml:space="preserve">Top of Rack 2 - IP Address </t>
  </si>
  <si>
    <t xml:space="preserve">Top of Rack 2 - IP Address. Input is determined based on your selection for Edge Node 01  </t>
  </si>
  <si>
    <t>System generated PortGroup names are used unless NSX Edges are deployed using API - Portgroup must be precreated in vCenter</t>
  </si>
  <si>
    <t>Deploy AVI Load Balancer</t>
  </si>
  <si>
    <t>WLD Domain VLAN and IP Subnet Requirements (vSAN Witness Zone)</t>
  </si>
  <si>
    <t xml:space="preserve"> Minimum 8 Characters, 1 Uppercase, 1 Special</t>
  </si>
  <si>
    <t xml:space="preserve"> IP Address</t>
  </si>
  <si>
    <t>Available after host is comissioned in SDDC Manager</t>
  </si>
  <si>
    <t>728715b3-40f4-418a-884b-9ca9f261c51a</t>
  </si>
  <si>
    <t>3e4a212b-9d3b-40d8-ae6c-bba7f4a4cb19</t>
  </si>
  <si>
    <t>82ca211e-372f-4038-94bd-7488f2482721</t>
  </si>
  <si>
    <t>fce56aac-1e7d-4c69-a2ef-09b7bdfadf83</t>
  </si>
  <si>
    <t>e236b1ea-8008-467c-9d14-009d9cf6afa4</t>
  </si>
  <si>
    <t>f8b26ead-ee1d-4392-adb2-31b1ce13cb65</t>
  </si>
  <si>
    <t>675bcfc7-b075-4041-bb2c-757e1f44ef95</t>
  </si>
  <si>
    <t>388b5023-b957-4f69-9ffe-f780237834aa</t>
  </si>
  <si>
    <t>9e97f427-331b-42a4-a609-72f691a2e121</t>
  </si>
  <si>
    <t>47722367-5fa2-4ff5-90e0-3fd2ad73bcf3</t>
  </si>
  <si>
    <t>a6759147-c16a-428a-ba12-f685acfab381</t>
  </si>
  <si>
    <t>5c1fecbe-573e-43ce-ab1a-1f1f49bca2ac</t>
  </si>
  <si>
    <t>fqdn</t>
  </si>
  <si>
    <r>
      <t>Virtual Machine Name</t>
    </r>
    <r>
      <rPr>
        <i/>
        <sz val="12"/>
        <color rgb="FF000000"/>
        <rFont val="Arial"/>
        <family val="2"/>
      </rPr>
      <t xml:space="preserve"> (Node 1)</t>
    </r>
  </si>
  <si>
    <r>
      <t xml:space="preserve">Location </t>
    </r>
    <r>
      <rPr>
        <i/>
        <sz val="12"/>
        <color rgb="FF000000"/>
        <rFont val="Arial"/>
        <family val="2"/>
      </rPr>
      <t>(Node 1)</t>
    </r>
  </si>
  <si>
    <r>
      <t>Compute Resource</t>
    </r>
    <r>
      <rPr>
        <i/>
        <sz val="12"/>
        <color rgb="FF000000"/>
        <rFont val="Arial"/>
        <family val="2"/>
      </rPr>
      <t xml:space="preserve"> (Node 1)</t>
    </r>
  </si>
  <si>
    <r>
      <t>Deployment configuration size</t>
    </r>
    <r>
      <rPr>
        <i/>
        <sz val="12"/>
        <color rgb="FF000000"/>
        <rFont val="Arial"/>
        <family val="2"/>
      </rPr>
      <t xml:space="preserve"> (Node 1)</t>
    </r>
  </si>
  <si>
    <r>
      <t>Datastore</t>
    </r>
    <r>
      <rPr>
        <i/>
        <sz val="12"/>
        <color rgb="FF000000"/>
        <rFont val="Arial"/>
        <family val="2"/>
      </rPr>
      <t xml:space="preserve"> (Node 1)</t>
    </r>
  </si>
  <si>
    <r>
      <t>Network 1 (Management Network</t>
    </r>
    <r>
      <rPr>
        <i/>
        <sz val="12"/>
        <color rgb="FF000000"/>
        <rFont val="Arial"/>
        <family val="2"/>
      </rPr>
      <t>) (Node 1)</t>
    </r>
  </si>
  <si>
    <r>
      <t xml:space="preserve">System Root User Password </t>
    </r>
    <r>
      <rPr>
        <i/>
        <sz val="12"/>
        <color rgb="FF000000"/>
        <rFont val="Arial"/>
        <family val="2"/>
      </rPr>
      <t>(Node 1)</t>
    </r>
  </si>
  <si>
    <r>
      <t>CLI "admin" User Password</t>
    </r>
    <r>
      <rPr>
        <i/>
        <sz val="12"/>
        <color rgb="FF000000"/>
        <rFont val="Arial"/>
        <family val="2"/>
      </rPr>
      <t xml:space="preserve"> (Node 1)</t>
    </r>
  </si>
  <si>
    <r>
      <t xml:space="preserve">CLI "audit" User Password </t>
    </r>
    <r>
      <rPr>
        <i/>
        <sz val="12"/>
        <color rgb="FF000000"/>
        <rFont val="Arial"/>
        <family val="2"/>
      </rPr>
      <t>(Node 1)</t>
    </r>
  </si>
  <si>
    <r>
      <t xml:space="preserve">Hostname (FQDN) </t>
    </r>
    <r>
      <rPr>
        <i/>
        <sz val="12"/>
        <color rgb="FF000000"/>
        <rFont val="Arial"/>
        <family val="2"/>
      </rPr>
      <t>(Node 1)</t>
    </r>
  </si>
  <si>
    <r>
      <t xml:space="preserve">Management Network IPv4 Address </t>
    </r>
    <r>
      <rPr>
        <i/>
        <sz val="12"/>
        <color rgb="FF000000"/>
        <rFont val="Arial"/>
        <family val="2"/>
      </rPr>
      <t>(Node 1)</t>
    </r>
  </si>
  <si>
    <r>
      <t xml:space="preserve">Management Network Netmask </t>
    </r>
    <r>
      <rPr>
        <i/>
        <sz val="12"/>
        <color rgb="FF000000"/>
        <rFont val="Arial"/>
        <family val="2"/>
      </rPr>
      <t>(Node 1)</t>
    </r>
  </si>
  <si>
    <r>
      <t>Default IPv4 Gateway</t>
    </r>
    <r>
      <rPr>
        <i/>
        <sz val="12"/>
        <color rgb="FF000000"/>
        <rFont val="Arial"/>
        <family val="2"/>
      </rPr>
      <t xml:space="preserve"> (Node 1)</t>
    </r>
  </si>
  <si>
    <r>
      <t xml:space="preserve">DNS Server list </t>
    </r>
    <r>
      <rPr>
        <i/>
        <sz val="12"/>
        <color rgb="FF000000"/>
        <rFont val="Arial"/>
        <family val="2"/>
      </rPr>
      <t>(Node 1)</t>
    </r>
  </si>
  <si>
    <r>
      <t>Domain Search List</t>
    </r>
    <r>
      <rPr>
        <i/>
        <sz val="12"/>
        <color rgb="FF000000"/>
        <rFont val="Arial"/>
        <family val="2"/>
      </rPr>
      <t xml:space="preserve"> (Node 1)</t>
    </r>
  </si>
  <si>
    <r>
      <t>NTP Server List</t>
    </r>
    <r>
      <rPr>
        <i/>
        <sz val="12"/>
        <color rgb="FF000000"/>
        <rFont val="Arial"/>
        <family val="2"/>
      </rPr>
      <t xml:space="preserve"> (Node 1)</t>
    </r>
  </si>
  <si>
    <r>
      <t>Virtual Machine Name</t>
    </r>
    <r>
      <rPr>
        <i/>
        <sz val="12"/>
        <color rgb="FF000000"/>
        <rFont val="Arial"/>
        <family val="2"/>
      </rPr>
      <t xml:space="preserve"> (Node 2)</t>
    </r>
  </si>
  <si>
    <r>
      <t xml:space="preserve">Location </t>
    </r>
    <r>
      <rPr>
        <i/>
        <sz val="12"/>
        <color rgb="FF000000"/>
        <rFont val="Arial"/>
        <family val="2"/>
      </rPr>
      <t>(Node 2)</t>
    </r>
  </si>
  <si>
    <r>
      <t>Compute Resource</t>
    </r>
    <r>
      <rPr>
        <i/>
        <sz val="12"/>
        <color rgb="FF000000"/>
        <rFont val="Arial"/>
        <family val="2"/>
      </rPr>
      <t xml:space="preserve"> (Node 2)</t>
    </r>
  </si>
  <si>
    <r>
      <t>Deployment configuration size</t>
    </r>
    <r>
      <rPr>
        <i/>
        <sz val="12"/>
        <color rgb="FF000000"/>
        <rFont val="Arial"/>
        <family val="2"/>
      </rPr>
      <t xml:space="preserve"> (Node 2)</t>
    </r>
  </si>
  <si>
    <r>
      <t>Datastore</t>
    </r>
    <r>
      <rPr>
        <i/>
        <sz val="12"/>
        <color rgb="FF000000"/>
        <rFont val="Arial"/>
        <family val="2"/>
      </rPr>
      <t xml:space="preserve"> (Node 2)</t>
    </r>
  </si>
  <si>
    <r>
      <t>Network 1 (Management Network</t>
    </r>
    <r>
      <rPr>
        <i/>
        <sz val="12"/>
        <color rgb="FF000000"/>
        <rFont val="Arial"/>
        <family val="2"/>
      </rPr>
      <t>) (Node 2)</t>
    </r>
  </si>
  <si>
    <r>
      <t xml:space="preserve">System Root User Password </t>
    </r>
    <r>
      <rPr>
        <i/>
        <sz val="12"/>
        <color rgb="FF000000"/>
        <rFont val="Arial"/>
        <family val="2"/>
      </rPr>
      <t>(Node 2)</t>
    </r>
  </si>
  <si>
    <r>
      <t>CLI "admin" User Password</t>
    </r>
    <r>
      <rPr>
        <i/>
        <sz val="12"/>
        <color rgb="FF000000"/>
        <rFont val="Arial"/>
        <family val="2"/>
      </rPr>
      <t xml:space="preserve"> (Node 2)</t>
    </r>
  </si>
  <si>
    <r>
      <t xml:space="preserve">CLI "audit" User Password </t>
    </r>
    <r>
      <rPr>
        <i/>
        <sz val="12"/>
        <color rgb="FF000000"/>
        <rFont val="Arial"/>
        <family val="2"/>
      </rPr>
      <t>(Node 2)</t>
    </r>
  </si>
  <si>
    <r>
      <t xml:space="preserve">Hostname (FQDN) </t>
    </r>
    <r>
      <rPr>
        <i/>
        <sz val="12"/>
        <color rgb="FF000000"/>
        <rFont val="Arial"/>
        <family val="2"/>
      </rPr>
      <t>(Node 2)</t>
    </r>
  </si>
  <si>
    <r>
      <t xml:space="preserve">Management Network IPv4 Address </t>
    </r>
    <r>
      <rPr>
        <i/>
        <sz val="12"/>
        <color rgb="FF000000"/>
        <rFont val="Arial"/>
        <family val="2"/>
      </rPr>
      <t>(Node 2)</t>
    </r>
  </si>
  <si>
    <r>
      <t xml:space="preserve">Management Network Netmask </t>
    </r>
    <r>
      <rPr>
        <i/>
        <sz val="12"/>
        <color rgb="FF000000"/>
        <rFont val="Arial"/>
        <family val="2"/>
      </rPr>
      <t>(Node 2)</t>
    </r>
  </si>
  <si>
    <r>
      <t>Default IPv4 Gateway</t>
    </r>
    <r>
      <rPr>
        <i/>
        <sz val="12"/>
        <color rgb="FF000000"/>
        <rFont val="Arial"/>
        <family val="2"/>
      </rPr>
      <t xml:space="preserve"> (Node 2)</t>
    </r>
  </si>
  <si>
    <r>
      <t xml:space="preserve">DNS Server list </t>
    </r>
    <r>
      <rPr>
        <i/>
        <sz val="12"/>
        <color rgb="FF000000"/>
        <rFont val="Arial"/>
        <family val="2"/>
      </rPr>
      <t>(Node 2)</t>
    </r>
  </si>
  <si>
    <r>
      <t>Domain Search List</t>
    </r>
    <r>
      <rPr>
        <i/>
        <sz val="12"/>
        <color rgb="FF000000"/>
        <rFont val="Arial"/>
        <family val="2"/>
      </rPr>
      <t xml:space="preserve"> (Node 2)</t>
    </r>
  </si>
  <si>
    <r>
      <t>NTP Server List</t>
    </r>
    <r>
      <rPr>
        <i/>
        <sz val="12"/>
        <color rgb="FF000000"/>
        <rFont val="Arial"/>
        <family val="2"/>
      </rPr>
      <t xml:space="preserve"> (Node 2)</t>
    </r>
  </si>
  <si>
    <r>
      <t>Virtual Machine Name</t>
    </r>
    <r>
      <rPr>
        <i/>
        <sz val="12"/>
        <color rgb="FF000000"/>
        <rFont val="Arial"/>
        <family val="2"/>
      </rPr>
      <t xml:space="preserve"> (Node 3)</t>
    </r>
  </si>
  <si>
    <r>
      <t xml:space="preserve">Location </t>
    </r>
    <r>
      <rPr>
        <i/>
        <sz val="12"/>
        <color rgb="FF000000"/>
        <rFont val="Arial"/>
        <family val="2"/>
      </rPr>
      <t>(Node 3)</t>
    </r>
  </si>
  <si>
    <r>
      <t>Compute Resource</t>
    </r>
    <r>
      <rPr>
        <i/>
        <sz val="12"/>
        <color rgb="FF000000"/>
        <rFont val="Arial"/>
        <family val="2"/>
      </rPr>
      <t xml:space="preserve"> (Node 3)</t>
    </r>
  </si>
  <si>
    <r>
      <t>Deployment configuration size</t>
    </r>
    <r>
      <rPr>
        <i/>
        <sz val="12"/>
        <color rgb="FF000000"/>
        <rFont val="Arial"/>
        <family val="2"/>
      </rPr>
      <t xml:space="preserve"> (Node 3)</t>
    </r>
  </si>
  <si>
    <r>
      <t>Datastore</t>
    </r>
    <r>
      <rPr>
        <i/>
        <sz val="12"/>
        <color rgb="FF000000"/>
        <rFont val="Arial"/>
        <family val="2"/>
      </rPr>
      <t xml:space="preserve"> (Node 3)</t>
    </r>
  </si>
  <si>
    <r>
      <t>Network 1 (Management Network</t>
    </r>
    <r>
      <rPr>
        <i/>
        <sz val="12"/>
        <color rgb="FF000000"/>
        <rFont val="Arial"/>
        <family val="2"/>
      </rPr>
      <t>) (Node 3)</t>
    </r>
  </si>
  <si>
    <r>
      <t xml:space="preserve">System Root User Password </t>
    </r>
    <r>
      <rPr>
        <i/>
        <sz val="12"/>
        <color rgb="FF000000"/>
        <rFont val="Arial"/>
        <family val="2"/>
      </rPr>
      <t>(Node 3)</t>
    </r>
  </si>
  <si>
    <r>
      <t>CLI "admin" User Password</t>
    </r>
    <r>
      <rPr>
        <i/>
        <sz val="12"/>
        <color rgb="FF000000"/>
        <rFont val="Arial"/>
        <family val="2"/>
      </rPr>
      <t xml:space="preserve"> (Node 3)</t>
    </r>
  </si>
  <si>
    <r>
      <t xml:space="preserve">CLI "audit" User Password </t>
    </r>
    <r>
      <rPr>
        <i/>
        <sz val="12"/>
        <color rgb="FF000000"/>
        <rFont val="Arial"/>
        <family val="2"/>
      </rPr>
      <t>(Node 3)</t>
    </r>
  </si>
  <si>
    <r>
      <t xml:space="preserve">Hostname (FQDN) </t>
    </r>
    <r>
      <rPr>
        <i/>
        <sz val="12"/>
        <color rgb="FF000000"/>
        <rFont val="Arial"/>
        <family val="2"/>
      </rPr>
      <t>(Node 3)</t>
    </r>
  </si>
  <si>
    <r>
      <t xml:space="preserve">Management Network IPv4 Address </t>
    </r>
    <r>
      <rPr>
        <i/>
        <sz val="12"/>
        <color rgb="FF000000"/>
        <rFont val="Arial"/>
        <family val="2"/>
      </rPr>
      <t>(Node 3)</t>
    </r>
  </si>
  <si>
    <r>
      <t xml:space="preserve">Management Network Netmask </t>
    </r>
    <r>
      <rPr>
        <i/>
        <sz val="12"/>
        <color rgb="FF000000"/>
        <rFont val="Arial"/>
        <family val="2"/>
      </rPr>
      <t>(Node 3)</t>
    </r>
  </si>
  <si>
    <r>
      <t>Default IPv4 Gateway</t>
    </r>
    <r>
      <rPr>
        <i/>
        <sz val="12"/>
        <color rgb="FF000000"/>
        <rFont val="Arial"/>
        <family val="2"/>
      </rPr>
      <t xml:space="preserve"> (Node 3)</t>
    </r>
  </si>
  <si>
    <r>
      <t xml:space="preserve">DNS Server list </t>
    </r>
    <r>
      <rPr>
        <i/>
        <sz val="12"/>
        <color rgb="FF000000"/>
        <rFont val="Arial"/>
        <family val="2"/>
      </rPr>
      <t>(Node 3)</t>
    </r>
  </si>
  <si>
    <r>
      <t>Domain Search List</t>
    </r>
    <r>
      <rPr>
        <i/>
        <sz val="12"/>
        <color rgb="FF000000"/>
        <rFont val="Arial"/>
        <family val="2"/>
      </rPr>
      <t xml:space="preserve"> (Node 3)</t>
    </r>
  </si>
  <si>
    <r>
      <t>NTP Server List</t>
    </r>
    <r>
      <rPr>
        <i/>
        <sz val="12"/>
        <color rgb="FF000000"/>
        <rFont val="Arial"/>
        <family val="2"/>
      </rPr>
      <t xml:space="preserve"> (Node 3)</t>
    </r>
  </si>
  <si>
    <t>da3bd7dc-aa06-4f2d-a9e1-0c4999354c9b</t>
  </si>
  <si>
    <t>NSX Global Manager API Thumbprint</t>
  </si>
  <si>
    <t>d7a6264cd8f74033e851944a205110afdeb046386af42ce47240939c417acb93</t>
  </si>
  <si>
    <r>
      <t>first_node_IP</t>
    </r>
    <r>
      <rPr>
        <i/>
        <sz val="12"/>
        <color rgb="FF000000"/>
        <rFont val="Arial"/>
        <family val="2"/>
      </rPr>
      <t xml:space="preserve"> (Node 3)</t>
    </r>
  </si>
  <si>
    <r>
      <t xml:space="preserve">cluster_ID </t>
    </r>
    <r>
      <rPr>
        <i/>
        <sz val="12"/>
        <color rgb="FF000000"/>
        <rFont val="Arial"/>
        <family val="2"/>
      </rPr>
      <t>(Node 3)</t>
    </r>
  </si>
  <si>
    <t>b900065b-aeb5-457e-aca6-4612b17d06d9</t>
  </si>
  <si>
    <t>Note: Click this cell to redirect to the location for storing this output</t>
  </si>
  <si>
    <r>
      <t xml:space="preserve">Edge Node </t>
    </r>
    <r>
      <rPr>
        <i/>
        <sz val="12"/>
        <color theme="1"/>
        <rFont val="Arial"/>
        <family val="2"/>
      </rPr>
      <t>(1st Additional Interface)</t>
    </r>
  </si>
  <si>
    <r>
      <t>MTU</t>
    </r>
    <r>
      <rPr>
        <i/>
        <sz val="12"/>
        <color theme="1"/>
        <rFont val="Arial"/>
        <family val="2"/>
      </rPr>
      <t xml:space="preserve"> (1st Additional Interface)</t>
    </r>
  </si>
  <si>
    <r>
      <t xml:space="preserve">Name </t>
    </r>
    <r>
      <rPr>
        <i/>
        <sz val="12"/>
        <color theme="1"/>
        <rFont val="Arial"/>
        <family val="2"/>
      </rPr>
      <t>(2nd Additional Interface)</t>
    </r>
  </si>
  <si>
    <r>
      <t>Location</t>
    </r>
    <r>
      <rPr>
        <i/>
        <sz val="12"/>
        <color theme="1"/>
        <rFont val="Arial"/>
        <family val="2"/>
      </rPr>
      <t xml:space="preserve"> (2nd Additional Interface)</t>
    </r>
  </si>
  <si>
    <r>
      <t xml:space="preserve">Segment </t>
    </r>
    <r>
      <rPr>
        <i/>
        <sz val="12"/>
        <color rgb="FF000000"/>
        <rFont val="Arial"/>
        <family val="2"/>
      </rPr>
      <t>(2nd Additional Interface)</t>
    </r>
  </si>
  <si>
    <r>
      <t>Location</t>
    </r>
    <r>
      <rPr>
        <i/>
        <sz val="12"/>
        <color theme="1"/>
        <rFont val="Arial"/>
        <family val="2"/>
      </rPr>
      <t xml:space="preserve"> (3rd Additional Interface)</t>
    </r>
  </si>
  <si>
    <r>
      <t xml:space="preserve">IP Address/Mask </t>
    </r>
    <r>
      <rPr>
        <i/>
        <sz val="12"/>
        <color theme="1"/>
        <rFont val="Arial"/>
        <family val="2"/>
      </rPr>
      <t>(3rd Additional Interface)</t>
    </r>
  </si>
  <si>
    <r>
      <t xml:space="preserve">Segment </t>
    </r>
    <r>
      <rPr>
        <i/>
        <sz val="12"/>
        <color rgb="FF000000"/>
        <rFont val="Arial"/>
        <family val="2"/>
      </rPr>
      <t>(3rd Additional Interface)</t>
    </r>
  </si>
  <si>
    <r>
      <t>Edge Node</t>
    </r>
    <r>
      <rPr>
        <i/>
        <sz val="12"/>
        <color theme="1"/>
        <rFont val="Arial"/>
        <family val="2"/>
      </rPr>
      <t xml:space="preserve"> (3rd Additional Interface)</t>
    </r>
  </si>
  <si>
    <r>
      <t>MTU</t>
    </r>
    <r>
      <rPr>
        <i/>
        <sz val="12"/>
        <color theme="1"/>
        <rFont val="Arial"/>
        <family val="2"/>
      </rPr>
      <t xml:space="preserve"> (3rd Additional Interface)</t>
    </r>
  </si>
  <si>
    <r>
      <t>IP Address/Mask</t>
    </r>
    <r>
      <rPr>
        <i/>
        <sz val="12"/>
        <color theme="1"/>
        <rFont val="Arial"/>
        <family val="2"/>
      </rPr>
      <t xml:space="preserve"> (4th Additional Interface)</t>
    </r>
  </si>
  <si>
    <r>
      <t xml:space="preserve">Edge Node </t>
    </r>
    <r>
      <rPr>
        <i/>
        <sz val="12"/>
        <color theme="1"/>
        <rFont val="Arial"/>
        <family val="2"/>
      </rPr>
      <t>(4th Additional Interface)</t>
    </r>
  </si>
  <si>
    <r>
      <t xml:space="preserve">Location </t>
    </r>
    <r>
      <rPr>
        <i/>
        <sz val="12"/>
        <color theme="1"/>
        <rFont val="Arial"/>
        <family val="2"/>
      </rPr>
      <t>(1st BGP Peer)</t>
    </r>
  </si>
  <si>
    <r>
      <t xml:space="preserve">1st Source Address </t>
    </r>
    <r>
      <rPr>
        <i/>
        <sz val="12"/>
        <color theme="1"/>
        <rFont val="Arial"/>
        <family val="2"/>
      </rPr>
      <t>(1st BGP Peer)</t>
    </r>
  </si>
  <si>
    <r>
      <t>2nd Source Address</t>
    </r>
    <r>
      <rPr>
        <i/>
        <sz val="12"/>
        <color theme="1"/>
        <rFont val="Arial"/>
        <family val="2"/>
      </rPr>
      <t xml:space="preserve"> (1st BGP Peer)</t>
    </r>
  </si>
  <si>
    <r>
      <t xml:space="preserve">Password </t>
    </r>
    <r>
      <rPr>
        <i/>
        <sz val="12"/>
        <color theme="1"/>
        <rFont val="Arial"/>
        <family val="2"/>
      </rPr>
      <t>(1st BGP Peer)</t>
    </r>
  </si>
  <si>
    <r>
      <t>IP Address</t>
    </r>
    <r>
      <rPr>
        <i/>
        <sz val="12"/>
        <color theme="1"/>
        <rFont val="Arial"/>
        <family val="2"/>
      </rPr>
      <t xml:space="preserve"> (2nd BGP Peer)</t>
    </r>
  </si>
  <si>
    <r>
      <t>Remote AS Number</t>
    </r>
    <r>
      <rPr>
        <i/>
        <sz val="12"/>
        <color theme="1"/>
        <rFont val="Arial"/>
        <family val="2"/>
      </rPr>
      <t xml:space="preserve"> (2nd BGP Peer)</t>
    </r>
  </si>
  <si>
    <r>
      <t>1st Source Address</t>
    </r>
    <r>
      <rPr>
        <i/>
        <sz val="12"/>
        <color theme="1"/>
        <rFont val="Arial"/>
        <family val="2"/>
      </rPr>
      <t xml:space="preserve"> (2nd BGP Peer)</t>
    </r>
  </si>
  <si>
    <r>
      <t xml:space="preserve">2nd Source Address </t>
    </r>
    <r>
      <rPr>
        <i/>
        <sz val="12"/>
        <color theme="1"/>
        <rFont val="Arial"/>
        <family val="2"/>
      </rPr>
      <t>(2nd BGP Peer)</t>
    </r>
  </si>
  <si>
    <t xml:space="preserve">        VMware Cloud Foundation Cluster Deployment </t>
  </si>
  <si>
    <t xml:space="preserve">Deploy a New Cluster Options </t>
  </si>
  <si>
    <t>Select a Workload Domain</t>
  </si>
  <si>
    <t>Deploy a Single-Rack / Multi-Rack Layer 2 Cluster</t>
  </si>
  <si>
    <t>New Cluster Deployment</t>
  </si>
  <si>
    <t>Prepare Workload Domain with a Secondary Storage Network</t>
  </si>
  <si>
    <t>Create SDDC Cluster</t>
  </si>
  <si>
    <t>Select the type of storage you would like to use for this cluster.</t>
  </si>
  <si>
    <t>General</t>
  </si>
  <si>
    <t>Enter the details for cluster.</t>
  </si>
  <si>
    <t>Select the cluster type and review the vSAN ESA cluster configuration.</t>
  </si>
  <si>
    <t>Provide resilient remote data access to vSphere clusters without the need for a local vSAN Datastore.</t>
  </si>
  <si>
    <t>vSAN Storage Cluster Name</t>
  </si>
  <si>
    <t>If Static Pools for Host TEP assignment is required then use COPY FROM PRECONFIGURED PROFILE option</t>
  </si>
  <si>
    <t>Transport Zone Type: NSX- Overlay</t>
  </si>
  <si>
    <t>Re-use an existing Pool</t>
  </si>
  <si>
    <t xml:space="preserve">Description </t>
  </si>
  <si>
    <t>NSX Transport Node Profile Settings</t>
  </si>
  <si>
    <t>Active uplink1</t>
  </si>
  <si>
    <t>Active uplink2</t>
  </si>
  <si>
    <t>Commission Hosts  {vCenter}</t>
  </si>
  <si>
    <t>vSAN Compute Site Network Toplogy</t>
  </si>
  <si>
    <t>Symmetric</t>
  </si>
  <si>
    <t>vSAN Compute Cluster Fault Domain Mapping</t>
  </si>
  <si>
    <t>Primary</t>
  </si>
  <si>
    <t>Added Stuff</t>
  </si>
  <si>
    <t>pnp_version_history</t>
  </si>
  <si>
    <t>Fleet Deployment CIDR</t>
  </si>
  <si>
    <t>Fleet Deployment Network</t>
  </si>
  <si>
    <t>Fleet Deployment Gateway IP</t>
  </si>
  <si>
    <t>Fleet Deployment Mask</t>
  </si>
  <si>
    <t>Fleet Deployment MTU</t>
  </si>
  <si>
    <t>Fleet Deployment VLANID</t>
  </si>
  <si>
    <t>Moved Stuff</t>
  </si>
  <si>
    <t>Child DNS Zone</t>
  </si>
  <si>
    <t>vSAN Witness DNS Zone</t>
  </si>
  <si>
    <t>DNS Server 1 (Cross-Instance Components)</t>
  </si>
  <si>
    <t>DNS Server 2 (Cross-Instance Components)</t>
  </si>
  <si>
    <t>Domain Controller</t>
  </si>
  <si>
    <t>SMTP Server</t>
  </si>
  <si>
    <t>smtp.rainpole.io</t>
  </si>
  <si>
    <t>SMTP Server Port</t>
  </si>
  <si>
    <t>NTP Server 1 (Cross-Instance Components)</t>
  </si>
  <si>
    <t>NTP Server 2 (Cross-Instance Components)</t>
  </si>
  <si>
    <t>MGMT Exisitng NSX-GM</t>
  </si>
  <si>
    <t xml:space="preserve">Cross instance Tier 0 </t>
  </si>
  <si>
    <t>Rack2</t>
  </si>
  <si>
    <t>Input</t>
  </si>
  <si>
    <t>Rack3</t>
  </si>
  <si>
    <t>Rack4</t>
  </si>
  <si>
    <t>Rack5</t>
  </si>
  <si>
    <t>Rack6</t>
  </si>
  <si>
    <t>Rack7</t>
  </si>
  <si>
    <t>Rack8</t>
  </si>
  <si>
    <t>VLAN Uplink1</t>
  </si>
  <si>
    <t>VLAN Uplink2</t>
  </si>
  <si>
    <t>VLAN Edge Overlay</t>
  </si>
  <si>
    <t>Network Uplink1</t>
  </si>
  <si>
    <t>Network Uplink2</t>
  </si>
  <si>
    <t>Network Edge Overlay</t>
  </si>
  <si>
    <t>Gateway Uplink1</t>
  </si>
  <si>
    <t>Gateway Uplink2</t>
  </si>
  <si>
    <t>Gateway Edge Overlay</t>
  </si>
  <si>
    <t>Mask Uplink1</t>
  </si>
  <si>
    <t>Mask Uplink2</t>
  </si>
  <si>
    <t>Mask Edge Overlay</t>
  </si>
  <si>
    <t>MTU Uplink1</t>
  </si>
  <si>
    <t>MTU Uplink2</t>
  </si>
  <si>
    <t>MTU Edge Overlay</t>
  </si>
  <si>
    <t>NSX Edge Nodes Autonomous System ID</t>
  </si>
  <si>
    <t xml:space="preserve">       VMware Cloud Foundation Network Value Reference Tables</t>
  </si>
  <si>
    <t>Transposed and Calculated Values. All values are named cells for reference in other areas of the Workbook</t>
  </si>
  <si>
    <t>Bundle Download</t>
  </si>
  <si>
    <t>MGMT Rack 1 VLANs  (Primary AZ)</t>
  </si>
  <si>
    <t>Rack 1 VLANs  (Primary AZ)</t>
  </si>
  <si>
    <t>Rack 2 VLANs  (Primary AZ)</t>
  </si>
  <si>
    <t>Rack 3 VLANs  (Primary AZ)</t>
  </si>
  <si>
    <t>Rack 4 VLANs  (Primary AZ)</t>
  </si>
  <si>
    <t>Rack 5 VLANs  (Primary AZ)</t>
  </si>
  <si>
    <t>Rack 6 VLANs  (Primary AZ)</t>
  </si>
  <si>
    <t>Rack 7  VLANs  (Primary AZ)</t>
  </si>
  <si>
    <t>Rack 8 VLANs  (Primary AZ)</t>
  </si>
  <si>
    <t>Modifiers</t>
  </si>
  <si>
    <t>Value</t>
  </si>
  <si>
    <t>AZ1 Actual Value</t>
  </si>
  <si>
    <t>WLD Rack2 AZ1 Host VLAN Prefix</t>
  </si>
  <si>
    <t xml:space="preserve">Depot Type </t>
  </si>
  <si>
    <t>Management VM Network</t>
  </si>
  <si>
    <t>WLD Rack 2 AZ2 Host VLAN Prefix</t>
  </si>
  <si>
    <t xml:space="preserve">ESXi Management Network </t>
  </si>
  <si>
    <t>WLD Rack 2  AZ1 Host CIDR Prefix</t>
  </si>
  <si>
    <t>WLD Rack 2 AZ2 Host CIDR Prefix</t>
  </si>
  <si>
    <t>Proxy Configuration</t>
  </si>
  <si>
    <t>NSX Host Overlay</t>
  </si>
  <si>
    <t>Protocol</t>
  </si>
  <si>
    <t>Secondary Storage Network (NFS)</t>
  </si>
  <si>
    <t>Internet Proxy Chosen</t>
  </si>
  <si>
    <t>Proxy Address</t>
  </si>
  <si>
    <t>NSX Edge Uplink 1</t>
  </si>
  <si>
    <t xml:space="preserve">Proxy Port </t>
  </si>
  <si>
    <t>NSX Edge Uplink 2</t>
  </si>
  <si>
    <t>Proxy Authentication</t>
  </si>
  <si>
    <t>NSX Edge Overlay</t>
  </si>
  <si>
    <t>Start ASN</t>
  </si>
  <si>
    <t>NSX RTEP Overlay</t>
  </si>
  <si>
    <t>Instance 1</t>
  </si>
  <si>
    <t>vSphere Replication</t>
  </si>
  <si>
    <t>asn_mgmt_az1</t>
  </si>
  <si>
    <t>asn_mgmt_az2</t>
  </si>
  <si>
    <t>General Info</t>
  </si>
  <si>
    <t>MGMT Rack 1 Network CIDRs  (Primary AZ)</t>
  </si>
  <si>
    <t>Rack 1 Network CIDRs  (Primary AZ)</t>
  </si>
  <si>
    <t>Rack 2 Network CIDRs  (Primary AZ)</t>
  </si>
  <si>
    <t>Rack 3 Network CIDRs  (Primary AZ)</t>
  </si>
  <si>
    <t>Rack 4 Network CIDRs  (Primary AZ)</t>
  </si>
  <si>
    <t>Rack 5 Network CIDRs (Primary AZ)</t>
  </si>
  <si>
    <t>Rack 6 Network CIDRs  (Primary AZ)</t>
  </si>
  <si>
    <t>Rack 7 Network CIDRs  (Primary AZ)</t>
  </si>
  <si>
    <t>Rack 8 Network CIDRs  (Primary AZ)</t>
  </si>
  <si>
    <t>asn_wld_az1</t>
  </si>
  <si>
    <t>asn_wld_az2</t>
  </si>
  <si>
    <t>Deployment Type</t>
  </si>
  <si>
    <t>Instance Name</t>
  </si>
  <si>
    <t xml:space="preserve">Deployment Model </t>
  </si>
  <si>
    <t>Password Creation Auto-generate passwords</t>
  </si>
  <si>
    <t>FLT-MGR use Use same password as VCF Operations</t>
  </si>
  <si>
    <t>Deployment Parameters</t>
  </si>
  <si>
    <t>DNS</t>
  </si>
  <si>
    <t>Zone name</t>
  </si>
  <si>
    <t>Server #1</t>
  </si>
  <si>
    <t>Server #2</t>
  </si>
  <si>
    <t>MGMT Rack 1 Network (Primary AZ)</t>
  </si>
  <si>
    <t>Rack 1 Network   (Primary AZ)</t>
  </si>
  <si>
    <t>Rack 2 Network (Primary AZ)</t>
  </si>
  <si>
    <t>Rack 3 Network (Primary AZ)</t>
  </si>
  <si>
    <t>Rack 4 Network (Primary AZ)</t>
  </si>
  <si>
    <t>Rack 5 Network (Primary AZ)</t>
  </si>
  <si>
    <t>Rack 6 Network (Primary AZ)</t>
  </si>
  <si>
    <t>Rack 7 Network (Primary AZ)</t>
  </si>
  <si>
    <t>Rack 8 Network (Primary AZ)</t>
  </si>
  <si>
    <t>NTP</t>
  </si>
  <si>
    <t>Server #3</t>
  </si>
  <si>
    <t>Enable Customer Experience Improvement Program (CEIP)</t>
  </si>
  <si>
    <t>Appliance Storage Size</t>
  </si>
  <si>
    <t>Datacenter name</t>
  </si>
  <si>
    <t>Cluster name</t>
  </si>
  <si>
    <t>MGMT Netmask   (Primary AZ)</t>
  </si>
  <si>
    <t>Rack 1 Netmask   (Primary AZ)</t>
  </si>
  <si>
    <t>Rack 2 Netmask (Primary AZ)</t>
  </si>
  <si>
    <t>Rack 3 Netmask (Primary AZ)</t>
  </si>
  <si>
    <t>Rack 4 Netmask (Primary AZ)</t>
  </si>
  <si>
    <t>Rack 5 Netmask (Primary AZ)</t>
  </si>
  <si>
    <t>Rack 6 Netmask (Primary AZ)</t>
  </si>
  <si>
    <t>Rack 7 Netmask (Primary AZ)</t>
  </si>
  <si>
    <t>Rack 8 Netmask (Primary AZ)</t>
  </si>
  <si>
    <t>Appliance 2 FQDN</t>
  </si>
  <si>
    <t>Appliance 3 FQDN</t>
  </si>
  <si>
    <t>Principal Storage Network (vSAN-ESA)</t>
  </si>
  <si>
    <t>VCF Operations</t>
  </si>
  <si>
    <t>Operations Collector appliance FQDN</t>
  </si>
  <si>
    <t>MGMT Rack 1 Network MTU  (Primary AZ)</t>
  </si>
  <si>
    <t>Rack 1 Network MTU  (Primary AZ)</t>
  </si>
  <si>
    <t>Rack 2 Network MTU  (Primary AZ)</t>
  </si>
  <si>
    <t>Rack 3 Network MTU  (Primary AZ)</t>
  </si>
  <si>
    <t>Rack 4 Network MTU  (Primary AZ)</t>
  </si>
  <si>
    <t>Rack 5 Network MTU  (Primary AZ)</t>
  </si>
  <si>
    <t>Rack 6 Network MTU  (Primary AZ)</t>
  </si>
  <si>
    <t>Rack 7 Network MTU  (Primary AZ)</t>
  </si>
  <si>
    <t>Rack 8 Network MTU  (Primary AZ)</t>
  </si>
  <si>
    <t>MGMT Rack 1 Network Gateways  (Primary AZ)</t>
  </si>
  <si>
    <t>Rack 1 Network Gateways  (Primary AZ)</t>
  </si>
  <si>
    <t>Rack 2 Network Gateways  (Primary AZ)</t>
  </si>
  <si>
    <t>Rack 3 Network Gateways  (Primary AZ)</t>
  </si>
  <si>
    <t>Rack 4 Network Gateways  (Primary AZ)</t>
  </si>
  <si>
    <t>Rack 5 Network Gateways  (Primary AZ)</t>
  </si>
  <si>
    <t>Rack 6 Network Gateways  (Primary AZ)</t>
  </si>
  <si>
    <t>Rack 7 Network Gateways  (Primary AZ)</t>
  </si>
  <si>
    <t>Rack 8 Network Gateways  (Primary AZ)</t>
  </si>
  <si>
    <t>MGMT Rack 1 BGP Requirements  (Primary AZ)</t>
  </si>
  <si>
    <t>Rack 1 BGP Requirements  (Primary AZ)</t>
  </si>
  <si>
    <t>Rack 2 BGP Requirements  (Primary AZ)</t>
  </si>
  <si>
    <t>Rack 3 BGP Requirements  (Primary AZ)</t>
  </si>
  <si>
    <t>Rack 4 BGP Requirements  (Primary AZ)</t>
  </si>
  <si>
    <t>Rack 5 BGP Requirements  (Primary AZ)</t>
  </si>
  <si>
    <t>Rack 6 BGP Requirements  (Primary AZ)</t>
  </si>
  <si>
    <t>Rack 7 BGP Requirements  (Primary AZ)</t>
  </si>
  <si>
    <t>Rack 8 BGP Requirements  (Primary AZ)</t>
  </si>
  <si>
    <t>MGMT Rack 1 Portgroup Names  (Primary AZ)</t>
  </si>
  <si>
    <t>Rack 1 Primary Cluster Portgroup Names  (Primary AZ)</t>
  </si>
  <si>
    <t>Rack 2 Portgroup Configuration  (Primary AZ)</t>
  </si>
  <si>
    <t>Rack 3 Switch Portgroup  (Primary AZ)</t>
  </si>
  <si>
    <t>Rack 4 Switch Configuration  (Primary AZ)</t>
  </si>
  <si>
    <t>Rack 5 Switch Configuration  (Primary AZ)</t>
  </si>
  <si>
    <t>Rack 6 Switch Configuration  (Primary AZ)</t>
  </si>
  <si>
    <t>Rack 7 Switch Configuration  (Primary AZ)</t>
  </si>
  <si>
    <t>Rack 8 Switch Configuration  (Primary AZ)</t>
  </si>
  <si>
    <t>NSX RTEP Overaly</t>
  </si>
  <si>
    <t xml:space="preserve">NFS Network </t>
  </si>
  <si>
    <t xml:space="preserve">vSAN Client Network </t>
  </si>
  <si>
    <t>Rack 1 uplink  (Primary AZ)</t>
  </si>
  <si>
    <t>Management VM Network Uplink1</t>
  </si>
  <si>
    <t>Management VM Network Uplink2</t>
  </si>
  <si>
    <t>ESXi Management Network Uplink1</t>
  </si>
  <si>
    <t>ESXi Management Network Uplink2</t>
  </si>
  <si>
    <t>vMotion Network Uplink1</t>
  </si>
  <si>
    <t>vMotion Network Uplink2</t>
  </si>
  <si>
    <t>vSAN Network Uplink1</t>
  </si>
  <si>
    <t>vSAN Network Uplink2</t>
  </si>
  <si>
    <t>NSX Network Uplink1</t>
  </si>
  <si>
    <t>NSX Network Uplink2</t>
  </si>
  <si>
    <t>NFS Network Uplink1</t>
  </si>
  <si>
    <t>vSAN Client Network Uplink1</t>
  </si>
  <si>
    <t>NFS Network Uplink2</t>
  </si>
  <si>
    <t>MGMT Rack 1 LBT  (Primary AZ)</t>
  </si>
  <si>
    <t>Rack 1 LBT  (Primary AZ)</t>
  </si>
  <si>
    <t>Management VM Network LBT</t>
  </si>
  <si>
    <t>ESX Management Network LBT</t>
  </si>
  <si>
    <t>vMotion LBT</t>
  </si>
  <si>
    <t>vSAN LBT</t>
  </si>
  <si>
    <t xml:space="preserve">NSX Management Network </t>
  </si>
  <si>
    <t>vSAN Client Network LBT</t>
  </si>
  <si>
    <t>NFS Network LBT</t>
  </si>
  <si>
    <t>MGMT Rack 1 Network Pool Ranges (Primary AZ)</t>
  </si>
  <si>
    <t>Rack 1 Network Pool Ranges (Primary AZ)</t>
  </si>
  <si>
    <t>Rack 2 Network Pool Ranges (Primary AZ)</t>
  </si>
  <si>
    <t>Rack 3 Network Pool Ranges (Primary AZ)</t>
  </si>
  <si>
    <t>Rack 4 Network Pool Ranges (Primary AZ)</t>
  </si>
  <si>
    <t>Rack 5 Network Pool Ranges (Primary AZ)</t>
  </si>
  <si>
    <t>Rack 6 Network Pool Ranges (Primary AZ)</t>
  </si>
  <si>
    <t>Rack 7 Network Pool Ranges (Primary AZ)</t>
  </si>
  <si>
    <t>Rack 8 Network Pool Ranges (Primary AZ)</t>
  </si>
  <si>
    <t>vMotion Pool: Start IP</t>
  </si>
  <si>
    <t>vMotion Pool: End IP</t>
  </si>
  <si>
    <t>vSAN Pool: Start IP</t>
  </si>
  <si>
    <t>vSAN Pool: End IP</t>
  </si>
  <si>
    <t>Host Overlay Pool: Start IP</t>
  </si>
  <si>
    <t>Host Overlay Pool: End IP</t>
  </si>
  <si>
    <t>Secondary Storage Network Pool (NFS): Start IP</t>
  </si>
  <si>
    <t>Secondary Storage Network Pool (NFS): End IP</t>
  </si>
  <si>
    <t>vSAN Network - vSAN Storage Cluster: Start IP</t>
  </si>
  <si>
    <t>vSAN Network - vSAN Storage Cluster: End IP</t>
  </si>
  <si>
    <t>RTEP Overlay Pool: Start IP</t>
  </si>
  <si>
    <t>RTEP Overlay Pool: End IP</t>
  </si>
  <si>
    <t>MGMT Rack 1 Profiles</t>
  </si>
  <si>
    <t>Rack 1 Profiles</t>
  </si>
  <si>
    <t>Rack 2 Profiles</t>
  </si>
  <si>
    <t>Rack 3 Profiles</t>
  </si>
  <si>
    <t>Rack 4 Profiles</t>
  </si>
  <si>
    <t>Rack 5 Profiles</t>
  </si>
  <si>
    <t>Rack 6 Profiles</t>
  </si>
  <si>
    <t>Rack 7 Profiles</t>
  </si>
  <si>
    <t>Rack 8 Profiles</t>
  </si>
  <si>
    <t xml:space="preserve"> Network Pool  Name</t>
  </si>
  <si>
    <t>Overlay Network Profile Name</t>
  </si>
  <si>
    <t>Host Overlay Network Pool Description</t>
  </si>
  <si>
    <t>Host Overlay Network Pool Name</t>
  </si>
  <si>
    <t>Overlay Network Pool Name</t>
  </si>
  <si>
    <t>NSX-Overlay Transport Zone</t>
  </si>
  <si>
    <t>NSX Overlay Transport Zone</t>
  </si>
  <si>
    <t>Overlay Uplink Profile Name</t>
  </si>
  <si>
    <t>Edge Overlay Network Pool Name</t>
  </si>
  <si>
    <t>RTEP Network  Pool Name</t>
  </si>
  <si>
    <t>vSAN Fault Domain</t>
  </si>
  <si>
    <t>MGMT Rack 1 Subnet Masks (Calculated)  (Primary AZ)</t>
  </si>
  <si>
    <t>Rack 1 Subnet Masks (Calculated)  (Primary AZ)</t>
  </si>
  <si>
    <t>Rack2 Subnet Masks (Calculated)  (Primary AZ)</t>
  </si>
  <si>
    <t>Rack3 Subnet Masks (Calculated)  (Primary AZ)</t>
  </si>
  <si>
    <t>Subnet Masks (Calculated)  (Primary AZ)</t>
  </si>
  <si>
    <t>Rack1 AZ1 Mgmt VM Mgmt Network</t>
  </si>
  <si>
    <t>WLD Rack1 AZ1 Mgmt VM Mgmt Network</t>
  </si>
  <si>
    <t>WLD Rack 2 AZ1 Mgmt VM Mgmt Network</t>
  </si>
  <si>
    <t>WLD Rack 3 AZ1 Mgmt VM Mgmt Network</t>
  </si>
  <si>
    <t>WLD Rack 4 AZ1 Mgmt VM Mgmt Network</t>
  </si>
  <si>
    <t>WLD Rack 5 AZ1 Mgmt VM Mgmt Network</t>
  </si>
  <si>
    <t>WLD Rack 6 AZ1 Mgmt VM Mgmt Network</t>
  </si>
  <si>
    <t>WLD Rack 7 AZ1 Mgmt VM Mgmt Network</t>
  </si>
  <si>
    <t>WLD Rack 8 AZ1 Mgmt VM Mgmt Network</t>
  </si>
  <si>
    <t>Rack1 AZ1 ESXI Management Network</t>
  </si>
  <si>
    <t>WLD Rack1 AZ1 ESXI Management Network</t>
  </si>
  <si>
    <t>WLD Rack 2 AZ1 ESXI Management Network</t>
  </si>
  <si>
    <t>WLD Rack 3 AZ1 ESXI Management Network</t>
  </si>
  <si>
    <t>WLD Rack 4 AZ1 ESXI Management Network</t>
  </si>
  <si>
    <t>WLD Rack 5 AZ1 ESXI Management Network</t>
  </si>
  <si>
    <t>WLD Rack 6 AZ1 ESXI Management Network</t>
  </si>
  <si>
    <t>WLD Rack 7 AZ1 ESXI Management Network</t>
  </si>
  <si>
    <t>WLD Rack 8 AZ1 ESXI Management Network</t>
  </si>
  <si>
    <t>MGMT Rack 1 IP Addresses (Primary AZ)</t>
  </si>
  <si>
    <t>Rack 1 IP Addresses (Primary AZ)</t>
  </si>
  <si>
    <t>Rack 2 IP Addresses (Primary AZ)</t>
  </si>
  <si>
    <t>Rack 3 IP Addresses (Primary AZ)</t>
  </si>
  <si>
    <t>Rack 4 IP Addresses (Primary AZ)</t>
  </si>
  <si>
    <t>Rack 5 IP Addresses (Primary AZ)</t>
  </si>
  <si>
    <t>Rack 6 IP Addresses (Primary AZ)</t>
  </si>
  <si>
    <t>Rack 7 IP Addresses (Primary AZ)</t>
  </si>
  <si>
    <t>Rack 8 IP Addresses (Primary AZ)</t>
  </si>
  <si>
    <t>ESXi Node 1 Mgmt IP</t>
  </si>
  <si>
    <t>ESXi Node 2 Mgmt IP</t>
  </si>
  <si>
    <t>ESXi Node 3 Mgmt IP</t>
  </si>
  <si>
    <t>ESXi Node 4 Mgmt IP</t>
  </si>
  <si>
    <t>ESXi Node 5 Mgmt IP</t>
  </si>
  <si>
    <t>ESXi Node 6 Mgmt IP</t>
  </si>
  <si>
    <t>ESXi Node 7 Mgmt IP</t>
  </si>
  <si>
    <t>ESXi Node 8 Mgmt IP</t>
  </si>
  <si>
    <t>ESXi Node 9 Mgmt IP</t>
  </si>
  <si>
    <t>ESXi Node 10 Mgmt IP</t>
  </si>
  <si>
    <t>ESXi Node 11 Mgmt IP</t>
  </si>
  <si>
    <t>ESXi Node 12 Mgmt IP</t>
  </si>
  <si>
    <t>ESXi Node 13 Mgmt IP</t>
  </si>
  <si>
    <t>ESXi Node 14 Mgmt IP</t>
  </si>
  <si>
    <t>ESXi Node 15 Mgmt IP</t>
  </si>
  <si>
    <t>ESXi Node 16 Mgmt IP</t>
  </si>
  <si>
    <t>ESXi Node 1 VRMS IP</t>
  </si>
  <si>
    <t>ESXi Node 2 VRMS IP</t>
  </si>
  <si>
    <t>Rack 2 Hostnames (Primary AZ)</t>
  </si>
  <si>
    <t>Rack 3 Hostnames (Primary AZ)</t>
  </si>
  <si>
    <t>Rack 4 Hostnames (Primary AZ)</t>
  </si>
  <si>
    <t>Rack 5 Hostnames (Primary AZ)</t>
  </si>
  <si>
    <t>Rack 6 Hostnames (Primary AZ)</t>
  </si>
  <si>
    <t>Rack 7 Hostnames (Primary AZ)</t>
  </si>
  <si>
    <t>Rack 8 Hostnames (Primary AZ)</t>
  </si>
  <si>
    <t>ESXi Node 3 VRMS IP</t>
  </si>
  <si>
    <t>ESXi Node 4 VRMS IP</t>
  </si>
  <si>
    <t>ESXi Node 1</t>
  </si>
  <si>
    <t>ESXi Node 5 VRMS IP</t>
  </si>
  <si>
    <t>ESXi Node 2</t>
  </si>
  <si>
    <t>ESXi Node 6 VRMS IP</t>
  </si>
  <si>
    <t>ESXi Node 3</t>
  </si>
  <si>
    <t>ESXi Node 7 VRMS IP</t>
  </si>
  <si>
    <t>ESXi Node 4</t>
  </si>
  <si>
    <t>ESXi Node 8 VRMS IP</t>
  </si>
  <si>
    <t>ESXi Node 5</t>
  </si>
  <si>
    <t>ESXi Node 9 VRMS IP</t>
  </si>
  <si>
    <t>ESXi Node 6</t>
  </si>
  <si>
    <t>ESXi Node 10 VRMS IP</t>
  </si>
  <si>
    <t>ESXi Node 7</t>
  </si>
  <si>
    <t>ESXi Node 11 VRMS IP</t>
  </si>
  <si>
    <t>ESXi Node 8</t>
  </si>
  <si>
    <t>ESXi Node 12 VRMS IP</t>
  </si>
  <si>
    <t>ESXi Node 9</t>
  </si>
  <si>
    <t>ESXi Node 13 VRMS IP</t>
  </si>
  <si>
    <t>ESXi Node 10</t>
  </si>
  <si>
    <t>ESXi Node 14 VRMS IP</t>
  </si>
  <si>
    <t>ESXi Node 11</t>
  </si>
  <si>
    <t>ESXi Node 15 VRMS IP</t>
  </si>
  <si>
    <t>ESXi Node 12</t>
  </si>
  <si>
    <t>ESXi Node 16 VRMS IP</t>
  </si>
  <si>
    <t>ESXi Node 13</t>
  </si>
  <si>
    <t>ESXi Node 14</t>
  </si>
  <si>
    <t>MGMT Rack 1 Hostnames (Primary AZ)</t>
  </si>
  <si>
    <t>Rack 1 Hostnames (Primary AZ)</t>
  </si>
  <si>
    <t>ESXi Node 15</t>
  </si>
  <si>
    <t>ESXi Node 16</t>
  </si>
  <si>
    <t>Rack 2 FQDNs (Primary AZ)</t>
  </si>
  <si>
    <t>Rack 3 FQDNs (Primary AZ)</t>
  </si>
  <si>
    <t>Rack 4 FQDNs (Primary AZ)</t>
  </si>
  <si>
    <t>Rack 5 FQDNs (Primary AZ)</t>
  </si>
  <si>
    <t>Rack 6 FQDNs (Primary AZ)</t>
  </si>
  <si>
    <t>Rack 7 FQDNs (Primary AZ)</t>
  </si>
  <si>
    <t>Rack 8 FQDNs (Primary AZ)</t>
  </si>
  <si>
    <t>MGMT Rack 1 FQDNs (Primary AZ)</t>
  </si>
  <si>
    <t>Rack 1 FQDNs (Primary AZ)</t>
  </si>
  <si>
    <t>Rack 2 Edge Node (Primary AZ)</t>
  </si>
  <si>
    <t>Rack 3 Edge Node (Primary AZ)</t>
  </si>
  <si>
    <t>Rack 4 Edge Node (Primary AZ)</t>
  </si>
  <si>
    <t>Rack 5 Edge Node (Primary AZ)</t>
  </si>
  <si>
    <t>Rack 6 Edge Node (Primary AZ)</t>
  </si>
  <si>
    <t>Rack 7 Edge Node (Primary AZ)</t>
  </si>
  <si>
    <t>Rack 8 Edge Node (Primary AZ)</t>
  </si>
  <si>
    <t>Edge Node Name</t>
  </si>
  <si>
    <t>Edge Node FQDN</t>
  </si>
  <si>
    <t xml:space="preserve">Edge Node MGMT IP </t>
  </si>
  <si>
    <t xml:space="preserve">Edge Node Upink 1 IP </t>
  </si>
  <si>
    <t xml:space="preserve">Edge Node Upink 2 IP </t>
  </si>
  <si>
    <t>Edge Node Overlay IP Address #01</t>
  </si>
  <si>
    <t>Edge Node Overlay IP Address #02</t>
  </si>
  <si>
    <t>MGMT Rack 1 Edge Node (Primary AZ)</t>
  </si>
  <si>
    <t>Rack 1 Edge Node (Primary AZ)</t>
  </si>
  <si>
    <t>Edge Node BFD</t>
  </si>
  <si>
    <t>MGMT Rack 1 Edge Node 2 (Primary AZ)</t>
  </si>
  <si>
    <t xml:space="preserve"> Rack 1 Edge Node 2 (Primary AZ)</t>
  </si>
  <si>
    <t>MGMT Rack 1 VLANs  (Secondary AZ)</t>
  </si>
  <si>
    <t>Rack 1 VLANs  (Secondary AZ)</t>
  </si>
  <si>
    <t>AZ 2 Actual Value</t>
  </si>
  <si>
    <t>vSan Network</t>
  </si>
  <si>
    <t>MGMT Rack 1 Network CIDRs  (Secondary AZ)</t>
  </si>
  <si>
    <t>Rack 1 Network CIDRs  (Secondary AZ)</t>
  </si>
  <si>
    <t>AZ2 Actual Value</t>
  </si>
  <si>
    <t>MGMT Rack 1 Network (Secondary AZ)</t>
  </si>
  <si>
    <t>Rack 1 Network (Secondary AZ)</t>
  </si>
  <si>
    <t>MGMT Rack 1 Mask (Secondary AZ)</t>
  </si>
  <si>
    <t>Rack 1 Mask (Secondary AZ)</t>
  </si>
  <si>
    <t>MGMT Rack 1 Network Gateways  (Secondary AZ)</t>
  </si>
  <si>
    <t>Rack 1 Network Gateways  (Secondary AZ)</t>
  </si>
  <si>
    <t>MGMT Rack 1 Network MTU  (Secondary AZ)</t>
  </si>
  <si>
    <t xml:space="preserve"> Rack 1 Network MTU  (Secondary AZ)</t>
  </si>
  <si>
    <t>MGMT Rack 1 BGP Requirements  (Secondary AZ)</t>
  </si>
  <si>
    <t>Rack 1 BGP Requirements  (Secondary AZ)</t>
  </si>
  <si>
    <t>MGMT Rack 1 Portgroup Names  (Secondary AZ)</t>
  </si>
  <si>
    <t>Rack 1 Portgroup Names  (Secondary AZ)</t>
  </si>
  <si>
    <t>MGMT Rack 1 Network Pool Ranges (Secondary AZ)</t>
  </si>
  <si>
    <t>Rack 1 Network Pool Ranges (Secondary AZ)</t>
  </si>
  <si>
    <t>MGMT Rack 1 Host Overlay Profiles (Secondary AZ)</t>
  </si>
  <si>
    <t>MGMT Rack 1 Subnet Masks (Calculated)  (Secondary AZ)</t>
  </si>
  <si>
    <t>Rack 1 Host Overlay Profiles (Secondary AZ)</t>
  </si>
  <si>
    <t>WLD Rack 1 AZ1 vMotion Network</t>
  </si>
  <si>
    <t>WLD Rack 1 Principal Storage Network</t>
  </si>
  <si>
    <t>WLD Rack 1 Uplink 01 Network</t>
  </si>
  <si>
    <t>WLD Rack 1 Uplink 02 Network</t>
  </si>
  <si>
    <t>WLD Rack 1 VRMS Network</t>
  </si>
  <si>
    <t>Rack 1 Subnet Masks (Calculated)  (Secondary AZ)</t>
  </si>
  <si>
    <t>MGMT Rack 1  IP Addresses (Secondary AZ)</t>
  </si>
  <si>
    <t>Rack 1 IP Addresses (Secondary AZ)</t>
  </si>
  <si>
    <t>MGMT Rack 1 Hostnames (Secondary AZ)</t>
  </si>
  <si>
    <t>Rack 1 Hostnames (Secondary AZ)</t>
  </si>
  <si>
    <t>MGMT Rack 1 FQDNs (Secondary AZ)</t>
  </si>
  <si>
    <t>VMware Cloud Builder Infrastructure Details</t>
  </si>
  <si>
    <t xml:space="preserve">Workload Domain Details </t>
  </si>
  <si>
    <t xml:space="preserve">Cluster Operations 							</t>
  </si>
  <si>
    <t>Virtual Infrastructure Usernames</t>
  </si>
  <si>
    <t xml:space="preserve">Management Domain VI Inputs (Primary Availability Zone)								</t>
  </si>
  <si>
    <t xml:space="preserve">Fleet Manager IP Addresses				</t>
  </si>
  <si>
    <t>Developer Ready Infrastructure References</t>
  </si>
  <si>
    <t>Management Domain VLANs</t>
  </si>
  <si>
    <t xml:space="preserve">VCF Installer location </t>
  </si>
  <si>
    <t>Workload Domain Number</t>
  </si>
  <si>
    <t>Hosts Per Rack</t>
  </si>
  <si>
    <t>Select a Workload Domain Type</t>
  </si>
  <si>
    <t>CA Administrator</t>
  </si>
  <si>
    <t>Cloud Foundation Management Domain Name</t>
  </si>
  <si>
    <t xml:space="preserve">Fleet Manager </t>
  </si>
  <si>
    <t>VI Workload Domain</t>
  </si>
  <si>
    <t>VM Network (Initial ESXi Install)</t>
  </si>
  <si>
    <t xml:space="preserve">Sample Domain Name </t>
  </si>
  <si>
    <t>rainpole.io</t>
  </si>
  <si>
    <t>Hosts Per Multi Rack WLD</t>
  </si>
  <si>
    <t>Cluster Domain Name</t>
  </si>
  <si>
    <t>SMTP Sender</t>
  </si>
  <si>
    <t>Certificate Authority Model</t>
  </si>
  <si>
    <t>vCenter Server - FQDN</t>
  </si>
  <si>
    <t>Sample Child Domain</t>
  </si>
  <si>
    <t>Microsoft CA Username</t>
  </si>
  <si>
    <t xml:space="preserve">Fleet Manager Hostname														</t>
  </si>
  <si>
    <t>vCenter Server - Datacenter</t>
  </si>
  <si>
    <t>PNP Version Number</t>
  </si>
  <si>
    <t>Virtual Infrastructure Passwords</t>
  </si>
  <si>
    <t>vCenter Server - Cluster</t>
  </si>
  <si>
    <t>Management Domain IP Addresses (Primary AZ)</t>
  </si>
  <si>
    <t>Workload Domain IP Addresses (Primary AZ)</t>
  </si>
  <si>
    <t>Storage Size</t>
  </si>
  <si>
    <t>vCenter Server - vSphere Distributed Switch</t>
  </si>
  <si>
    <t>Management Domain Portgroup Names</t>
  </si>
  <si>
    <t xml:space="preserve">ESXi: root </t>
  </si>
  <si>
    <t>CEIP</t>
  </si>
  <si>
    <t>vCenter Server - vSAN Storage</t>
  </si>
  <si>
    <t>Private Cloud Installer</t>
  </si>
  <si>
    <t>vCenter Server</t>
  </si>
  <si>
    <t>vCenter: administrator@vsphere.local</t>
  </si>
  <si>
    <t>NSX Virtual Appliance Size</t>
  </si>
  <si>
    <t xml:space="preserve">Fleet Manager FQDN													</t>
  </si>
  <si>
    <t>NSX Manager - VIP FQDN</t>
  </si>
  <si>
    <t>SDDC Manager</t>
  </si>
  <si>
    <t>NSX Local Manager Virtual Server</t>
  </si>
  <si>
    <t>vCenter: root</t>
  </si>
  <si>
    <t>NSX Edge Cluster Name</t>
  </si>
  <si>
    <t>Management Domain Network CIDRs</t>
  </si>
  <si>
    <t>NSX Local Manager Node A</t>
  </si>
  <si>
    <t>vMotion</t>
  </si>
  <si>
    <t>NSX: root (lm)</t>
  </si>
  <si>
    <t>NSX Edge Node Applicance Size</t>
  </si>
  <si>
    <t>NSX Manager - Connected Gateway (Tier 0)</t>
  </si>
  <si>
    <t>NSX Local Manager Node B</t>
  </si>
  <si>
    <t>NSX: admin (lm)</t>
  </si>
  <si>
    <t>NSX Tier-0 Gateway Name</t>
  </si>
  <si>
    <t>NSX Manager - Overlay Transport Zone</t>
  </si>
  <si>
    <t>NSX Local Manager Node C</t>
  </si>
  <si>
    <t>NSX: audit (lm)</t>
  </si>
  <si>
    <t>NSX Tier-1 Gateway Name</t>
  </si>
  <si>
    <t>Developer Ready Infrastructure Network Pools (Primary AZ)</t>
  </si>
  <si>
    <t>NSX Kubernetes Management Segment Name</t>
  </si>
  <si>
    <t>NSX Global Manager Virtual Server</t>
  </si>
  <si>
    <t>NSX: root (en)</t>
  </si>
  <si>
    <t>NSX GM VMCA-Signed Certificate Thumprint</t>
  </si>
  <si>
    <t>NSX Kubernetes IP Prefix List Name</t>
  </si>
  <si>
    <t>Management Domain Network Gateways</t>
  </si>
  <si>
    <t>NSX Global Manager Node A</t>
  </si>
  <si>
    <t>NSX: admin (en)</t>
  </si>
  <si>
    <t>NSX GM Cluster ID</t>
  </si>
  <si>
    <t>NSX Kubernetes IP Route Map Name</t>
  </si>
  <si>
    <t>NSX Global Manager Node B</t>
  </si>
  <si>
    <t>NSX: root (gm)</t>
  </si>
  <si>
    <t>NSX Global Manager Anti-Affinity Rule Name</t>
  </si>
  <si>
    <t>NSX Global Manager Node C</t>
  </si>
  <si>
    <t>NSX: admin (gm)</t>
  </si>
  <si>
    <t>NSX Global Manager Certificate ID</t>
  </si>
  <si>
    <t>Load Balancer - GE</t>
  </si>
  <si>
    <t>AVI Load Balancer Virtual Server</t>
  </si>
  <si>
    <t>NSX: audit (gm)</t>
  </si>
  <si>
    <t>NSX Federation Global Manager Name</t>
  </si>
  <si>
    <t>Load Balancer - LE</t>
  </si>
  <si>
    <t>Management Domain Network MTU</t>
  </si>
  <si>
    <t>AVI Load Balance Node 1 IP Address</t>
  </si>
  <si>
    <t>NSX Federation Location Name</t>
  </si>
  <si>
    <t>vCenter Kubernetes Category Name</t>
  </si>
  <si>
    <t>AVI Load Balance Node 2 IP Address</t>
  </si>
  <si>
    <t>SHA-256 NSX Local Manager Virtual Server</t>
  </si>
  <si>
    <t>vCenter Kubernetes Tag Name</t>
  </si>
  <si>
    <t>AVI Load Balance Node 3 IP Address</t>
  </si>
  <si>
    <t>SHA-256 NSX Global Manager Virtual Server</t>
  </si>
  <si>
    <t>vCenter Kubernetes Storage Policy Name</t>
  </si>
  <si>
    <t>Workload Domain Virtual Network Segment Names</t>
  </si>
  <si>
    <t>SDDC Manager: root</t>
  </si>
  <si>
    <t>Cross Instance NSX T1 Gateway Name</t>
  </si>
  <si>
    <t>Developer Ready Infrastructure IPs</t>
  </si>
  <si>
    <t>vCenter Kubernetes Content Library Name</t>
  </si>
  <si>
    <t>Workload Domain VLANs</t>
  </si>
  <si>
    <t>Workload Domain Hostnames (Primary AZ)</t>
  </si>
  <si>
    <t>SDDC Manager: vcf</t>
  </si>
  <si>
    <t xml:space="preserve">Existing Active Global Manager </t>
  </si>
  <si>
    <t>Harbor Envoy Ingress IP</t>
  </si>
  <si>
    <t>Kubernetes - Size Hint</t>
  </si>
  <si>
    <t>Kubernetes Management Segment</t>
  </si>
  <si>
    <t xml:space="preserve">VMSP - Primary </t>
  </si>
  <si>
    <t>SDDC Manager: admin@local</t>
  </si>
  <si>
    <t>Existing Cross Instance T0</t>
  </si>
  <si>
    <t>Kubernetes - Network Mode</t>
  </si>
  <si>
    <t>StaticRange</t>
  </si>
  <si>
    <t>Configadmin Email Address</t>
  </si>
  <si>
    <t>My VMware</t>
  </si>
  <si>
    <t>AVI Load Balancer Cluster Name</t>
  </si>
  <si>
    <t>Developer Ready Infrastructure Hostnames</t>
  </si>
  <si>
    <t>Kubernetes - Network Address Range</t>
  </si>
  <si>
    <t>Management Domain VLANs (Witness Zone)</t>
  </si>
  <si>
    <t>AVI Load Balancer Cluster Version</t>
  </si>
  <si>
    <t>Harbor Hostname</t>
  </si>
  <si>
    <t>Kubernetes Management Segment Start IP</t>
  </si>
  <si>
    <t>Workload Domain Portgroup Names</t>
  </si>
  <si>
    <t>AVI LB (root)</t>
  </si>
  <si>
    <t>Kubernetes Management Segment Gateway</t>
  </si>
  <si>
    <t>SFTP Backup User</t>
  </si>
  <si>
    <t>Developer Ready Infrastructure FQDN</t>
  </si>
  <si>
    <t>Kubernetes Cluster Endpoint Common Name</t>
  </si>
  <si>
    <t>VM Network</t>
  </si>
  <si>
    <t xml:space="preserve">Secondary Storage Network </t>
  </si>
  <si>
    <t>vSAN Witness: root (mgmt)</t>
  </si>
  <si>
    <t>SDDC Manager and vCenter Server VM Folder</t>
  </si>
  <si>
    <t>Harbor Envoy FQDN</t>
  </si>
  <si>
    <t>Kubectl Path</t>
  </si>
  <si>
    <t>Management Domain Portgroup Names (Witness Zone)</t>
  </si>
  <si>
    <t>Subnet Masks (Calculated)</t>
  </si>
  <si>
    <t>Management Domain Hostnames (Primary AZ)</t>
  </si>
  <si>
    <t>vSAN Witness: root (wld)</t>
  </si>
  <si>
    <t>NSX Manager VM Folder</t>
  </si>
  <si>
    <t>Workload Domain Network CIDRs</t>
  </si>
  <si>
    <t>VM Folder NSX Edge Nodes VM Folder</t>
  </si>
  <si>
    <t xml:space="preserve">Private Cloud Automation IPs													</t>
  </si>
  <si>
    <t>Proxy User</t>
  </si>
  <si>
    <t>Management Domain WAZ Management Network</t>
  </si>
  <si>
    <t>Proxy Password</t>
  </si>
  <si>
    <t>Aria Automation Virtual Server</t>
  </si>
  <si>
    <t>Initial VM Class</t>
  </si>
  <si>
    <t>Management Domain Network CIDRs (Witness Zone)</t>
  </si>
  <si>
    <t>Management Uplink 01 Network</t>
  </si>
  <si>
    <t>VCOP Collector Administrator Password</t>
  </si>
  <si>
    <t>Aria Automation Node A</t>
  </si>
  <si>
    <t>Management Uplink 02 Network</t>
  </si>
  <si>
    <t>WLD Root Password</t>
  </si>
  <si>
    <t>Aria Automation Node B</t>
  </si>
  <si>
    <t>Workload Domain Network Gateways</t>
  </si>
  <si>
    <t>Workload Domain FQDNs (Primary AZ)</t>
  </si>
  <si>
    <t>Aria Automation Node C</t>
  </si>
  <si>
    <t>External Services Naming and IP Addressing</t>
  </si>
  <si>
    <t>Aria Automation Node D</t>
  </si>
  <si>
    <t>Private AI Ready Infrastructure References</t>
  </si>
  <si>
    <t>Management Domain Network Gateways (Witness Zone)</t>
  </si>
  <si>
    <t>Workload Domain AZ1 Management Network</t>
  </si>
  <si>
    <t>Workload Domain WAZ Management Network</t>
  </si>
  <si>
    <t>NTP Server 1 (Local Instance Components)</t>
  </si>
  <si>
    <t>Organization Unit</t>
  </si>
  <si>
    <t>Private AI License</t>
  </si>
  <si>
    <t>NTP Server 2 (Local Instance Components)</t>
  </si>
  <si>
    <t>GPU VM Class</t>
  </si>
  <si>
    <t>Workload Domain Network MTU</t>
  </si>
  <si>
    <t>NTP Server 3 (Local Instance Components)</t>
  </si>
  <si>
    <t xml:space="preserve">Private Cloud Automation Hostnames													</t>
  </si>
  <si>
    <t>GPU Operator Namespace</t>
  </si>
  <si>
    <t>Management Domain Network MTU (Witness Zone)</t>
  </si>
  <si>
    <t>Workload Uplink 01 Network</t>
  </si>
  <si>
    <t>NTP Server 1 (Xregion Components)</t>
  </si>
  <si>
    <t>GPU Network Operator Namespace</t>
  </si>
  <si>
    <t>Workload Uplink 02 Network</t>
  </si>
  <si>
    <t>NTP Server 2 (Xregion Components)</t>
  </si>
  <si>
    <t>SFTP Server Backup Username</t>
  </si>
  <si>
    <t>VIDB</t>
  </si>
  <si>
    <t>NTP Server 1 (Witness Components)</t>
  </si>
  <si>
    <t>SSH FingerPrint</t>
  </si>
  <si>
    <t xml:space="preserve">Private Cloud Automation FQDNs													</t>
  </si>
  <si>
    <t>Site Protection &amp; Disaster Recovery References (Common)</t>
  </si>
  <si>
    <t>Workload Domain VLANs (Witness Zone)</t>
  </si>
  <si>
    <t>Workload VRMS Network</t>
  </si>
  <si>
    <t>Management Domain FQDNs (Primary AZ)</t>
  </si>
  <si>
    <t>DNS Server 1 (Local Instance Components)</t>
  </si>
  <si>
    <t>NSX Edge Node 1</t>
  </si>
  <si>
    <t>Host ESX</t>
  </si>
  <si>
    <t>DNS Server 2 (Local Instance Components)</t>
  </si>
  <si>
    <t>SSO Default Admin</t>
  </si>
  <si>
    <t>administrator@vsphere.local</t>
  </si>
  <si>
    <t>Existing: Recovery Site SDDC Manager FQDN</t>
  </si>
  <si>
    <t>NSX Edge Node 2</t>
  </si>
  <si>
    <t>DNS Server 1 (X-Region Components)</t>
  </si>
  <si>
    <t>Primary AZ VM Group Name</t>
  </si>
  <si>
    <t>Existing: Recovery Site SDDC Manager User</t>
  </si>
  <si>
    <t>DNS Server 2 (X-Region Components)</t>
  </si>
  <si>
    <t>Proxy Type</t>
  </si>
  <si>
    <t xml:space="preserve">Intelligent Logging &amp; Analytics IP Addresses													</t>
  </si>
  <si>
    <t>Existing: Recovery Site SDDC Manager Password</t>
  </si>
  <si>
    <t>Workload Domain Portgroup Names (Witness Zone)</t>
  </si>
  <si>
    <t>DNS Server 1 (Witness Components)</t>
  </si>
  <si>
    <t>VRMS Appliance Size</t>
  </si>
  <si>
    <t xml:space="preserve">Workload Domain FQDNs (Witness AZ)	</t>
  </si>
  <si>
    <t>DNS Server 2 (Witness Components)</t>
  </si>
  <si>
    <t>Proy Port</t>
  </si>
  <si>
    <t>Aria Operatons for Logs Virtual Server</t>
  </si>
  <si>
    <t>SRM Appliance Size</t>
  </si>
  <si>
    <t>Domain Controller for vSphere AD Integration</t>
  </si>
  <si>
    <t>Aria Operatons for Logs Node A</t>
  </si>
  <si>
    <t>Username (VMware Aria Operations to vSphere Replication SSO User)</t>
  </si>
  <si>
    <t>Certificate Authority FQDN</t>
  </si>
  <si>
    <t>Offline Depot Hostname</t>
  </si>
  <si>
    <t>Aria Operatons for Logs Node B</t>
  </si>
  <si>
    <t>Password (VMware Aria Operations to vSphere Replication)</t>
  </si>
  <si>
    <t>Workload Domain Network CIDRs (Witness Zone)</t>
  </si>
  <si>
    <t>Certificate Authority Name</t>
  </si>
  <si>
    <t>Offline Depot Port</t>
  </si>
  <si>
    <t>Aria Operatons for Logs Node C</t>
  </si>
  <si>
    <t>User (VMware Aria Operations to Site Recovery Manager SSO User)</t>
  </si>
  <si>
    <t>This Instance</t>
  </si>
  <si>
    <t>SFTP Server</t>
  </si>
  <si>
    <t>Password (VMware Aria Operations to Site Recovery Manager)</t>
  </si>
  <si>
    <t>Other Instance</t>
  </si>
  <si>
    <t>Workload Domain Primary Cluster Objects</t>
  </si>
  <si>
    <t xml:space="preserve">Workload Domain VI Inputs (Primary Availability Zone)								</t>
  </si>
  <si>
    <t xml:space="preserve">Intelligent Logging &amp; Analytics Hostnames													</t>
  </si>
  <si>
    <t>Workload Descriptor</t>
  </si>
  <si>
    <t>Site Protection &amp; Disaster Recovery References (Management Domain)</t>
  </si>
  <si>
    <t>Workload Domain Network Gateways (Witness Zone)</t>
  </si>
  <si>
    <t>Management AZ1 VLAN Prefix</t>
  </si>
  <si>
    <t>Workload Cluster Name</t>
  </si>
  <si>
    <t>Virtual Infrastructure Name</t>
  </si>
  <si>
    <t>Management AZ1 CIDR Prefix</t>
  </si>
  <si>
    <t>EVC</t>
  </si>
  <si>
    <t>DNS Zone Names</t>
  </si>
  <si>
    <t>LB Creation Method</t>
  </si>
  <si>
    <t>Management AZ2 VLAN Prefix</t>
  </si>
  <si>
    <t>Workload Cluster SDDC ID</t>
  </si>
  <si>
    <t>VRMS: VM Folder Name</t>
  </si>
  <si>
    <t>Management AZ2 CIDR Prefix</t>
  </si>
  <si>
    <t>Workload Domain Switch Configuration Primary Cluster  VDS</t>
  </si>
  <si>
    <t>Parent</t>
  </si>
  <si>
    <t>vSphere Distributed Switch Name</t>
  </si>
  <si>
    <t>VRMS: Initial Root Password</t>
  </si>
  <si>
    <t>Workload Domain Network MTU (Witness Zone)</t>
  </si>
  <si>
    <t>Result</t>
  </si>
  <si>
    <t>Child</t>
  </si>
  <si>
    <t>VRMS: Initial Admin Password</t>
  </si>
  <si>
    <t xml:space="preserve">Preconfigured Profile </t>
  </si>
  <si>
    <t>Witness</t>
  </si>
  <si>
    <t>NSX Edge Node Applicance Size (Default Large)</t>
  </si>
  <si>
    <t xml:space="preserve">Intelligent Logging &amp; Analytics FQDNs													</t>
  </si>
  <si>
    <t>VRMS: Site Name</t>
  </si>
  <si>
    <t>Local Instance Overlay CIDR Prefix</t>
  </si>
  <si>
    <t xml:space="preserve">Management Domain FQDNs (Witness AZ)	</t>
  </si>
  <si>
    <t>NSX Edge Tier 0 Name</t>
  </si>
  <si>
    <t>VRMS: Administrator Email Address</t>
  </si>
  <si>
    <t>Cross-Region Overlay CIDR Prefix</t>
  </si>
  <si>
    <t>Primary vSphere Distributed Switch: Name</t>
  </si>
  <si>
    <t xml:space="preserve">Host FQDNS </t>
  </si>
  <si>
    <t>Active Directory Fully Qualified Domain Names</t>
  </si>
  <si>
    <t>NSX Edge Tier 1 Name</t>
  </si>
  <si>
    <t>VRMS: Portgroup Name</t>
  </si>
  <si>
    <t>Management Witness AZ VLAN Prefix</t>
  </si>
  <si>
    <t>Primary vSphere Distributed Switch: Uplinks Used</t>
  </si>
  <si>
    <t>VRMS: P12 Cert Password</t>
  </si>
  <si>
    <t>Management Witness AZ CIDR Prefix</t>
  </si>
  <si>
    <t>Primary vSphere Distributed Switch: Number of Uplinks</t>
  </si>
  <si>
    <t>Parent Domain</t>
  </si>
  <si>
    <t>VRSM: Appliance Size</t>
  </si>
  <si>
    <t>Management TOR ASN Prefix</t>
  </si>
  <si>
    <t xml:space="preserve">Primary vSphere Distributed Switch: MTU </t>
  </si>
  <si>
    <t>Child Domain</t>
  </si>
  <si>
    <t>SRM: VM Folder Name</t>
  </si>
  <si>
    <t>Workload AZ1 VLAN Prefix</t>
  </si>
  <si>
    <t>Management Domain Cluster Objects</t>
  </si>
  <si>
    <t>Primary vSphere Distributed Switch: LBT</t>
  </si>
  <si>
    <t>AVI Load Balancer Cluster version</t>
  </si>
  <si>
    <t>SRM: Initial Root Password</t>
  </si>
  <si>
    <t>Workload AZ1 CIDR Prefix</t>
  </si>
  <si>
    <t>Primary vSphere Distributed Switch: Traffic Type</t>
  </si>
  <si>
    <t>Active Directory NETBIOS Names</t>
  </si>
  <si>
    <t xml:space="preserve">Intelligent Operations Management IP Addresses													</t>
  </si>
  <si>
    <t>SRM: Initial Admin Password</t>
  </si>
  <si>
    <t>Protected Workload AZ1 CIDR Prefix</t>
  </si>
  <si>
    <t>Datacenter Name</t>
  </si>
  <si>
    <t>SRM: Initial Database Password</t>
  </si>
  <si>
    <t>Workload AZ2 VLAN Prefix</t>
  </si>
  <si>
    <t>Management Cluster Name</t>
  </si>
  <si>
    <t>Secondary vSphere Distributed Switch: Name</t>
  </si>
  <si>
    <t xml:space="preserve">VCF Operations Load Balancer </t>
  </si>
  <si>
    <t>SRM: Site Name</t>
  </si>
  <si>
    <t>Workload AZ2 CIDR Prefix</t>
  </si>
  <si>
    <t>EVC Setting</t>
  </si>
  <si>
    <t>Secondary vSphere Distributed Switch: Uplinks Used</t>
  </si>
  <si>
    <t>VCF Operations primary</t>
  </si>
  <si>
    <t>SRM: Administrator Email Address</t>
  </si>
  <si>
    <t>Secondary vSphere Distributed Switch: Number of Uplinks</t>
  </si>
  <si>
    <t>RTEP NSX IP Pool Name</t>
  </si>
  <si>
    <t>VCF Operations replica</t>
  </si>
  <si>
    <t>SRM: P12 Cert Password</t>
  </si>
  <si>
    <t xml:space="preserve">Secondary vSphere Distributed Switch: MTU </t>
  </si>
  <si>
    <t>Active Directory Group OUs</t>
  </si>
  <si>
    <t>VCF Operations data node</t>
  </si>
  <si>
    <t xml:space="preserve">SRM: Appliance Size </t>
  </si>
  <si>
    <t>Workload Witness AZ VLAN Prefix</t>
  </si>
  <si>
    <t>Secondary vSphere Distributed Switch: LBT</t>
  </si>
  <si>
    <t>Operations Collector Appliance</t>
  </si>
  <si>
    <t>Recovery Point Objective</t>
  </si>
  <si>
    <t>Workload Witness AZ CIDR Prefix</t>
  </si>
  <si>
    <t>Secondary vSphere Distributed Switch: Traffic Type</t>
  </si>
  <si>
    <t>SHA-256  NSX Local Manager Virtual Server</t>
  </si>
  <si>
    <t>Instances per Day</t>
  </si>
  <si>
    <t>Workload TOR ASN Prefix</t>
  </si>
  <si>
    <t>SHA-256  NSX Global Manager Virtual Server</t>
  </si>
  <si>
    <t xml:space="preserve">Intelligent Operations Management Hostnames													</t>
  </si>
  <si>
    <t>Days</t>
  </si>
  <si>
    <t>Kubernetes CIDR Prefix</t>
  </si>
  <si>
    <t>MGMT SSO Domain</t>
  </si>
  <si>
    <t>Tertiary vSphere Distributed Switch: Name</t>
  </si>
  <si>
    <r>
      <t xml:space="preserve">Protection Group Name </t>
    </r>
    <r>
      <rPr>
        <i/>
        <sz val="12"/>
        <color theme="1"/>
        <rFont val="Arial"/>
        <family val="2"/>
      </rPr>
      <t>(vRSLCM &amp; Clustered WSA)</t>
    </r>
  </si>
  <si>
    <t>Other Region Management AZ1 CIDR Prefx</t>
  </si>
  <si>
    <t>MGMT SSO Domain Username</t>
  </si>
  <si>
    <t xml:space="preserve">Tertiary vSphere Distributed Switch: MTU </t>
  </si>
  <si>
    <t>Active Directory User OUs</t>
  </si>
  <si>
    <r>
      <t xml:space="preserve">Recovery Plan Name </t>
    </r>
    <r>
      <rPr>
        <i/>
        <sz val="12"/>
        <color theme="1"/>
        <rFont val="Arial"/>
        <family val="2"/>
      </rPr>
      <t>(vRSLCM &amp; Clustered WSA)</t>
    </r>
  </si>
  <si>
    <t>Portable Component Prefix</t>
  </si>
  <si>
    <t>flt</t>
  </si>
  <si>
    <t>VCF Instance Name</t>
  </si>
  <si>
    <t>Tertiary vSphere Distributed Switch: Uplinks Used</t>
  </si>
  <si>
    <t>Protection Group Name (VMware Aria Operations)</t>
  </si>
  <si>
    <t>Tertiary vSphere Distributed Switch: Number of Uplinks</t>
  </si>
  <si>
    <t>Aria Operatons replica</t>
  </si>
  <si>
    <t>Recovery Plan Name (VMware Aria Operations)</t>
  </si>
  <si>
    <t>MGMT Domain Switch Configuration Primary Cluster  VDS</t>
  </si>
  <si>
    <t>Tertiary vSphere Distributed Switch: LBT</t>
  </si>
  <si>
    <t>Aria Operatons data node</t>
  </si>
  <si>
    <t>Protection Group Name (VMware Aria Automation)</t>
  </si>
  <si>
    <t xml:space="preserve">Prefix FLT </t>
  </si>
  <si>
    <t>Tertiary vSphere Distributed Switch: Traffic Type</t>
  </si>
  <si>
    <t>Supervisor Namespace</t>
  </si>
  <si>
    <t>Recovery Plan Name (VMware Aria Automation)</t>
  </si>
  <si>
    <t>vSphere Distributed Switch Profile</t>
  </si>
  <si>
    <t>Active Directory Bind DNs</t>
  </si>
  <si>
    <t>Management Portgroup Name</t>
  </si>
  <si>
    <t>Existing: Recovery Site vCenter FQDN</t>
  </si>
  <si>
    <t xml:space="preserve">Workload Domain Storage Configuration Primary Cluster </t>
  </si>
  <si>
    <t xml:space="preserve">Intelligent Operations Management FQDNs													</t>
  </si>
  <si>
    <t>Existing: Recovery Site vCenter Username</t>
  </si>
  <si>
    <t xml:space="preserve">Site Protection and DR </t>
  </si>
  <si>
    <t>Existing: Recovery Site vCenter Password</t>
  </si>
  <si>
    <t>Permutation Calculations</t>
  </si>
  <si>
    <t>Primary vSphere Distributed Switch: Uplink #1</t>
  </si>
  <si>
    <t>vSAN: Datastore Name</t>
  </si>
  <si>
    <t xml:space="preserve">Cluster Name </t>
  </si>
  <si>
    <t>Existing: Recovery Site SDDC Manager Domain</t>
  </si>
  <si>
    <t xml:space="preserve">Primary vSphere Distributed Switch: Uplink #2 </t>
  </si>
  <si>
    <t>vSAN: Failures to Tolerate (FTT)</t>
  </si>
  <si>
    <t>vLCM Image</t>
  </si>
  <si>
    <t>DNS 1</t>
  </si>
  <si>
    <t>Existing: Recovery Site NSX Location Name</t>
  </si>
  <si>
    <t>spr_mo_result</t>
  </si>
  <si>
    <t>Active Directory Parent Users</t>
  </si>
  <si>
    <t>DNS 2</t>
  </si>
  <si>
    <t>Existing: Recovery Site NSX Edge Cluster Name</t>
  </si>
  <si>
    <t>spr_wo_result</t>
  </si>
  <si>
    <t>DNS Parent Zone</t>
  </si>
  <si>
    <t>Existing: Recovery Site vSphere Cluster Name</t>
  </si>
  <si>
    <t>spr_mw_result</t>
  </si>
  <si>
    <t>svc-vrops-vsphere</t>
  </si>
  <si>
    <t>fleet manager fqdn</t>
  </si>
  <si>
    <t>Existing: Recovery Site Target Datastore</t>
  </si>
  <si>
    <t>protected_mgmt_result</t>
  </si>
  <si>
    <t>svc-vrops-vsan</t>
  </si>
  <si>
    <t>ops node fqdn</t>
  </si>
  <si>
    <t>Existing: Target vSphere Replication Network CIDR</t>
  </si>
  <si>
    <t>recovery_mgmt_result</t>
  </si>
  <si>
    <t>Secondary vSphere Distributed Switch: Uplinks #1</t>
  </si>
  <si>
    <t>Storage Policy</t>
  </si>
  <si>
    <t>svc-vrops-nsx</t>
  </si>
  <si>
    <t>&lt;vcf_operations_replica_node_fqdn&gt;</t>
  </si>
  <si>
    <t>Site Protection &amp; DR IP Addreses (Management Domain)</t>
  </si>
  <si>
    <t>Existing: SSO Membership</t>
  </si>
  <si>
    <t>protected_wld_result</t>
  </si>
  <si>
    <t>Secondary vSphere Distributed Switch: Uplinks #2</t>
  </si>
  <si>
    <t>svc-vrops-vra</t>
  </si>
  <si>
    <t>&lt;vcf_operations_data_node_fqdn&gt;</t>
  </si>
  <si>
    <t>first_domain_mgmt_only_viable</t>
  </si>
  <si>
    <t>Workload Domain Hostnames (Witness AZ)</t>
  </si>
  <si>
    <t>svc-vrli-wsa</t>
  </si>
  <si>
    <t>&lt;vcf_operations_logs_primary_node_fqdn&gt;</t>
  </si>
  <si>
    <t>vSphere Replication Management IP</t>
  </si>
  <si>
    <t>first_domain_mgmt_vi_viable</t>
  </si>
  <si>
    <t>svc-vrli-vrops</t>
  </si>
  <si>
    <t>&lt;vcf_operations_logs_worker_node1_fqdn&gt;</t>
  </si>
  <si>
    <t>vSphere Replication Replication IP</t>
  </si>
  <si>
    <t>non_first_domain_mgmt_only_viable</t>
  </si>
  <si>
    <t>svc-vra-vsphere</t>
  </si>
  <si>
    <t>&lt;vcf_operations_logs_worker_node2_fqdn&gt;</t>
  </si>
  <si>
    <r>
      <t>Site Recovery Manager</t>
    </r>
    <r>
      <rPr>
        <i/>
        <sz val="12"/>
        <color theme="1"/>
        <rFont val="Arial"/>
        <family val="2"/>
      </rPr>
      <t xml:space="preserve"> </t>
    </r>
    <r>
      <rPr>
        <b/>
        <sz val="12"/>
        <color theme="1"/>
        <rFont val="Arial"/>
        <family val="2"/>
      </rPr>
      <t>Management IP</t>
    </r>
  </si>
  <si>
    <t>non_first_domain_mgmt_vi_viable</t>
  </si>
  <si>
    <t>svc-vra-nsx</t>
  </si>
  <si>
    <t>&lt;vcf_operations_network_platform_node1_fqdn&gt;</t>
  </si>
  <si>
    <t>Recovery T1 Service Interface IP</t>
  </si>
  <si>
    <t>vi_only_viable</t>
  </si>
  <si>
    <t>Tertiary vSphere Distributed Switch: Uplinks #1</t>
  </si>
  <si>
    <t>svc-vra-vcf</t>
  </si>
  <si>
    <t>&lt;vcf_operations_network_platform_node2_fqdn&gt;</t>
  </si>
  <si>
    <t>vcf_vi_wld_domain_count</t>
  </si>
  <si>
    <t>Tertiary vSphere Distributed Switch: Uplinks #2</t>
  </si>
  <si>
    <t xml:space="preserve">Workload Domain VI Inputs (Secondary Availability Zone)								</t>
  </si>
  <si>
    <t>svc-vro-vsphere</t>
  </si>
  <si>
    <t>&lt;vcf_operations_network_platform_node3_fqdn&gt;</t>
  </si>
  <si>
    <t>Site Protection &amp; DR IP Addreses (Workload Domain)</t>
  </si>
  <si>
    <t>vcf_vi_isolated_domain_count</t>
  </si>
  <si>
    <t>svc-vra-vrops</t>
  </si>
  <si>
    <t xml:space="preserve">Automation FQDN </t>
  </si>
  <si>
    <t>mgmt_consolidated_result</t>
  </si>
  <si>
    <t>ESXi Node 1 SDDC ID</t>
  </si>
  <si>
    <t>ESXi Node 2 SDDC ID</t>
  </si>
  <si>
    <t>Active Directory Passwords</t>
  </si>
  <si>
    <t xml:space="preserve">Cluster </t>
  </si>
  <si>
    <t>NSX Operational Mode</t>
  </si>
  <si>
    <t>ESXi Node 3 SDDC ID</t>
  </si>
  <si>
    <t>DLR FQDN</t>
  </si>
  <si>
    <t xml:space="preserve">NSX Operation Mode Chosen </t>
  </si>
  <si>
    <t>ESXi Node 4 SDDC ID</t>
  </si>
  <si>
    <t>svc-vsphere-ad</t>
  </si>
  <si>
    <t>SSO Domain</t>
  </si>
  <si>
    <t>WLD Cluster SDDC ID</t>
  </si>
  <si>
    <t>svc-wsa-ad (child)</t>
  </si>
  <si>
    <t>Fleet Manager hostname</t>
  </si>
  <si>
    <t>Site Protection &amp; DR Hostnames (Management Domain)</t>
  </si>
  <si>
    <t xml:space="preserve">MGMT Domain Storage Configuration Primary Cluster </t>
  </si>
  <si>
    <t>ops node hostname</t>
  </si>
  <si>
    <t>&lt;vcf_operations_replica_node_ hostname</t>
  </si>
  <si>
    <t xml:space="preserve">Principal Storage </t>
  </si>
  <si>
    <t xml:space="preserve">Workload Domain VI Inputs (Witness Availability Zone)								</t>
  </si>
  <si>
    <t>&lt;vcf_operations_data_node_ hostname</t>
  </si>
  <si>
    <t>Site Recovery Manager</t>
  </si>
  <si>
    <t>&lt;vcf_operations_logs_primary_node_ hostname</t>
  </si>
  <si>
    <t>vSAN Datastore FTT</t>
  </si>
  <si>
    <t>&lt;vcf_operations_logs_worker_node1_hostname</t>
  </si>
  <si>
    <t>Site Protection &amp; DR Hostnames (Workload Domain)</t>
  </si>
  <si>
    <t>&lt;vcf_operations_logs_worker_node2_ hostname</t>
  </si>
  <si>
    <t>&lt;vcf_operations_network_platform_node1_ hostname</t>
  </si>
  <si>
    <t>Witness DNS</t>
  </si>
  <si>
    <t>&lt;vcf_operations_network_platform_node2_ hostname</t>
  </si>
  <si>
    <t>NFS Server Bound To NIC</t>
  </si>
  <si>
    <t>&lt;vcf_operations_network_platform_node3 hostname</t>
  </si>
  <si>
    <t xml:space="preserve">Witness NTP </t>
  </si>
  <si>
    <t xml:space="preserve">vSAN Datastore </t>
  </si>
  <si>
    <t>Site Protection &amp; DR FQDNs (Management Domain)</t>
  </si>
  <si>
    <t>Management</t>
  </si>
  <si>
    <t xml:space="preserve">Network Resource Pool </t>
  </si>
  <si>
    <t>Active Directory Child Users</t>
  </si>
  <si>
    <t>Log Resource Pool</t>
  </si>
  <si>
    <t>MGMT Edge Connectivity Type</t>
  </si>
  <si>
    <t>Workload Domain IP Addresses (Witness AZ)</t>
  </si>
  <si>
    <t xml:space="preserve">Recovery Port Group </t>
  </si>
  <si>
    <t>Cloud-Based Ransomware Recovery References</t>
  </si>
  <si>
    <t>Edge Form Factor Size</t>
  </si>
  <si>
    <t>Recobvery Network Gateway</t>
  </si>
  <si>
    <t>Edge Cluster MTU</t>
  </si>
  <si>
    <t>svc-wsa-ad</t>
  </si>
  <si>
    <t>Recobvery Network Mask</t>
  </si>
  <si>
    <t>Site Protection &amp; DR FQDNs (Workload Domain)</t>
  </si>
  <si>
    <r>
      <t xml:space="preserve">vSphere Custom Role name </t>
    </r>
    <r>
      <rPr>
        <i/>
        <sz val="12"/>
        <color theme="1"/>
        <rFont val="Arial"/>
        <family val="2"/>
      </rPr>
      <t>(VMware Cloud Disaster Recovery to vSphere)</t>
    </r>
  </si>
  <si>
    <t>MGMT Edge Cluster Resource Pool</t>
  </si>
  <si>
    <t>VM Management</t>
  </si>
  <si>
    <t xml:space="preserve">Site Pair </t>
  </si>
  <si>
    <t>Service Account Name</t>
  </si>
  <si>
    <t>MGMT Host Group Affinity Host</t>
  </si>
  <si>
    <t>WLD Witness IP</t>
  </si>
  <si>
    <t>Active Directory Groups</t>
  </si>
  <si>
    <t>vr username</t>
  </si>
  <si>
    <t>Service Account Password</t>
  </si>
  <si>
    <t>MGMT Host Group Affinity Host name</t>
  </si>
  <si>
    <t>vr password</t>
  </si>
  <si>
    <r>
      <t xml:space="preserve">VM Folder </t>
    </r>
    <r>
      <rPr>
        <sz val="12"/>
        <color theme="1"/>
        <rFont val="Arial"/>
        <family val="2"/>
      </rPr>
      <t>(DRaaS Connectors)</t>
    </r>
  </si>
  <si>
    <t>WLD Witness MGMT CIDR</t>
  </si>
  <si>
    <t>Recovery SDDC Name</t>
  </si>
  <si>
    <t xml:space="preserve">MGMT Edges Share host overaly </t>
  </si>
  <si>
    <t xml:space="preserve">Intelligent Network Visibility IP Addresses													</t>
  </si>
  <si>
    <t>AWS Region</t>
  </si>
  <si>
    <t>MGMT DPG Seperation</t>
  </si>
  <si>
    <t>VCF Automation Prefix</t>
  </si>
  <si>
    <t>gg-wsa-admins (parent)</t>
  </si>
  <si>
    <t>Host Type</t>
  </si>
  <si>
    <t xml:space="preserve">Gatway Routing Type </t>
  </si>
  <si>
    <t xml:space="preserve">VROPS Collecter IP </t>
  </si>
  <si>
    <t>gg-wsa-directory-admins (parent)</t>
  </si>
  <si>
    <t>VMware Aria Operations for Networks - Node A</t>
  </si>
  <si>
    <t>Number of Hosts</t>
  </si>
  <si>
    <t>IP Allocation MGMT</t>
  </si>
  <si>
    <t>vROPS Appliance Size</t>
  </si>
  <si>
    <t>gg-wsa-read-only (parent)</t>
  </si>
  <si>
    <t>Proxy for Networks - Node A</t>
  </si>
  <si>
    <t>VPC</t>
  </si>
  <si>
    <t>IP Allocation (TEP) Edge #1</t>
  </si>
  <si>
    <t>gg-vrslcm-admins</t>
  </si>
  <si>
    <t>Subnet</t>
  </si>
  <si>
    <t>IP Allocation (TEP) Edge #2</t>
  </si>
  <si>
    <t xml:space="preserve">VI WLD SSO Domian </t>
  </si>
  <si>
    <t>gg-vrslcm-content-admins</t>
  </si>
  <si>
    <t xml:space="preserve">Intelligent Network Visibility Hostnames													</t>
  </si>
  <si>
    <t>Management Subnet</t>
  </si>
  <si>
    <t xml:space="preserve">Auto-generate Edge passwords </t>
  </si>
  <si>
    <t>gg-vrslcm-content-developers</t>
  </si>
  <si>
    <r>
      <t>Firewall Rule Name</t>
    </r>
    <r>
      <rPr>
        <i/>
        <sz val="12"/>
        <color theme="1"/>
        <rFont val="Arial"/>
        <family val="2"/>
      </rPr>
      <t xml:space="preserve"> (vCenter Server Inbound)</t>
    </r>
  </si>
  <si>
    <t>gg-vrops-admins</t>
  </si>
  <si>
    <t>On-Premises Site Name (VMware Cloud Disaster Recovery)</t>
  </si>
  <si>
    <t>Create Password for Edge Cluster</t>
  </si>
  <si>
    <t>gg-vrops-content-admins</t>
  </si>
  <si>
    <t>Timezone (VMware Cloud Disaster Recovery)</t>
  </si>
  <si>
    <t>Isolated VI Workload Administrator</t>
  </si>
  <si>
    <t>gg-vrops-read-only</t>
  </si>
  <si>
    <r>
      <t xml:space="preserve">Hostname </t>
    </r>
    <r>
      <rPr>
        <i/>
        <sz val="12"/>
        <color theme="1"/>
        <rFont val="Arial"/>
        <family val="2"/>
      </rPr>
      <t>(DRaaS Connector)</t>
    </r>
  </si>
  <si>
    <t xml:space="preserve">VCF Authetication </t>
  </si>
  <si>
    <t>WLD Cluster 1 image Name</t>
  </si>
  <si>
    <t>gg-vrli-admins</t>
  </si>
  <si>
    <r>
      <t xml:space="preserve">IP Address </t>
    </r>
    <r>
      <rPr>
        <i/>
        <sz val="12"/>
        <color theme="1"/>
        <rFont val="Arial"/>
        <family val="2"/>
      </rPr>
      <t>(DRaaS Connector)</t>
    </r>
  </si>
  <si>
    <t>WLD Edge Connectivity Type - IAAS</t>
  </si>
  <si>
    <t>vSAN Storage Client</t>
  </si>
  <si>
    <t>gg-vrli-users</t>
  </si>
  <si>
    <r>
      <t xml:space="preserve">Hostname </t>
    </r>
    <r>
      <rPr>
        <i/>
        <sz val="12"/>
        <color theme="1"/>
        <rFont val="Arial"/>
        <family val="2"/>
      </rPr>
      <t>(DRaaS Connector #2)</t>
    </r>
  </si>
  <si>
    <t>gg-vrli-viewers</t>
  </si>
  <si>
    <r>
      <t xml:space="preserve">IP Address </t>
    </r>
    <r>
      <rPr>
        <i/>
        <sz val="12"/>
        <color theme="1"/>
        <rFont val="Arial"/>
        <family val="2"/>
      </rPr>
      <t>(DRaaS Connector #2)</t>
    </r>
  </si>
  <si>
    <t>NSX Admin Password</t>
  </si>
  <si>
    <t>gg-vra-org-owners</t>
  </si>
  <si>
    <t>DRaaS OVA Download Link</t>
  </si>
  <si>
    <t xml:space="preserve">NSX Deployment Type </t>
  </si>
  <si>
    <t>gg-vra-cloud-assembly-admins</t>
  </si>
  <si>
    <t>Orchestrator FQDN</t>
  </si>
  <si>
    <t>WLD Edge Connectivity Type</t>
  </si>
  <si>
    <t>gg-vra-cloud-assembly-users</t>
  </si>
  <si>
    <t>Passcode</t>
  </si>
  <si>
    <t>WLD Edge Cluster Resource Pool</t>
  </si>
  <si>
    <t>NSX</t>
  </si>
  <si>
    <t>gg-vra-cloud-assembly-viewers</t>
  </si>
  <si>
    <t>Label</t>
  </si>
  <si>
    <t>WLD Host Group Affinity Host</t>
  </si>
  <si>
    <t>gg-vra-orchestrator-viewers</t>
  </si>
  <si>
    <r>
      <t xml:space="preserve">Anti-Affinity Rule </t>
    </r>
    <r>
      <rPr>
        <i/>
        <sz val="12"/>
        <color theme="1"/>
        <rFont val="Arial"/>
        <family val="2"/>
      </rPr>
      <t>(VMware Cloud Disaster Recovery)</t>
    </r>
  </si>
  <si>
    <t>WLD Host Group Affinity Host name en01</t>
  </si>
  <si>
    <t>gg-vra-project-admins-sample</t>
  </si>
  <si>
    <t>Email alert recipients</t>
  </si>
  <si>
    <t>WLD Host Group Affinity Host name en02</t>
  </si>
  <si>
    <t>gg-vra-project-users-sample</t>
  </si>
  <si>
    <t>Sender email address</t>
  </si>
  <si>
    <t xml:space="preserve">WLD Edges Share host Overlay </t>
  </si>
  <si>
    <t>gg-vcf-admins</t>
  </si>
  <si>
    <t>Aria Operations for Logs - URL</t>
  </si>
  <si>
    <t xml:space="preserve">WLD Gatway Routing Type </t>
  </si>
  <si>
    <t>gg-vcf-operators</t>
  </si>
  <si>
    <t>Aria Operations for Logs - Key</t>
  </si>
  <si>
    <t>WLD NSX Operational Mode</t>
  </si>
  <si>
    <t>gg-vcf-viewers</t>
  </si>
  <si>
    <t>gg-vc-admins</t>
  </si>
  <si>
    <t>Cross Cloud Mobility References</t>
  </si>
  <si>
    <t xml:space="preserve">Enhanced Datapath </t>
  </si>
  <si>
    <t>gg-vc-read-only</t>
  </si>
  <si>
    <t>WLD Password Creation</t>
  </si>
  <si>
    <t>gg-sso-admins</t>
  </si>
  <si>
    <r>
      <t xml:space="preserve">vSphere Custom Role Role name </t>
    </r>
    <r>
      <rPr>
        <i/>
        <sz val="12"/>
        <color theme="1"/>
        <rFont val="Arial"/>
        <family val="2"/>
      </rPr>
      <t>(VMware HCX to vSphere)</t>
    </r>
  </si>
  <si>
    <t>WLD Edge #1 Overlay Ip Allocation</t>
  </si>
  <si>
    <t>gg-nsx-enterprise-admins</t>
  </si>
  <si>
    <r>
      <t xml:space="preserve">vSphere Service Account </t>
    </r>
    <r>
      <rPr>
        <i/>
        <sz val="12"/>
        <color theme="1"/>
        <rFont val="Arial"/>
        <family val="2"/>
      </rPr>
      <t>(VMware HCX to vSphere)</t>
    </r>
  </si>
  <si>
    <t>WLD Edge #1 MGMT IP Allocation</t>
  </si>
  <si>
    <t>gg-nsx-network-admins</t>
  </si>
  <si>
    <r>
      <t xml:space="preserve">vSphere Service Account Password </t>
    </r>
    <r>
      <rPr>
        <i/>
        <sz val="12"/>
        <color theme="1"/>
        <rFont val="Arial"/>
        <family val="2"/>
      </rPr>
      <t>(VMware HCX to vSphere)</t>
    </r>
  </si>
  <si>
    <t>WLD Edge #2 Overlay Ip Allocation</t>
  </si>
  <si>
    <t>gg-nsx-auditors</t>
  </si>
  <si>
    <r>
      <t xml:space="preserve">VM Folder </t>
    </r>
    <r>
      <rPr>
        <sz val="12"/>
        <color theme="1"/>
        <rFont val="Arial"/>
        <family val="2"/>
      </rPr>
      <t>(HCX Connector)</t>
    </r>
  </si>
  <si>
    <t>WLD Edge #2 MGMT IP Allocation</t>
  </si>
  <si>
    <r>
      <t xml:space="preserve">VM Folder </t>
    </r>
    <r>
      <rPr>
        <i/>
        <sz val="12"/>
        <color theme="1"/>
        <rFont val="Arial"/>
        <family val="2"/>
      </rPr>
      <t>(HCX Appliances)</t>
    </r>
  </si>
  <si>
    <t>IAAS Service Chosen</t>
  </si>
  <si>
    <t>VM Group Names</t>
  </si>
  <si>
    <r>
      <t xml:space="preserve">Resource Pool </t>
    </r>
    <r>
      <rPr>
        <i/>
        <sz val="12"/>
        <color theme="1"/>
        <rFont val="Arial"/>
        <family val="2"/>
      </rPr>
      <t>(HCX Appliances)</t>
    </r>
  </si>
  <si>
    <t>VCF Auth Identity Provider</t>
  </si>
  <si>
    <t xml:space="preserve">Create new Static Pool </t>
  </si>
  <si>
    <t>VMware HCX to NSX Username</t>
  </si>
  <si>
    <t>VCF Auth Directory Name</t>
  </si>
  <si>
    <t xml:space="preserve">Default NSX Operation Chosen </t>
  </si>
  <si>
    <t>Clustered WSA Instances</t>
  </si>
  <si>
    <t>VMware HCX to NSX Password</t>
  </si>
  <si>
    <t>VCF Auth Server Location</t>
  </si>
  <si>
    <t xml:space="preserve">vSAN Type </t>
  </si>
  <si>
    <t>AWS SDDC Name</t>
  </si>
  <si>
    <t xml:space="preserve">VCF Auth Global Catalogue </t>
  </si>
  <si>
    <t xml:space="preserve">Copy vDS Profile </t>
  </si>
  <si>
    <t xml:space="preserve">Management </t>
  </si>
  <si>
    <t xml:space="preserve">VCF Auth Encrypted Connection </t>
  </si>
  <si>
    <t>Witness vCenter FQDN</t>
  </si>
  <si>
    <t xml:space="preserve">VCF Auth Encryption Cert </t>
  </si>
  <si>
    <t>Witness vCenter</t>
  </si>
  <si>
    <t>VCF Auth Primary Domain Controller</t>
  </si>
  <si>
    <t>Witness vCenter hostname</t>
  </si>
  <si>
    <t>VCF Auth Primary Domain Controller Port</t>
  </si>
  <si>
    <t>Active  uplink1</t>
  </si>
  <si>
    <t xml:space="preserve">MGMT Witness MTU </t>
  </si>
  <si>
    <t>VCF Auth Secondary Domain Controller</t>
  </si>
  <si>
    <t>WLD NSX Admin Password</t>
  </si>
  <si>
    <t xml:space="preserve">MGMT Witness vLAN </t>
  </si>
  <si>
    <t xml:space="preserve">VCF Auth Secondary Domain Controller Port </t>
  </si>
  <si>
    <t>WLD NSX Root Password</t>
  </si>
  <si>
    <t xml:space="preserve">MGMT Witness Port Group </t>
  </si>
  <si>
    <t xml:space="preserve">VCF Auth Directory Search </t>
  </si>
  <si>
    <t>Workload Domain Edge Cluster MTU</t>
  </si>
  <si>
    <t>Brownfield WLD Import</t>
  </si>
  <si>
    <r>
      <t xml:space="preserve">Firewall Rule Name </t>
    </r>
    <r>
      <rPr>
        <i/>
        <sz val="12"/>
        <color theme="1"/>
        <rFont val="Arial"/>
        <family val="2"/>
      </rPr>
      <t>(HCX Inbound)</t>
    </r>
  </si>
  <si>
    <t>VCF Auth Base DN</t>
  </si>
  <si>
    <r>
      <t>User Defined Group</t>
    </r>
    <r>
      <rPr>
        <i/>
        <sz val="12"/>
        <color theme="1"/>
        <rFont val="Arial"/>
        <family val="2"/>
      </rPr>
      <t xml:space="preserve"> (Firewall Access)</t>
    </r>
  </si>
  <si>
    <t xml:space="preserve">VCF Auth Bind Username </t>
  </si>
  <si>
    <r>
      <t xml:space="preserve">IP Address(es) </t>
    </r>
    <r>
      <rPr>
        <i/>
        <sz val="12"/>
        <color theme="1"/>
        <rFont val="Arial"/>
        <family val="2"/>
      </rPr>
      <t>(Firewall Access)</t>
    </r>
  </si>
  <si>
    <t>VCF Auth Bind Password</t>
  </si>
  <si>
    <t xml:space="preserve">Witness IP </t>
  </si>
  <si>
    <t>HCX License key</t>
  </si>
  <si>
    <t>VCF Auth Username</t>
  </si>
  <si>
    <t>Witness CIDR</t>
  </si>
  <si>
    <t>Datacenter Location</t>
  </si>
  <si>
    <t>VCF Auth First Name</t>
  </si>
  <si>
    <t>Witness Gateway</t>
  </si>
  <si>
    <r>
      <rPr>
        <b/>
        <sz val="12"/>
        <color theme="1"/>
        <rFont val="Arial"/>
        <family val="2"/>
      </rPr>
      <t>Hostname</t>
    </r>
    <r>
      <rPr>
        <i/>
        <sz val="12"/>
        <color theme="1"/>
        <rFont val="Arial"/>
        <family val="2"/>
      </rPr>
      <t xml:space="preserve"> (HCX Connector)</t>
    </r>
  </si>
  <si>
    <t>VCF Auth Last Name</t>
  </si>
  <si>
    <t>SFTP Sever</t>
  </si>
  <si>
    <r>
      <t xml:space="preserve">CLI Admin Password </t>
    </r>
    <r>
      <rPr>
        <i/>
        <sz val="12"/>
        <color theme="1"/>
        <rFont val="Arial"/>
        <family val="2"/>
      </rPr>
      <t>(HCX Connector)</t>
    </r>
  </si>
  <si>
    <t>VCF Auth Distinguised Name</t>
  </si>
  <si>
    <r>
      <t xml:space="preserve">Root Password </t>
    </r>
    <r>
      <rPr>
        <i/>
        <sz val="12"/>
        <color theme="1"/>
        <rFont val="Arial"/>
        <family val="2"/>
      </rPr>
      <t>(HCX Connector)</t>
    </r>
  </si>
  <si>
    <t>VCF Auth Employee ID</t>
  </si>
  <si>
    <t xml:space="preserve">VCF operations for Logs </t>
  </si>
  <si>
    <r>
      <t xml:space="preserve">IP Address </t>
    </r>
    <r>
      <rPr>
        <i/>
        <sz val="12"/>
        <color theme="1"/>
        <rFont val="Arial"/>
        <family val="2"/>
      </rPr>
      <t>(HCX Connector)</t>
    </r>
  </si>
  <si>
    <t>VCF Auth Email</t>
  </si>
  <si>
    <t>Remote HCX URL</t>
  </si>
  <si>
    <t>VCF Auth Principal name</t>
  </si>
  <si>
    <r>
      <t xml:space="preserve">Username </t>
    </r>
    <r>
      <rPr>
        <i/>
        <sz val="12"/>
        <color theme="1"/>
        <rFont val="Arial"/>
        <family val="2"/>
      </rPr>
      <t>(VMC on AWS Administrator)</t>
    </r>
  </si>
  <si>
    <t>VCF Auth Group base DN</t>
  </si>
  <si>
    <r>
      <t xml:space="preserve">Password </t>
    </r>
    <r>
      <rPr>
        <i/>
        <sz val="12"/>
        <color theme="1"/>
        <rFont val="Arial"/>
        <family val="2"/>
      </rPr>
      <t>(VMC on AWS Administrator)</t>
    </r>
  </si>
  <si>
    <t>VCF Auth User base dn</t>
  </si>
  <si>
    <t>HCX Network Profiles - Management IP Range</t>
  </si>
  <si>
    <t>HCX Network Profiles - vMotion IP Range</t>
  </si>
  <si>
    <t>MGMT Domain Hostnames (Witness AZ)</t>
  </si>
  <si>
    <t>HCX Compute Profile</t>
  </si>
  <si>
    <t>HCX Service Mesh</t>
  </si>
  <si>
    <t>Randsomware Recovery</t>
  </si>
  <si>
    <t>MGMT vCenter</t>
  </si>
  <si>
    <t xml:space="preserve">Management Domain VI Inputs (Secondary Availability Zone)								</t>
  </si>
  <si>
    <t>Server Domain / FQDN - Master</t>
  </si>
  <si>
    <t>Protected vCenter</t>
  </si>
  <si>
    <t>Server Domain / FQDN - Worker 1</t>
  </si>
  <si>
    <t>VLR Hostname</t>
  </si>
  <si>
    <t>Server Domain / FQDN - Worker 2</t>
  </si>
  <si>
    <t>VLR FQDN</t>
  </si>
  <si>
    <t>Storage Cluster</t>
  </si>
  <si>
    <t xml:space="preserve">Cluster Strecthed Cluster  							</t>
  </si>
  <si>
    <t xml:space="preserve">Storage Cluster VDS </t>
  </si>
  <si>
    <t xml:space="preserve">Management Domain VI Inputs (Witness Availability Zone)								</t>
  </si>
  <si>
    <t>Node Port Group</t>
  </si>
  <si>
    <t>Node Gateway</t>
  </si>
  <si>
    <t>Node Subnet</t>
  </si>
  <si>
    <t>Recovery Workload AZ1 CIDR Prefix</t>
  </si>
  <si>
    <t>Recovery Site VRMS Gateway</t>
  </si>
  <si>
    <t>Recovery Site VRMS Cidr</t>
  </si>
  <si>
    <t>Management Domain IP Addresses (Witness AZ)</t>
  </si>
  <si>
    <t xml:space="preserve">Proteected Site VRMS Mask </t>
  </si>
  <si>
    <t xml:space="preserve">VSLR Username </t>
  </si>
  <si>
    <t>vSAN Witness IP</t>
  </si>
  <si>
    <t>Management Domain Accounts and Passwords</t>
  </si>
  <si>
    <t>Node A Hostname</t>
  </si>
  <si>
    <t>Node B Hostname</t>
  </si>
  <si>
    <t>ESX Root Account</t>
  </si>
  <si>
    <t>Node C Hostname</t>
  </si>
  <si>
    <t>ESX Root Password</t>
  </si>
  <si>
    <t>vMotion VLAN ID</t>
  </si>
  <si>
    <t>VIP IP</t>
  </si>
  <si>
    <t>Node A IP</t>
  </si>
  <si>
    <t>VCF Automation Root Password</t>
  </si>
  <si>
    <t>AZ Network - vMotion</t>
  </si>
  <si>
    <t>Node B IP</t>
  </si>
  <si>
    <t>VCF Operations Admin Password</t>
  </si>
  <si>
    <t>Node C IP</t>
  </si>
  <si>
    <t>VCF OPS Root Password</t>
  </si>
  <si>
    <t>Disk Mode</t>
  </si>
  <si>
    <t>Fleet Manager Admin Password</t>
  </si>
  <si>
    <t xml:space="preserve">VCF Networks for Network </t>
  </si>
  <si>
    <t>WLD administrator@vsphere.local Password</t>
  </si>
  <si>
    <t xml:space="preserve">vSAN Network </t>
  </si>
  <si>
    <t>MGMT NSX Admin Password</t>
  </si>
  <si>
    <t>vSAN VLAN ID</t>
  </si>
  <si>
    <t>MGMT NSX Root Password</t>
  </si>
  <si>
    <t>MGMT VIDB VIPS</t>
  </si>
  <si>
    <t xml:space="preserve">AZ Network - Princpal Storage </t>
  </si>
  <si>
    <t>MGMT VIDB Node Prefix</t>
  </si>
  <si>
    <t>Private Key</t>
  </si>
  <si>
    <t>MGMT VIDB Password</t>
  </si>
  <si>
    <t xml:space="preserve">Certificate Chain </t>
  </si>
  <si>
    <t>MGMT VIDB Password Alias</t>
  </si>
  <si>
    <t>MGMT VIDB Password Description</t>
  </si>
  <si>
    <t>MGMT VIDB Root Password</t>
  </si>
  <si>
    <t>MGMT VIDB VMware System User Password Alias</t>
  </si>
  <si>
    <t>vSAN Client Network</t>
  </si>
  <si>
    <t>MGMT VIDB VMware System User Password Password</t>
  </si>
  <si>
    <t>NFS VLAN ID</t>
  </si>
  <si>
    <t>MGMT VIDB VMware System User Password Description</t>
  </si>
  <si>
    <t>Network -  Secondary Storage</t>
  </si>
  <si>
    <t>MGMT Edge Node 1 Uplink Mapping fp-eth0 uplink0</t>
  </si>
  <si>
    <t>MGMT Edge Node 1 Uplink Mapping fp-eth0 uplink1</t>
  </si>
  <si>
    <t>MGMT Edge Node 1 Uplink Mapping fp-eth1 uplink0</t>
  </si>
  <si>
    <t>MGMT Edge Node 1 Uplink Mapping fp-eth1 uplink1</t>
  </si>
  <si>
    <t>FQDN - Proxy</t>
  </si>
  <si>
    <t>MGMT Edge Node 2 Uplink Mapping fp-eth0 uplink0</t>
  </si>
  <si>
    <t>MGMT Edge Node 2 Uplink Mapping fp-eth0 uplink1</t>
  </si>
  <si>
    <t>MGMT Edge Node 2 Uplink Mapping fp-eth1 uplink0</t>
  </si>
  <si>
    <t>MGMT Edge Node 2 Uplink Mapping fp-eth1 uplink1</t>
  </si>
  <si>
    <t>IP - Proxy</t>
  </si>
  <si>
    <t>HOSTNAME - Platform Node #1</t>
  </si>
  <si>
    <t>WLD Edge Node 1 Uplink Mapping fp-eth0 uplink0</t>
  </si>
  <si>
    <t>HOSTNAME - Platform Node #2</t>
  </si>
  <si>
    <t>WLD Edge Node 1 Uplink Mapping fp-eth0 uplink1</t>
  </si>
  <si>
    <t>HOSTNAME - Platform Node #3</t>
  </si>
  <si>
    <t>WLD Edge Node 1 Uplink Mapping fp-eth1 uplink0</t>
  </si>
  <si>
    <t>HOSTNAME - Proxy</t>
  </si>
  <si>
    <t>WLD Edge Node 1 Uplink Mapping fp-eth1 uplink1</t>
  </si>
  <si>
    <t>WLD Edge Node 2 Uplink Mapping fp-eth0 uplink0</t>
  </si>
  <si>
    <t>WLD Edge Node 2 Uplink Mapping fp-eth0 uplink1</t>
  </si>
  <si>
    <t>WLD Edge Node 2 Uplink Mapping fp-eth1 uplink0</t>
  </si>
  <si>
    <t>WLD Edge Node 2 Uplink Mapping fp-eth1 uplink1</t>
  </si>
  <si>
    <t>vSAN Witness Zone - MGMT VLAN ID</t>
  </si>
  <si>
    <t>vSAN Witness Zone - MGMT Gateway</t>
  </si>
  <si>
    <t>vSAN Witness Zone - MGMT CIDR Notation</t>
  </si>
  <si>
    <t>vSAN Witness Zone - MGMT MTU</t>
  </si>
  <si>
    <t xml:space="preserve">OPS for Networks Proxy Port Group </t>
  </si>
  <si>
    <t>OPS for Networks Node A Size</t>
  </si>
  <si>
    <t>secondaryAzOverlayVlanId</t>
  </si>
  <si>
    <t>OPS for Networks Node B Size</t>
  </si>
  <si>
    <t>OPS for Networks Node C Size</t>
  </si>
  <si>
    <t>OPS for Networks Proxy Size</t>
  </si>
  <si>
    <t>Host  1 FQDN - AZ2</t>
  </si>
  <si>
    <t>Host 2 FQDN - AZ2</t>
  </si>
  <si>
    <t>Host 3 FQDN - AZ2</t>
  </si>
  <si>
    <t>Host 4 FQDN  - AZ2</t>
  </si>
  <si>
    <t>Host 5 FQDN - AZ2</t>
  </si>
  <si>
    <t>Host 6 FQDN - AZ2</t>
  </si>
  <si>
    <t>Host 7 FQDN - AZ2</t>
  </si>
  <si>
    <t>Host 8 FQDN - AZ2</t>
  </si>
  <si>
    <t>Host 9 FQDN - AZ2</t>
  </si>
  <si>
    <t>Host 10 FQDN - AZ2</t>
  </si>
  <si>
    <t>Host 11 FQDN - AZ2</t>
  </si>
  <si>
    <t>Host 12 FQDN - AZ2</t>
  </si>
  <si>
    <t>Host 13 FQDN - AZ2</t>
  </si>
  <si>
    <t>Host 14 FQDN - AZ2</t>
  </si>
  <si>
    <t>Host 15 FQDN - AZ2</t>
  </si>
  <si>
    <t>Host 16 FQDN - AZ2</t>
  </si>
  <si>
    <t>VCF Automation FQDN</t>
  </si>
  <si>
    <t>Configure VCF  Automation  {Fleet Manager}</t>
  </si>
  <si>
    <t>Select Subnet</t>
  </si>
  <si>
    <t>Node portgroup</t>
  </si>
  <si>
    <t>Password Alias</t>
  </si>
  <si>
    <t>Password Description</t>
  </si>
  <si>
    <t>Static Reference Tables</t>
  </si>
  <si>
    <t>The following values are used for lookups throughout the rest of the workbook</t>
  </si>
  <si>
    <t>Sizing Value References</t>
  </si>
  <si>
    <t>Include / Exclude</t>
  </si>
  <si>
    <t>Constant</t>
  </si>
  <si>
    <t>vCenter Appliance Size List</t>
  </si>
  <si>
    <t>Tiny</t>
  </si>
  <si>
    <t>Excluded</t>
  </si>
  <si>
    <t>Yes / No</t>
  </si>
  <si>
    <t xml:space="preserve">Instance </t>
  </si>
  <si>
    <t>First Instance</t>
  </si>
  <si>
    <t>Additional Instance</t>
  </si>
  <si>
    <t>Yes</t>
  </si>
  <si>
    <t>Deploy a new VCF fleet</t>
  </si>
  <si>
    <t>Deploy a VCF Instance in an existing VCF fleet</t>
  </si>
  <si>
    <t>X-Large</t>
  </si>
  <si>
    <t>vCenter Storage Size List</t>
  </si>
  <si>
    <t>Create Cluster</t>
  </si>
  <si>
    <t>None</t>
  </si>
  <si>
    <t>Full Instance</t>
  </si>
  <si>
    <t>One Or More VVDs</t>
  </si>
  <si>
    <t>NSX-T Manager Size List</t>
  </si>
  <si>
    <t>Extra_Small</t>
  </si>
  <si>
    <t>None Chosen</t>
  </si>
  <si>
    <t>Workload Domain</t>
  </si>
  <si>
    <t>NSX-T Edge Size List</t>
  </si>
  <si>
    <t>vCenter Size</t>
  </si>
  <si>
    <t>Supported Limits</t>
  </si>
  <si>
    <t>10 Hosts 100 VMs</t>
  </si>
  <si>
    <t>Lookup Tables</t>
  </si>
  <si>
    <t>100 Hosts 1000 VMs</t>
  </si>
  <si>
    <t>400 Hosts - 4000 VM</t>
  </si>
  <si>
    <t>CPU</t>
  </si>
  <si>
    <t>1000 Hosts - 10000 VMs</t>
  </si>
  <si>
    <t>RAM</t>
  </si>
  <si>
    <t>2000 Hosts - 35000 VMS</t>
  </si>
  <si>
    <t>Disk</t>
  </si>
  <si>
    <t>vCenter Appliance CPU</t>
  </si>
  <si>
    <t>NSX Size</t>
  </si>
  <si>
    <t>Cloud Service Manager Only</t>
  </si>
  <si>
    <t>POC only</t>
  </si>
  <si>
    <t>128 Hosts - 5 vSphere Clusters</t>
  </si>
  <si>
    <t>1024 Hosts - 256 vSphere Clusters</t>
  </si>
  <si>
    <t>2048 Hosts - 512 vSphere Clusters</t>
  </si>
  <si>
    <t>vCenter Appliance RAM</t>
  </si>
  <si>
    <t>vSAN MAX VDS Profile</t>
  </si>
  <si>
    <t>Standard VDS Profile</t>
  </si>
  <si>
    <t>VVF VDS Profile</t>
  </si>
  <si>
    <t>vSAN Max Storage Traffic Separation</t>
  </si>
  <si>
    <t>vCenter Disk</t>
  </si>
  <si>
    <t>vSAN Max Storage Traffic and NSX Traffic Separation</t>
  </si>
  <si>
    <t>Storage Traffic Separation</t>
  </si>
  <si>
    <t>TinyDefault</t>
  </si>
  <si>
    <t>NSX Traffic Separation</t>
  </si>
  <si>
    <t>Custom Switch Configuration</t>
  </si>
  <si>
    <t>TinyLarge</t>
  </si>
  <si>
    <t>Storage Traffic and NSX Traffic Separation</t>
  </si>
  <si>
    <t>SmallDefault</t>
  </si>
  <si>
    <t>SmallLarge</t>
  </si>
  <si>
    <t>MediumDefault</t>
  </si>
  <si>
    <t>MediumLarge</t>
  </si>
  <si>
    <t>LargeDefault</t>
  </si>
  <si>
    <t>LargeLarge</t>
  </si>
  <si>
    <t>NSX-T Manager CPU</t>
  </si>
  <si>
    <t>NSX-T Manager RAM</t>
  </si>
  <si>
    <t>NSX-T Manager Disk</t>
  </si>
  <si>
    <t>NSX-T Edge CPU</t>
  </si>
  <si>
    <t>NSX-T Edge RAM</t>
  </si>
  <si>
    <t>NSX-T Edge Disk</t>
  </si>
  <si>
    <t>Extra Small</t>
  </si>
  <si>
    <t>Extra Large</t>
  </si>
  <si>
    <t>Extra Extra Large</t>
  </si>
  <si>
    <t>VCF Automation CPU</t>
  </si>
  <si>
    <t>VCF Automation RAM</t>
  </si>
  <si>
    <t>VCF Automation Disk</t>
  </si>
  <si>
    <t>vRLI CPU</t>
  </si>
  <si>
    <t>vRLI RAM</t>
  </si>
  <si>
    <t>vRLI Disk</t>
  </si>
  <si>
    <t>VCF Operations CPU</t>
  </si>
  <si>
    <t>VCF Operations RAM</t>
  </si>
  <si>
    <t>VCF Operations Disk</t>
  </si>
  <si>
    <t>VCF Operations Proxy CPU</t>
  </si>
  <si>
    <t>VCF Operations Proxy RAM</t>
  </si>
  <si>
    <t>VCF Operations Proxy Disk</t>
  </si>
  <si>
    <t>VRMS CPU</t>
  </si>
  <si>
    <t>Light</t>
  </si>
  <si>
    <t>VRMS RAM</t>
  </si>
  <si>
    <t>VRMS Disk</t>
  </si>
  <si>
    <t>SRM CPU</t>
  </si>
  <si>
    <t>SRM RAM</t>
  </si>
  <si>
    <t>SRM Disk</t>
  </si>
  <si>
    <t>Health Reporting and Monitoring - HVM</t>
  </si>
  <si>
    <t>VCF Operations for networks CPU</t>
  </si>
  <si>
    <t>VCF Operations for networks RAM</t>
  </si>
  <si>
    <t xml:space="preserve">VCF Operations for networks DISK </t>
  </si>
  <si>
    <t>VCF Operations for networks - Collector CPU</t>
  </si>
  <si>
    <t>VCF Operations for networks - Collector RAM</t>
  </si>
  <si>
    <t xml:space="preserve">VCF Operations for networks - Collecter DISK </t>
  </si>
  <si>
    <t>Cloud-Based Ransomware</t>
  </si>
  <si>
    <t>Cross-Cloud Mobility - HCX Conn</t>
  </si>
  <si>
    <t>AVI Load Balancer CPU</t>
  </si>
  <si>
    <t>AVI Load Balancer Ram</t>
  </si>
  <si>
    <t>AVI Load Balancer Disk</t>
  </si>
  <si>
    <t>SSP CPU</t>
  </si>
  <si>
    <t xml:space="preserve">SSP RAM </t>
  </si>
  <si>
    <t>SSP Disk</t>
  </si>
  <si>
    <t>Mask</t>
  </si>
  <si>
    <t>255.255.255.255</t>
  </si>
  <si>
    <t>255.255.255.254</t>
  </si>
  <si>
    <t>255.255.255.252</t>
  </si>
  <si>
    <t>255.255.255.248</t>
  </si>
  <si>
    <t>255.255.255.240</t>
  </si>
  <si>
    <t>255.255.255.224</t>
  </si>
  <si>
    <t>255.255.255.192</t>
  </si>
  <si>
    <t>255.255.255.128</t>
  </si>
  <si>
    <t>255.255.254.0</t>
  </si>
  <si>
    <t>255.255.252.0</t>
  </si>
  <si>
    <t>255.255.248.0</t>
  </si>
  <si>
    <t>255.255.240.0</t>
  </si>
  <si>
    <t>255.255.224.0</t>
  </si>
  <si>
    <t>255.255.192.0</t>
  </si>
  <si>
    <t>255.255.128.0</t>
  </si>
  <si>
    <t>255.255.0.0</t>
  </si>
  <si>
    <t>255.254.0.0</t>
  </si>
  <si>
    <t>255.252.0.0</t>
  </si>
  <si>
    <t>255.248.0.0</t>
  </si>
  <si>
    <t>255.240.0.0</t>
  </si>
  <si>
    <t>255.224.0.0</t>
  </si>
  <si>
    <t>255.192.0.0</t>
  </si>
  <si>
    <t>255.128.0.0</t>
  </si>
  <si>
    <t>255.0.0.0</t>
  </si>
  <si>
    <t>254.0.0.0</t>
  </si>
  <si>
    <t>252.0.0.0</t>
  </si>
  <si>
    <t>248.0.0.0</t>
  </si>
  <si>
    <t>240.0.0.0</t>
  </si>
  <si>
    <t>224.0.0.0</t>
  </si>
  <si>
    <t>192.0.0.0</t>
  </si>
  <si>
    <t>128.0.0.0</t>
  </si>
  <si>
    <t>0.0.0.0</t>
  </si>
  <si>
    <t>NSX-T Deployment</t>
  </si>
  <si>
    <t>Shared</t>
  </si>
  <si>
    <t>Dedicated - Single Node</t>
  </si>
  <si>
    <t>Dedicated - HA Cluster</t>
  </si>
  <si>
    <t>AMD Opteron Generation 1 (Rev. E)</t>
  </si>
  <si>
    <t>AMD Opteron Generation 2 (Rev. F)</t>
  </si>
  <si>
    <t>AMD Opteron Generation 3 (Greyhound)</t>
  </si>
  <si>
    <t>AMD Opteron Generation 3 (no 3Dnow!) (Greyhound)</t>
  </si>
  <si>
    <t>AMD Opteron Generation 4 (Bulldozer)</t>
  </si>
  <si>
    <t>AMD Opteron "Piledriver" Generation</t>
  </si>
  <si>
    <t>AMD Opteron "Steamroller" Generation</t>
  </si>
  <si>
    <t>AMD "Zen" Generation</t>
  </si>
  <si>
    <t>AMD "Zen 2" Generation</t>
  </si>
  <si>
    <t>AMD "Zen 3" Generation</t>
  </si>
  <si>
    <t>AMD "Zen 4" Generation</t>
  </si>
  <si>
    <t>Intel "Merom" Generation (Intel Xeon Core 2)</t>
  </si>
  <si>
    <t>Intel "Penryn" Generation (Intel Xeon 45nm Core2)</t>
  </si>
  <si>
    <t>Intel "Nehalem" Generation (Intel Xeon Core i7)</t>
  </si>
  <si>
    <t>Intel "Westmere" Generation (Intel Xeon 32nm Core i7)</t>
  </si>
  <si>
    <t>Intel "Sandy Bridge" Generation</t>
  </si>
  <si>
    <t>Intel "Ivy Bridge" Generation</t>
  </si>
  <si>
    <t>Intel "Haswell" Generation</t>
  </si>
  <si>
    <t>Intel "Broadwell" Generation</t>
  </si>
  <si>
    <t>Intel "Skylake" Generation</t>
  </si>
  <si>
    <t>Intel "Cascade Lake" Generation</t>
  </si>
  <si>
    <t>Intel "Ice Lake" Generation</t>
  </si>
  <si>
    <t>Intel "Sapphire Rapids" Generation</t>
  </si>
  <si>
    <t>MGMT Domain 5.x Storage Option</t>
  </si>
  <si>
    <t>vSAN-OSA</t>
  </si>
  <si>
    <t>WLD Domain 5.x Storage Option</t>
  </si>
  <si>
    <t>vSAN Storage Cluster</t>
  </si>
  <si>
    <t>vSAN Compute Cluster</t>
  </si>
  <si>
    <t>NFSv3</t>
  </si>
  <si>
    <t>VMFS on Fibre Channel (FC)</t>
  </si>
  <si>
    <t>vSphere Lifecycle Manager - OSA</t>
  </si>
  <si>
    <t>Images</t>
  </si>
  <si>
    <t>Baselines</t>
  </si>
  <si>
    <t>vSphere Lifecycle Manager  - ESA</t>
  </si>
  <si>
    <t xml:space="preserve">AWS Regions </t>
  </si>
  <si>
    <t>Asia Pacific (Osaka)</t>
  </si>
  <si>
    <t>Asia Pacific (Mumbai)</t>
  </si>
  <si>
    <t>Asia Pacific (Hyderabad)</t>
  </si>
  <si>
    <t>Asia Pacific (Singapore)</t>
  </si>
  <si>
    <t>Asia Pacific (Sydney)</t>
  </si>
  <si>
    <t>Asia Pacific (Jakarta)</t>
  </si>
  <si>
    <t>Asia Pacific (Melbourne)</t>
  </si>
  <si>
    <t>Canada (Central)</t>
  </si>
  <si>
    <t>China (Beijing)</t>
  </si>
  <si>
    <t>China (Ningxia)</t>
  </si>
  <si>
    <t>Europe (Frankfurt)</t>
  </si>
  <si>
    <t>Europe (Zurich)</t>
  </si>
  <si>
    <t>Europe (Stockholm)</t>
  </si>
  <si>
    <t>Europe (Milan)</t>
  </si>
  <si>
    <t>Europe (Spain)</t>
  </si>
  <si>
    <t>Europe (Ireland)</t>
  </si>
  <si>
    <t>Europe (London)</t>
  </si>
  <si>
    <t>Europe (Paris)</t>
  </si>
  <si>
    <t>Israel (Tel Aviv)</t>
  </si>
  <si>
    <t>Middle East (UAE)</t>
  </si>
  <si>
    <t>Middle East (Bahrain)</t>
  </si>
  <si>
    <t>South America (Sao Paulo)</t>
  </si>
  <si>
    <t>US East (N. Virginia)</t>
  </si>
  <si>
    <t>US East (Ohio)</t>
  </si>
  <si>
    <t>AWS GovCloud (US-East)</t>
  </si>
  <si>
    <t>AWS GovCloud (US-West)</t>
  </si>
  <si>
    <t xml:space="preserve">US West (N. California) </t>
  </si>
  <si>
    <t>US West (Oregon)</t>
  </si>
  <si>
    <t xml:space="preserve">Storage FTT </t>
  </si>
  <si>
    <t>Auto-Policy management</t>
  </si>
  <si>
    <t>Cluster Type</t>
  </si>
  <si>
    <t>Dedicated Compute</t>
  </si>
  <si>
    <t>Dedicated Edge</t>
  </si>
  <si>
    <t>Shared Edge and Compute</t>
  </si>
  <si>
    <t>Rack number Include / Exclude</t>
  </si>
  <si>
    <t>Site Protection and Disaster Recovery</t>
  </si>
  <si>
    <t>Management Domain</t>
  </si>
  <si>
    <t>Group / Component</t>
  </si>
  <si>
    <t>Domain</t>
  </si>
  <si>
    <t>Reference Hostname</t>
  </si>
  <si>
    <t>Your Hostname</t>
  </si>
  <si>
    <t>n/a</t>
  </si>
  <si>
    <t>Incoming Storage Traffic Interface for vSphere Replication in Management Domain</t>
  </si>
  <si>
    <t>Management Interface for Site Recovery Manager in Management Domain</t>
  </si>
  <si>
    <t>Recovery NSX Tier-1 Service Interface</t>
  </si>
  <si>
    <t>Management Interface for vSphere Replication in VI Workload Domain</t>
  </si>
  <si>
    <t>Incoming Storage Traffic Interface for vSphere Replication in VI Workload Domain</t>
  </si>
  <si>
    <t>Management Interface for Site Recovery Manager in VI Workload Domain</t>
  </si>
  <si>
    <t>Site Protection and Disaster Recovery Inputs (Common)</t>
  </si>
  <si>
    <t>Recovery Site Details</t>
  </si>
  <si>
    <t>Site Protection and Disaster Recovery Inputs (Management Domain)</t>
  </si>
  <si>
    <t>vSphere Replcation</t>
  </si>
  <si>
    <t>VM Folder Name</t>
  </si>
  <si>
    <t>Initial Root Password</t>
  </si>
  <si>
    <t>Initial Admin Password</t>
  </si>
  <si>
    <t>Site Name</t>
  </si>
  <si>
    <t>Administrator Email Address</t>
  </si>
  <si>
    <t>Portgroup Name</t>
  </si>
  <si>
    <t>P12 Cert File Password</t>
  </si>
  <si>
    <t>Initial Database Password</t>
  </si>
  <si>
    <r>
      <t xml:space="preserve">Protection Group Name </t>
    </r>
    <r>
      <rPr>
        <i/>
        <sz val="12"/>
        <color theme="1"/>
        <rFont val="Arial"/>
        <family val="2"/>
      </rPr>
      <t>(VMware Aria Suite Lifecycle &amp; Clustered WSA)</t>
    </r>
  </si>
  <si>
    <t>Aria Suite Lifecycle &amp; Clustered Workspace ONE Access PG</t>
  </si>
  <si>
    <r>
      <t xml:space="preserve">Recovery Plan Name </t>
    </r>
    <r>
      <rPr>
        <i/>
        <sz val="12"/>
        <color theme="1"/>
        <rFont val="Arial"/>
        <family val="2"/>
      </rPr>
      <t>(VMware Aria Suite Lifecycle &amp; Clustered WSA)</t>
    </r>
  </si>
  <si>
    <t>Aria Suite Lifecycle &amp; Clustered Workspace ONE Access RP</t>
  </si>
  <si>
    <t>Private Cloud Automation PG</t>
  </si>
  <si>
    <t>Private Cloud Automation RP</t>
  </si>
  <si>
    <t>Load Balancer</t>
  </si>
  <si>
    <t>Recovery VMware Aria Load Balancer Deployment Method</t>
  </si>
  <si>
    <t>PowerShell</t>
  </si>
  <si>
    <t>PowerShell recommended to avoid lengthy and error prone UI configuration</t>
  </si>
  <si>
    <t>Existing: Recovery Site SSO Model</t>
  </si>
  <si>
    <t>Same SSO Domain</t>
  </si>
  <si>
    <t>Site Protection and Disaster Recovery Inputs (Workload Domain)</t>
  </si>
  <si>
    <t>Prepare VMware Aria Product for Site Protection</t>
  </si>
  <si>
    <t>Create a Virtual Machine Folder and Move the VMware Aria Suite Lifecycle Virtual Machine in the Protected VMware Cloud Foundation Instance</t>
  </si>
  <si>
    <t>&lt;protected_vcenter_server_fqdn&gt;</t>
  </si>
  <si>
    <t>Folder Name</t>
  </si>
  <si>
    <t>xint-m01-fd-lcm</t>
  </si>
  <si>
    <t>Create Virtual Machine Folders for SDDC Management Components in the Recovery VMware Cloud Foundation Instance</t>
  </si>
  <si>
    <t>&lt;recovery_vcenter_server_fqdn&gt;</t>
  </si>
  <si>
    <t>Folder Name (VMware Aria Suite Lifecycle)</t>
  </si>
  <si>
    <r>
      <t>Folder Name</t>
    </r>
    <r>
      <rPr>
        <i/>
        <sz val="12"/>
        <color theme="1"/>
        <rFont val="Arial"/>
        <family val="2"/>
      </rPr>
      <t xml:space="preserve"> (Clustered Workspace ONE Access)</t>
    </r>
  </si>
  <si>
    <t>xint-m01-fd-idm</t>
  </si>
  <si>
    <t>Folder Name (VMware Aria Operations)</t>
  </si>
  <si>
    <t>xint-m01-fd-operations</t>
  </si>
  <si>
    <r>
      <t xml:space="preserve">Folder Name </t>
    </r>
    <r>
      <rPr>
        <i/>
        <sz val="12"/>
        <color theme="1"/>
        <rFont val="Arial"/>
        <family val="2"/>
      </rPr>
      <t>(VMware Aria Automation)</t>
    </r>
  </si>
  <si>
    <t>xint-m01-fd-automation</t>
  </si>
  <si>
    <t>Create a Standalone Tier-1 Gateway for the Load Balancer in the Recovery VMware Cloud Foundation Instance</t>
  </si>
  <si>
    <t>&lt;active_nsx_gm_fqdn&gt;</t>
  </si>
  <si>
    <t>Recovery Site NSX Location</t>
  </si>
  <si>
    <t>recovery-t1-gw01</t>
  </si>
  <si>
    <t>recovery-t1-gw01-si01</t>
  </si>
  <si>
    <t>IP Address / Mask</t>
  </si>
  <si>
    <t>Segment</t>
  </si>
  <si>
    <t>Scope</t>
  </si>
  <si>
    <t>Enable the Load Balancer Service on the Tier-1 Gateway in the Recovery VMware Cloud Foundation Instance</t>
  </si>
  <si>
    <t>recovery-lb01</t>
  </si>
  <si>
    <t>Import the Certificate of the Clustered Workspace ONE Access in NSX-T Data Center in the Recovery VMware Cloud Foundation Instance</t>
  </si>
  <si>
    <t>Create a Service Monitor for VMware Aria Operations in the Recovery VMware Cloud Foundation Instance</t>
  </si>
  <si>
    <t>vrops-https-monitor</t>
  </si>
  <si>
    <t>Create a Server Pool for VMware Aria Operations in the Recovery VMware Cloud Foundation Instance</t>
  </si>
  <si>
    <t>vrops-server-pool</t>
  </si>
  <si>
    <r>
      <t>Name</t>
    </r>
    <r>
      <rPr>
        <i/>
        <sz val="12"/>
        <color theme="1"/>
        <rFont val="Arial"/>
        <family val="2"/>
      </rPr>
      <t xml:space="preserve"> (Member 1)</t>
    </r>
  </si>
  <si>
    <t>vrops01svr01a</t>
  </si>
  <si>
    <r>
      <t xml:space="preserve">IP </t>
    </r>
    <r>
      <rPr>
        <i/>
        <sz val="12"/>
        <color theme="1"/>
        <rFont val="Arial"/>
        <family val="2"/>
      </rPr>
      <t>(Member 1)</t>
    </r>
  </si>
  <si>
    <r>
      <t>Name</t>
    </r>
    <r>
      <rPr>
        <i/>
        <sz val="12"/>
        <color theme="1"/>
        <rFont val="Arial"/>
        <family val="2"/>
      </rPr>
      <t xml:space="preserve"> (Member 2)</t>
    </r>
  </si>
  <si>
    <t>vrops01svr01b</t>
  </si>
  <si>
    <r>
      <t xml:space="preserve">IP </t>
    </r>
    <r>
      <rPr>
        <i/>
        <sz val="12"/>
        <color theme="1"/>
        <rFont val="Arial"/>
        <family val="2"/>
      </rPr>
      <t>(Member 2)</t>
    </r>
  </si>
  <si>
    <r>
      <t xml:space="preserve">Name </t>
    </r>
    <r>
      <rPr>
        <i/>
        <sz val="12"/>
        <color theme="1"/>
        <rFont val="Arial"/>
        <family val="2"/>
      </rPr>
      <t>(Member 3)</t>
    </r>
  </si>
  <si>
    <t>vrops01svr01c</t>
  </si>
  <si>
    <r>
      <t xml:space="preserve">IP </t>
    </r>
    <r>
      <rPr>
        <i/>
        <sz val="12"/>
        <color theme="1"/>
        <rFont val="Arial"/>
        <family val="2"/>
      </rPr>
      <t>(Member 3)</t>
    </r>
  </si>
  <si>
    <r>
      <t>Name</t>
    </r>
    <r>
      <rPr>
        <i/>
        <sz val="12"/>
        <color theme="1"/>
        <rFont val="Arial"/>
        <family val="2"/>
      </rPr>
      <t xml:space="preserve"> (Monitor)</t>
    </r>
  </si>
  <si>
    <t>Create Application Profiles for VMware Aria Operations in the Recovery VMware Cloud Foundation Instance</t>
  </si>
  <si>
    <r>
      <t>Name</t>
    </r>
    <r>
      <rPr>
        <i/>
        <sz val="12"/>
        <color theme="1"/>
        <rFont val="Arial"/>
        <family val="2"/>
      </rPr>
      <t xml:space="preserve"> (TCP Application Profile)</t>
    </r>
  </si>
  <si>
    <t>vrops-tcp-app-profile</t>
  </si>
  <si>
    <r>
      <t xml:space="preserve">Name </t>
    </r>
    <r>
      <rPr>
        <i/>
        <sz val="12"/>
        <color theme="1"/>
        <rFont val="Arial"/>
        <family val="2"/>
      </rPr>
      <t>(HTTP Redirect Profile)</t>
    </r>
  </si>
  <si>
    <t>vrops-http-app-profile-redirect</t>
  </si>
  <si>
    <r>
      <t>Name</t>
    </r>
    <r>
      <rPr>
        <i/>
        <sz val="12"/>
        <color theme="1"/>
        <rFont val="Arial"/>
        <family val="2"/>
      </rPr>
      <t xml:space="preserve"> (Persistence Profile)</t>
    </r>
  </si>
  <si>
    <t>vrops-source-ip-persistence-profile</t>
  </si>
  <si>
    <t>Create Virtual Servers for VMware Aria Operations in the Recovery VMware Cloud Foundation Instance</t>
  </si>
  <si>
    <r>
      <t>Name</t>
    </r>
    <r>
      <rPr>
        <i/>
        <sz val="12"/>
        <color theme="1"/>
        <rFont val="Arial"/>
        <family val="2"/>
      </rPr>
      <t xml:space="preserve"> (HTTPS Virtual Server)</t>
    </r>
  </si>
  <si>
    <t>vrops-https</t>
  </si>
  <si>
    <r>
      <t xml:space="preserve">IP Address </t>
    </r>
    <r>
      <rPr>
        <i/>
        <sz val="12"/>
        <color theme="1"/>
        <rFont val="Arial"/>
        <family val="2"/>
      </rPr>
      <t>(HTTPS Virtual Server)</t>
    </r>
  </si>
  <si>
    <r>
      <t xml:space="preserve">Load Balancer </t>
    </r>
    <r>
      <rPr>
        <i/>
        <sz val="12"/>
        <color theme="1"/>
        <rFont val="Arial"/>
        <family val="2"/>
      </rPr>
      <t>(HTTPS Virtual Server)</t>
    </r>
  </si>
  <si>
    <r>
      <t xml:space="preserve">Server Pool </t>
    </r>
    <r>
      <rPr>
        <i/>
        <sz val="12"/>
        <color theme="1"/>
        <rFont val="Arial"/>
        <family val="2"/>
      </rPr>
      <t>(HTTPS Virtual Server)</t>
    </r>
  </si>
  <si>
    <r>
      <t>Source IP</t>
    </r>
    <r>
      <rPr>
        <i/>
        <sz val="12"/>
        <color theme="1"/>
        <rFont val="Arial"/>
        <family val="2"/>
      </rPr>
      <t xml:space="preserve"> (HTTPS Virtual Server)</t>
    </r>
  </si>
  <si>
    <r>
      <t>Application Profile</t>
    </r>
    <r>
      <rPr>
        <i/>
        <sz val="12"/>
        <color theme="1"/>
        <rFont val="Arial"/>
        <family val="2"/>
      </rPr>
      <t xml:space="preserve"> (HTTPS Virtual Server)</t>
    </r>
  </si>
  <si>
    <r>
      <t xml:space="preserve">Name </t>
    </r>
    <r>
      <rPr>
        <i/>
        <sz val="12"/>
        <color theme="1"/>
        <rFont val="Arial"/>
        <family val="2"/>
      </rPr>
      <t>(HTTP Redirect Virtual Server)</t>
    </r>
  </si>
  <si>
    <t>vrops-http-redirect</t>
  </si>
  <si>
    <r>
      <t xml:space="preserve">IP Address </t>
    </r>
    <r>
      <rPr>
        <i/>
        <sz val="12"/>
        <color theme="1"/>
        <rFont val="Arial"/>
        <family val="2"/>
      </rPr>
      <t>(HTTP Redirect Virtual Server)</t>
    </r>
  </si>
  <si>
    <r>
      <t>Load Balancer</t>
    </r>
    <r>
      <rPr>
        <i/>
        <sz val="12"/>
        <color theme="1"/>
        <rFont val="Arial"/>
        <family val="2"/>
      </rPr>
      <t xml:space="preserve"> (HTTP Redirect Virtual Server)</t>
    </r>
  </si>
  <si>
    <r>
      <t xml:space="preserve">Application Profile </t>
    </r>
    <r>
      <rPr>
        <i/>
        <sz val="12"/>
        <color theme="1"/>
        <rFont val="Arial"/>
        <family val="2"/>
      </rPr>
      <t>(HTTP Redirect Virtual Server)</t>
    </r>
  </si>
  <si>
    <t>wsa-http-app-profile-redirect</t>
  </si>
  <si>
    <t>Create a Service Monitor for VMware Aria Automation in the Recovery VMware Cloud Foundation Instance</t>
  </si>
  <si>
    <t>vra-http-monitor</t>
  </si>
  <si>
    <t>Create a Server Pool for VMware Aria Automation in the Recovery VMware Cloud Foundation Instance</t>
  </si>
  <si>
    <t>vra-server-pool</t>
  </si>
  <si>
    <r>
      <t xml:space="preserve">Name </t>
    </r>
    <r>
      <rPr>
        <i/>
        <sz val="12"/>
        <color theme="1"/>
        <rFont val="Arial"/>
        <family val="2"/>
      </rPr>
      <t>(Member 1)</t>
    </r>
  </si>
  <si>
    <t>vra01svr01a</t>
  </si>
  <si>
    <r>
      <t xml:space="preserve">Name </t>
    </r>
    <r>
      <rPr>
        <i/>
        <sz val="12"/>
        <color theme="1"/>
        <rFont val="Arial"/>
        <family val="2"/>
      </rPr>
      <t>(Member 2)</t>
    </r>
  </si>
  <si>
    <t>vra01svr01b</t>
  </si>
  <si>
    <r>
      <t>Name</t>
    </r>
    <r>
      <rPr>
        <i/>
        <sz val="12"/>
        <color theme="1"/>
        <rFont val="Arial"/>
        <family val="2"/>
      </rPr>
      <t xml:space="preserve"> (Member 3)</t>
    </r>
  </si>
  <si>
    <t>vra01svr01c</t>
  </si>
  <si>
    <t>Create Application Profiles for VMware Aria Automation in the Recovery VMware Cloud Foundation Instance</t>
  </si>
  <si>
    <t>vra-tcp-app-profile</t>
  </si>
  <si>
    <t>vra-http-app-profile-redirect</t>
  </si>
  <si>
    <t>Create Virtual Servers for VMware Aria Automation in the Recovery VMware Cloud Foundation Instance</t>
  </si>
  <si>
    <t>vra-https</t>
  </si>
  <si>
    <r>
      <t>IP Address</t>
    </r>
    <r>
      <rPr>
        <i/>
        <sz val="12"/>
        <color theme="1"/>
        <rFont val="Arial"/>
        <family val="2"/>
      </rPr>
      <t xml:space="preserve"> (HTTPS Virtual Server)</t>
    </r>
  </si>
  <si>
    <r>
      <t>Server Pool</t>
    </r>
    <r>
      <rPr>
        <i/>
        <sz val="12"/>
        <color theme="1"/>
        <rFont val="Arial"/>
        <family val="2"/>
      </rPr>
      <t xml:space="preserve"> (HTTPS Virtual Server)</t>
    </r>
  </si>
  <si>
    <r>
      <t xml:space="preserve">Application Profile </t>
    </r>
    <r>
      <rPr>
        <i/>
        <sz val="12"/>
        <color theme="1"/>
        <rFont val="Arial"/>
        <family val="2"/>
      </rPr>
      <t>(HTTPS Virtual Server)</t>
    </r>
  </si>
  <si>
    <r>
      <t>Name</t>
    </r>
    <r>
      <rPr>
        <i/>
        <sz val="12"/>
        <color theme="1"/>
        <rFont val="Arial"/>
        <family val="2"/>
      </rPr>
      <t xml:space="preserve"> (HTTP Redirect Virtual Server)</t>
    </r>
  </si>
  <si>
    <t>vra-http-redirect</t>
  </si>
  <si>
    <r>
      <t>Application Profile</t>
    </r>
    <r>
      <rPr>
        <i/>
        <sz val="12"/>
        <color theme="1"/>
        <rFont val="Arial"/>
        <family val="2"/>
      </rPr>
      <t xml:space="preserve"> (HTTP Redirect Virtual Server)</t>
    </r>
  </si>
  <si>
    <t>Implementation of vSphere Replication for the VI Workload Domain</t>
  </si>
  <si>
    <t>Create a Virtual Machine Folder for vSphere Replication</t>
  </si>
  <si>
    <t>Deploy vSphere Replication</t>
  </si>
  <si>
    <t>Virtual Machine Name</t>
  </si>
  <si>
    <t>Folder</t>
  </si>
  <si>
    <t>Compute Resource</t>
  </si>
  <si>
    <t>Network 1</t>
  </si>
  <si>
    <r>
      <t>Password</t>
    </r>
    <r>
      <rPr>
        <i/>
        <sz val="12"/>
        <color theme="1"/>
        <rFont val="Arial"/>
        <family val="2"/>
      </rPr>
      <t xml:space="preserve"> (Initial Root)</t>
    </r>
  </si>
  <si>
    <r>
      <t xml:space="preserve">Password </t>
    </r>
    <r>
      <rPr>
        <i/>
        <sz val="12"/>
        <color theme="1"/>
        <rFont val="Arial"/>
        <family val="2"/>
      </rPr>
      <t>(Initial Admin)</t>
    </r>
  </si>
  <si>
    <t>Domain Search</t>
  </si>
  <si>
    <t>Domain Name Servers</t>
  </si>
  <si>
    <t>Network 1 IP Address</t>
  </si>
  <si>
    <t>Network 1 IP Netprefix</t>
  </si>
  <si>
    <t>Replace the Certificate of vSphere Replication</t>
  </si>
  <si>
    <t>&lt;vrms_fqdn&gt;</t>
  </si>
  <si>
    <r>
      <t xml:space="preserve">Password </t>
    </r>
    <r>
      <rPr>
        <i/>
        <sz val="12"/>
        <color theme="1"/>
        <rFont val="Arial"/>
        <family val="2"/>
      </rPr>
      <t>(P12 Cert File)</t>
    </r>
  </si>
  <si>
    <t>Register vSphere Replication with vCenter Single Sign-On</t>
  </si>
  <si>
    <t>PSC host name</t>
  </si>
  <si>
    <t>Administrator email</t>
  </si>
  <si>
    <t>Local Host</t>
  </si>
  <si>
    <t>Create a Port Group for vSphere Replication Traffic</t>
  </si>
  <si>
    <t>distributed_switch</t>
  </si>
  <si>
    <t>vSphere Replication Network</t>
  </si>
  <si>
    <t>Add a Network Adapter and Configure Static Routes for vSphere Replication</t>
  </si>
  <si>
    <t>vsphere_replication_appliance</t>
  </si>
  <si>
    <t>New network</t>
  </si>
  <si>
    <t>vrms_fqdn</t>
  </si>
  <si>
    <t>IPv4 Address (eth1)</t>
  </si>
  <si>
    <t>Ipv4 address prefix (eth1)</t>
  </si>
  <si>
    <t>IPv4 gateway (eth1)</t>
  </si>
  <si>
    <t>IP Address for incoming Storage Traffic</t>
  </si>
  <si>
    <t>source_vrms_network_gateway</t>
  </si>
  <si>
    <t>target_vrms_network_cidr</t>
  </si>
  <si>
    <t>Create a VMkernel Adapter on the ESXi Hosts for vSphere Replication Traffic</t>
  </si>
  <si>
    <t>Availability Zone 1 Hosts</t>
  </si>
  <si>
    <t>vSphere Replication IP (ESXi Host 1)</t>
  </si>
  <si>
    <t>vSphere Replication IP (ESXi Host 2)</t>
  </si>
  <si>
    <t>vSphere Replication IP (ESXi Host 3)</t>
  </si>
  <si>
    <t>vSphere Replication IP (ESXi Host 4)</t>
  </si>
  <si>
    <t>vSphere Replication IP (ESXi Host 5)</t>
  </si>
  <si>
    <t>vSphere Replication IP (ESXi Host 6)</t>
  </si>
  <si>
    <t>vSphere Replication IP (ESXi Host 7)</t>
  </si>
  <si>
    <t>vSphere Replication IP (ESXi Host 8)</t>
  </si>
  <si>
    <t>vSphere Replication IP (ESXi Host 9)</t>
  </si>
  <si>
    <t>vSphere Replication IP (ESXi Host 10)</t>
  </si>
  <si>
    <t>vSphere Replication IP (ESXi Host 11)</t>
  </si>
  <si>
    <t>vSphere Replication IP (ESXi Host 12)</t>
  </si>
  <si>
    <t>vSphere Replication IP (ESXi Host 13)</t>
  </si>
  <si>
    <t>vSphere Replication IP (ESXi Host 14)</t>
  </si>
  <si>
    <t>vSphere Replication IP (ESXi Host 15)</t>
  </si>
  <si>
    <t>vSphere Replication IP (ESXi Host 16)</t>
  </si>
  <si>
    <t>Availability Zone 2 Hosts</t>
  </si>
  <si>
    <t>Configure ESXi Host Static Routes for vSphere Replication</t>
  </si>
  <si>
    <r>
      <t>&lt;host_fqdn&gt;</t>
    </r>
    <r>
      <rPr>
        <i/>
        <sz val="12"/>
        <color theme="1"/>
        <rFont val="Arial"/>
        <family val="2"/>
      </rPr>
      <t xml:space="preserve"> (Host 1)</t>
    </r>
  </si>
  <si>
    <r>
      <t>source_vrms_network_gateway</t>
    </r>
    <r>
      <rPr>
        <i/>
        <sz val="12"/>
        <color theme="1"/>
        <rFont val="Arial"/>
        <family val="2"/>
      </rPr>
      <t xml:space="preserve"> (Host 1)</t>
    </r>
  </si>
  <si>
    <r>
      <t xml:space="preserve">target_vrms_network_cidr </t>
    </r>
    <r>
      <rPr>
        <i/>
        <sz val="12"/>
        <color theme="1"/>
        <rFont val="Arial"/>
        <family val="2"/>
      </rPr>
      <t>(Host 1)</t>
    </r>
  </si>
  <si>
    <r>
      <t xml:space="preserve">&lt;host_fqdn&gt; </t>
    </r>
    <r>
      <rPr>
        <i/>
        <sz val="12"/>
        <color theme="1"/>
        <rFont val="Arial"/>
        <family val="2"/>
      </rPr>
      <t>(Host 2)</t>
    </r>
  </si>
  <si>
    <r>
      <t>source_vrms_network_gateway</t>
    </r>
    <r>
      <rPr>
        <i/>
        <sz val="12"/>
        <color theme="1"/>
        <rFont val="Arial"/>
        <family val="2"/>
      </rPr>
      <t xml:space="preserve"> (Host 2)</t>
    </r>
  </si>
  <si>
    <r>
      <t>target_vrms_network_cidr</t>
    </r>
    <r>
      <rPr>
        <i/>
        <sz val="12"/>
        <color theme="1"/>
        <rFont val="Arial"/>
        <family val="2"/>
      </rPr>
      <t xml:space="preserve"> (Host 2)</t>
    </r>
  </si>
  <si>
    <r>
      <t xml:space="preserve">&lt;host_fqdn&gt; </t>
    </r>
    <r>
      <rPr>
        <i/>
        <sz val="12"/>
        <color theme="1"/>
        <rFont val="Arial"/>
        <family val="2"/>
      </rPr>
      <t>(Host 3)</t>
    </r>
  </si>
  <si>
    <r>
      <t>source_vrms_network_gateway</t>
    </r>
    <r>
      <rPr>
        <i/>
        <sz val="12"/>
        <color theme="1"/>
        <rFont val="Arial"/>
        <family val="2"/>
      </rPr>
      <t xml:space="preserve"> (Host 3)</t>
    </r>
  </si>
  <si>
    <r>
      <t xml:space="preserve">target_vrms_network_cidr </t>
    </r>
    <r>
      <rPr>
        <i/>
        <sz val="12"/>
        <color theme="1"/>
        <rFont val="Arial"/>
        <family val="2"/>
      </rPr>
      <t>(Host 3)</t>
    </r>
  </si>
  <si>
    <r>
      <t xml:space="preserve">&lt;host_fqdn&gt; </t>
    </r>
    <r>
      <rPr>
        <i/>
        <sz val="12"/>
        <color theme="1"/>
        <rFont val="Arial"/>
        <family val="2"/>
      </rPr>
      <t>(Host 4)</t>
    </r>
  </si>
  <si>
    <r>
      <t>source_vrms_network_gateway</t>
    </r>
    <r>
      <rPr>
        <i/>
        <sz val="12"/>
        <color theme="1"/>
        <rFont val="Arial"/>
        <family val="2"/>
      </rPr>
      <t xml:space="preserve"> (Host 4)</t>
    </r>
  </si>
  <si>
    <r>
      <t xml:space="preserve">target_vrms_network_cidr </t>
    </r>
    <r>
      <rPr>
        <i/>
        <sz val="12"/>
        <color theme="1"/>
        <rFont val="Arial"/>
        <family val="2"/>
      </rPr>
      <t>(Host 4)</t>
    </r>
  </si>
  <si>
    <t>Implementation of Site Recovery Manager for the VI Workload Domain</t>
  </si>
  <si>
    <t>Create a Virtual Machine Folder for Site Recovery Manager</t>
  </si>
  <si>
    <t>Deploy Site Recovery Manager</t>
  </si>
  <si>
    <t>&lt;management_vcenter_server_fqdn&gt;</t>
  </si>
  <si>
    <r>
      <t xml:space="preserve">Password </t>
    </r>
    <r>
      <rPr>
        <i/>
        <sz val="12"/>
        <color theme="1"/>
        <rFont val="Arial"/>
        <family val="2"/>
      </rPr>
      <t>(Initial Database)</t>
    </r>
  </si>
  <si>
    <t>Replace the Certificate of Site Recovery Manager</t>
  </si>
  <si>
    <t>&lt;srm_fqdn&gt;</t>
  </si>
  <si>
    <t>Register Site Recovery Manager with vCenter Single Sign-On</t>
  </si>
  <si>
    <t>Assign Licenses to Site Recovery Manager</t>
  </si>
  <si>
    <t>Enter license keys</t>
  </si>
  <si>
    <t>License name</t>
  </si>
  <si>
    <t>Asset</t>
  </si>
  <si>
    <t>License</t>
  </si>
  <si>
    <t>Protection Site Configuration Tasks</t>
  </si>
  <si>
    <t>Create a Site Pair between Protected and the Recovery VMware Cloud Foundation Instances</t>
  </si>
  <si>
    <t>Local vCenter Server Instance</t>
  </si>
  <si>
    <t>Pair Type</t>
  </si>
  <si>
    <t>Pair with a peer vCenter Server located in the same SSO domain</t>
  </si>
  <si>
    <t>vCenter Server you want to pair</t>
  </si>
  <si>
    <t xml:space="preserve">        VMware Cloud Foundation Layer Cluster Deployment </t>
  </si>
  <si>
    <t>Initial Host Configuring - Rack 2</t>
  </si>
  <si>
    <t>Create Network Pool - Rack 2</t>
  </si>
  <si>
    <t xml:space="preserve">VCF Network Pool Type </t>
  </si>
  <si>
    <t>Start IP of vMotion Network Pool Range</t>
  </si>
  <si>
    <t>End IP of vMotion Network Pool Range</t>
  </si>
  <si>
    <t>Start IP of vSAN Network Pool Range</t>
  </si>
  <si>
    <t>End IP of vSAN Network Pool Range</t>
  </si>
  <si>
    <t>Commission Hosts - Rack 2</t>
  </si>
  <si>
    <t>Rack Profiles - Rack 2</t>
  </si>
  <si>
    <t xml:space="preserve">NSX Host Overlay Static IP Pool Type </t>
  </si>
  <si>
    <t>NSX Edge Overlay Network Pool Name</t>
  </si>
  <si>
    <t>NSX RTEP IP Pool Name</t>
  </si>
  <si>
    <t>Host Overlay Network - Rack 2</t>
  </si>
  <si>
    <t>Start IP of Host Overlay Network Pool Range</t>
  </si>
  <si>
    <t>End IP of Host Overlay Network Pool Range</t>
  </si>
  <si>
    <t>Initial Host Configuring - Rack 3</t>
  </si>
  <si>
    <t>Create Network Pool - Rack 3</t>
  </si>
  <si>
    <t>Commission Hosts - Rack 3</t>
  </si>
  <si>
    <t>Rack Profiles - Rack 3</t>
  </si>
  <si>
    <t>Host Overlay Network - Rack 3</t>
  </si>
  <si>
    <t>Initial Host Configuring - Rack 4</t>
  </si>
  <si>
    <t>Create Network Pool - Rack 4</t>
  </si>
  <si>
    <t>Start IP of the vMotion Network Pool Range</t>
  </si>
  <si>
    <t>End IP of the vMotion Network Pool Range</t>
  </si>
  <si>
    <t>Commission Hosts - Rack 4</t>
  </si>
  <si>
    <t>Rack Profiles - Rack 4</t>
  </si>
  <si>
    <t>Host Overlay Network - Rack 4</t>
  </si>
  <si>
    <t>End IP of  Host Overlay Network Pool Range</t>
  </si>
  <si>
    <t>Initial Host Configuring - Rack 5</t>
  </si>
  <si>
    <t>Create Network Pool - Rack 5</t>
  </si>
  <si>
    <t>Commission Hosts - Rack 5</t>
  </si>
  <si>
    <t>Rack Profiles - Rack 5</t>
  </si>
  <si>
    <t>Host Overlay Network - Rack 5</t>
  </si>
  <si>
    <t>Initial Host Configuring - Rack 6</t>
  </si>
  <si>
    <t>Create Network Pool - Rack 6</t>
  </si>
  <si>
    <t>Commission Hosts - Rack 6</t>
  </si>
  <si>
    <t>Rack Profiles - Rack 6</t>
  </si>
  <si>
    <t>Host Overlay Network - Rack 6</t>
  </si>
  <si>
    <t>Initial Host Configuring - Rack 7</t>
  </si>
  <si>
    <t>Create Network Pool - Rack 7</t>
  </si>
  <si>
    <t>Commission Hosts - Rack 7</t>
  </si>
  <si>
    <t>Rack Profiles - Rack 7</t>
  </si>
  <si>
    <t>Host Overlay Network - Rack 7</t>
  </si>
  <si>
    <t>Start IP of the Host Overlay Network Pool Range</t>
  </si>
  <si>
    <t>End IP of the Host Overlay Network Pool Range</t>
  </si>
  <si>
    <t>Initial Host Configuring - Rack 8</t>
  </si>
  <si>
    <t>Create Network Pool - Rack 8</t>
  </si>
  <si>
    <t>Start IP of the vSAN Network Pool Range</t>
  </si>
  <si>
    <t>End IP of the vSAN Network Pool Range</t>
  </si>
  <si>
    <t>Commission Hosts - Rack 8</t>
  </si>
  <si>
    <t>Rack Profiles - Rack 8</t>
  </si>
  <si>
    <t>Host Overlay Network - Rack 8</t>
  </si>
  <si>
    <t>Solution Interoperability</t>
  </si>
  <si>
    <t>Reconfigure DNS and Domain Search on the VCF Operations Fleet Management Appliance for Site Protection and Disaster Recovery for VMware Cloud Foundation</t>
  </si>
  <si>
    <t>&lt;vcf_operations_fm_fqdn&gt;</t>
  </si>
  <si>
    <t>10-eth0-static.network</t>
  </si>
  <si>
    <t>resolved.conf</t>
  </si>
  <si>
    <t>Domains</t>
  </si>
  <si>
    <t>Reconfigure NTP on the VCF Operations Fleet Management Appliance for Site Protection and Disaster Recovery for VMware Cloud Foundation</t>
  </si>
  <si>
    <t>&lt;vcf_operations_primary_node_fqdn&gt;</t>
  </si>
  <si>
    <t>VCF NTP Server 2</t>
  </si>
  <si>
    <t>FQDN / IP Address</t>
  </si>
  <si>
    <t>Reconfigure DNS and Domain Search on VCF Operations Nodes for Site Protection and Disaster Recovery for VMware Cloud Foundation</t>
  </si>
  <si>
    <t>Reconfigure NTP on the VCF Operations Cluster Nodes for Site Protection and Disaster Recovery for VMware Cloud Foundation</t>
  </si>
  <si>
    <t>NTP Server Address</t>
  </si>
  <si>
    <t>Reconfigure NTP on the VCF Operations for logs Nodes for Site Protection and Disaster Recovery for VMware Cloud Foundation</t>
  </si>
  <si>
    <t>Reconfigure NTP on the VCF Operations for networks Nodes for Site Protection and Disaster Recovery for VMware Cloud Foundation</t>
  </si>
  <si>
    <t>Reconfigure DNS on VCF Automation for Site Protection and Disaster Recovery for VMware Cloud Foundation</t>
  </si>
  <si>
    <t>&lt;vcf_operations_fqdn&gt;</t>
  </si>
  <si>
    <t>Components</t>
  </si>
  <si>
    <t>automation</t>
  </si>
  <si>
    <t>DNS Server</t>
  </si>
  <si>
    <t>Reconfigure NTP on VCF Automation for Site Protection and Disaster Recovery for VMware Cloud Foundation</t>
  </si>
  <si>
    <t>&lt;aria_automation_node_fqdn&gt; (1st Node)</t>
  </si>
  <si>
    <t>&lt;ntp_server_list&gt;</t>
  </si>
  <si>
    <t>Reconfigure DNS on VCF Identity Broker for Site Protection and Disaster Recovery for VMware Cloud Foundation</t>
  </si>
  <si>
    <t>identity broker</t>
  </si>
  <si>
    <t>Reconfigure NTP on VCF Identity Broker for Site Protection and Disaster Recovery for VMware Cloud Foundation</t>
  </si>
  <si>
    <t>Implementation of vSphere Replication for the Management Domain</t>
  </si>
  <si>
    <t>Deploy VMware Live Recovery for Site Protection and Disaster Recovery for VMware Cloud Foundation</t>
  </si>
  <si>
    <t>Management Interface for vSphere Replication in Management Domain</t>
  </si>
  <si>
    <t>Replace the Certificate of VMware Live Recovery for Site Protection and Disaster Recovery for VMware Cloud Foundation</t>
  </si>
  <si>
    <t>Organization unit</t>
  </si>
  <si>
    <t>IP addresses</t>
  </si>
  <si>
    <t>Certificate file</t>
  </si>
  <si>
    <t>csr.pem</t>
  </si>
  <si>
    <t>Create vCenter Single Sign-On User for Registering VMware Live Recovery for Site Protection and Disaster Recovery for VMware Cloud Foundation</t>
  </si>
  <si>
    <t>&lt;protected_vcenter_fqdn&gt;</t>
  </si>
  <si>
    <t>vsphere.local</t>
  </si>
  <si>
    <t>Username (vSphere Replication User)</t>
  </si>
  <si>
    <t>Password (vSphere Replication User)</t>
  </si>
  <si>
    <t>Assign vCenter Single Sign-On User with Group Role for Site Protection and Disaster Recovery for VMware Cloud Foundation</t>
  </si>
  <si>
    <t>user</t>
  </si>
  <si>
    <t>Register VMware Live Recovery with vCenter Single Sign-On for Site Protection and Disaster Recovery for VMware Cloud Foundation</t>
  </si>
  <si>
    <t>&lt;vlr_fqdn&gt;</t>
  </si>
  <si>
    <t>Create a Port Group for vSphere Replication Traffic for Site Protection and Disaster Recovery for VMware Cloud Foundation</t>
  </si>
  <si>
    <t>Create a VMkernel Adapter on the ESX Hosts for vSphere Replication Traffic for Site Protection and Disaster Recovery for VMware Cloud Foundation</t>
  </si>
  <si>
    <t>vSphere Replication IP (ESX Host 1)</t>
  </si>
  <si>
    <t>vSphere Replication IP (ESX Host 2)</t>
  </si>
  <si>
    <t>vSphere Replication IP (ESX Host 3)</t>
  </si>
  <si>
    <t>vSphere Replication IP (ESX Host 4)</t>
  </si>
  <si>
    <t>vSphere Replication IP (ESX Host 5)</t>
  </si>
  <si>
    <t>vSphere Replication IP (ESX Host 6)</t>
  </si>
  <si>
    <t>vSphere Replication IP (ESX Host 7)</t>
  </si>
  <si>
    <t>vSphere Replication IP (ESX Host 8)</t>
  </si>
  <si>
    <t>vSphere Replication IP (ESX Host 9)</t>
  </si>
  <si>
    <t>vSphere Replication IP (ESX Host 10)</t>
  </si>
  <si>
    <t>vSphere Replication IP (ESX Host 11)</t>
  </si>
  <si>
    <t>vSphere Replication IP (ESX Host 12)</t>
  </si>
  <si>
    <t>vSphere Replication IP (ESX Host 13)</t>
  </si>
  <si>
    <t>vSphere Replication IP (ESX Host 14)</t>
  </si>
  <si>
    <t>vSphere Replication IP (ESX Host 15)</t>
  </si>
  <si>
    <t>vSphere Replication IP (ESX Host 16)</t>
  </si>
  <si>
    <t>Protected Site Configuration Tasks for Site Protection and Disaster Recovery for VMware Cloud Foundation</t>
  </si>
  <si>
    <t>Create a Site Pair Between the Protected and Recovery VMware Cloud Foundation Instances</t>
  </si>
  <si>
    <t>&lt;management_vcenter_fqdn&gt;</t>
  </si>
  <si>
    <t>Assign Licenses to VMware Live Recovery using Offline Mode for Site Protection and Disaster Recovery for VMware Cloud Foundation</t>
  </si>
  <si>
    <t>Live Site Recovery Server</t>
  </si>
  <si>
    <t>Change request key</t>
  </si>
  <si>
    <t>XXXXX-XXXXX-XXXXX-XXXXX</t>
  </si>
  <si>
    <t>License Ley</t>
  </si>
  <si>
    <t>Configure Mappings between the Protected and the Recovery VMware Cloud Foundation Instances</t>
  </si>
  <si>
    <t>Site Pair tile</t>
  </si>
  <si>
    <r>
      <t xml:space="preserve">Network Mapping </t>
    </r>
    <r>
      <rPr>
        <i/>
        <sz val="12"/>
        <color theme="1"/>
        <rFont val="Arial"/>
        <family val="2"/>
      </rPr>
      <t>(Protected Network)</t>
    </r>
  </si>
  <si>
    <r>
      <t xml:space="preserve">Network Mapping </t>
    </r>
    <r>
      <rPr>
        <i/>
        <sz val="12"/>
        <color theme="1"/>
        <rFont val="Arial"/>
        <family val="2"/>
      </rPr>
      <t>(Recovery Network)</t>
    </r>
  </si>
  <si>
    <r>
      <t xml:space="preserve">Folder Mapping </t>
    </r>
    <r>
      <rPr>
        <i/>
        <sz val="12"/>
        <color theme="1"/>
        <rFont val="Arial"/>
        <family val="2"/>
      </rPr>
      <t>(Protected Folder)</t>
    </r>
  </si>
  <si>
    <r>
      <t xml:space="preserve">Folder Mapping </t>
    </r>
    <r>
      <rPr>
        <i/>
        <sz val="12"/>
        <color theme="1"/>
        <rFont val="Arial"/>
        <family val="2"/>
      </rPr>
      <t>(Recovery Folder)</t>
    </r>
  </si>
  <si>
    <r>
      <t xml:space="preserve">Resource Mapping </t>
    </r>
    <r>
      <rPr>
        <i/>
        <sz val="12"/>
        <color theme="1"/>
        <rFont val="Arial"/>
        <family val="2"/>
      </rPr>
      <t>(Protected Cluster)</t>
    </r>
  </si>
  <si>
    <r>
      <t xml:space="preserve">Resource Mapping </t>
    </r>
    <r>
      <rPr>
        <i/>
        <sz val="12"/>
        <color theme="1"/>
        <rFont val="Arial"/>
        <family val="2"/>
      </rPr>
      <t>(Recovery Cluster)</t>
    </r>
  </si>
  <si>
    <t>Configure Replication, Create a Protection Group and a Recovery Plan for VCF Operations for Site Protection and Disaster Recovery for VMware Cloud Foundation</t>
  </si>
  <si>
    <t>Virtual Machine</t>
  </si>
  <si>
    <t>Target Datastore</t>
  </si>
  <si>
    <t>Recovery Point Objective (RPO)</t>
  </si>
  <si>
    <t>Protection Group Name</t>
  </si>
  <si>
    <t>VCF-OPS-PG</t>
  </si>
  <si>
    <t>Recovery Plan Name</t>
  </si>
  <si>
    <t>VCF-OPS-RP</t>
  </si>
  <si>
    <t>Customize the Recovery Plan for VCF Operations for Site Protection and Disaster Recovery for VMware Cloud Foundation</t>
  </si>
  <si>
    <t>recovery_plan_name</t>
  </si>
  <si>
    <t>Virtual Machine (VCF Operations fleet management Node)</t>
  </si>
  <si>
    <t>Virtual Machine (VCF Operations Primary Node)</t>
  </si>
  <si>
    <t>Virtual Machine (VCF Operations Replica Node)</t>
  </si>
  <si>
    <t>Virtual Machine (VCF Operations Data Node)</t>
  </si>
  <si>
    <t>Configure Replication, Create a Protection Group and a Recovery Plan for VCF Operations for Logs for Site Protection and Disaster Recovery for  VMware Cloud Foundation</t>
  </si>
  <si>
    <t>Virtual Machine (VCF Operations for logs Primary Node)</t>
  </si>
  <si>
    <t>Virtual Machine (VCF Operations for logs Worker Node1)</t>
  </si>
  <si>
    <t>Virtual Machine (VCF Operations for logs Worker Node2)</t>
  </si>
  <si>
    <t>VCF-OPS-LOGS-PG</t>
  </si>
  <si>
    <t>VCF-OPS-LOGS-RP</t>
  </si>
  <si>
    <t>Customize the Recovery Plan for VCF Operations for logs for Site Protection and Disaster Recovery for VMware Cloud Foundation</t>
  </si>
  <si>
    <t>Configure Replication, Create a Protection Group and a Recovery Plan for VCF Operations for Networks for Site Protection and Disaster Recovery for VMware Cloud Foundation</t>
  </si>
  <si>
    <t>Virtual Machine (Platform Node 1)</t>
  </si>
  <si>
    <t>Virtual Machine (Platform Node 2)</t>
  </si>
  <si>
    <t>Virtual Machine (Platform Node 3)</t>
  </si>
  <si>
    <t>VCF-OPS-NET-PG</t>
  </si>
  <si>
    <t>VCF-OPS-NET-RP</t>
  </si>
  <si>
    <t>Customize the Recovery Plan for VCF Operations for Networks for Site Protection and Disaster Recovery for VMware Cloud Foundation</t>
  </si>
  <si>
    <t>Create Anti-Affinity Rules for the Placeholder Virtual Machines in the Recovery VMware Cloud Foundation Instance</t>
  </si>
  <si>
    <t>Name (VCF Operations)</t>
  </si>
  <si>
    <t>anti-affinity-rule-vcf-operations</t>
  </si>
  <si>
    <t>Virtual Machine (VCF Operations Cluster Primary Node)</t>
  </si>
  <si>
    <t>Virtual Machine (VCF Operations Cluster Replica Node)</t>
  </si>
  <si>
    <t>Virtual Machine (VCF Operations Cluster Data Node)</t>
  </si>
  <si>
    <t>Name (VCF Operations for Logs)</t>
  </si>
  <si>
    <t>anti-affinity-rule-vcf-logs</t>
  </si>
  <si>
    <t>Virtual Machine (Primary Node)</t>
  </si>
  <si>
    <t>Virtual Machine (Worker Node1)</t>
  </si>
  <si>
    <t>Virtual Machine (Worker Node2)</t>
  </si>
  <si>
    <t>Name (VCF Operations for Networks)</t>
  </si>
  <si>
    <t>anti-affinity-rule-vcf-networks</t>
  </si>
  <si>
    <t>Virtual Machine (Platform Node1)</t>
  </si>
  <si>
    <t>Virtual Machine (Platform Node2)</t>
  </si>
  <si>
    <t>Virtual Machine (Platform Node3)</t>
  </si>
  <si>
    <t>Create Virtual Machine Groups and Restart Order in the Recovery VMware Cloud Foundation Instance</t>
  </si>
  <si>
    <t>VM/Host Groups</t>
  </si>
  <si>
    <t>VM/Host Rules</t>
  </si>
  <si>
    <r>
      <t xml:space="preserve">Name </t>
    </r>
    <r>
      <rPr>
        <sz val="12"/>
        <color theme="1"/>
        <rFont val="Helvetica"/>
        <family val="2"/>
      </rPr>
      <t>(VCF Operations for Logs)</t>
    </r>
  </si>
  <si>
    <r>
      <t>Virtual Machine</t>
    </r>
    <r>
      <rPr>
        <sz val="12"/>
        <color theme="1"/>
        <rFont val="Helvetica"/>
        <family val="2"/>
      </rPr>
      <t xml:space="preserve"> (Primary Node)</t>
    </r>
  </si>
  <si>
    <r>
      <t xml:space="preserve">Virtual Machine </t>
    </r>
    <r>
      <rPr>
        <sz val="12"/>
        <color theme="1"/>
        <rFont val="Helvetica"/>
        <family val="2"/>
      </rPr>
      <t>(Worker Node1)</t>
    </r>
  </si>
  <si>
    <r>
      <t xml:space="preserve">Virtual Machine </t>
    </r>
    <r>
      <rPr>
        <sz val="12"/>
        <color theme="1"/>
        <rFont val="Helvetica"/>
        <family val="2"/>
      </rPr>
      <t>(Worker Node2)</t>
    </r>
  </si>
  <si>
    <r>
      <t xml:space="preserve">Name </t>
    </r>
    <r>
      <rPr>
        <sz val="12"/>
        <color theme="1"/>
        <rFont val="Helvetica"/>
        <family val="2"/>
      </rPr>
      <t>(VCF Operations for Networks)</t>
    </r>
  </si>
  <si>
    <r>
      <t>Virtual Machine</t>
    </r>
    <r>
      <rPr>
        <sz val="12"/>
        <color theme="1"/>
        <rFont val="Helvetica"/>
        <family val="2"/>
      </rPr>
      <t xml:space="preserve"> (Platform Node1)</t>
    </r>
  </si>
  <si>
    <r>
      <t xml:space="preserve">Virtual Machine </t>
    </r>
    <r>
      <rPr>
        <sz val="12"/>
        <color theme="1"/>
        <rFont val="Helvetica"/>
        <family val="2"/>
      </rPr>
      <t>(Platform Node2)</t>
    </r>
  </si>
  <si>
    <r>
      <t>Virtual Machine</t>
    </r>
    <r>
      <rPr>
        <sz val="12"/>
        <color theme="1"/>
        <rFont val="Helvetica"/>
        <family val="2"/>
      </rPr>
      <t xml:space="preserve"> (Platform Node3)</t>
    </r>
  </si>
  <si>
    <t>Name (VCF Operations )</t>
  </si>
  <si>
    <t>vm-vm-rule-idb-operations</t>
  </si>
  <si>
    <t>Restart for VM group (VCF Operations Analytics Cluster)</t>
  </si>
  <si>
    <t>VM dependency restart condition</t>
  </si>
  <si>
    <t>flt-vm-group-idb</t>
  </si>
  <si>
    <t>Name (VCF Automation)</t>
  </si>
  <si>
    <t>vm-vm-rule-idb-automation</t>
  </si>
  <si>
    <t>Restart for VM group(VCF Automation)</t>
  </si>
  <si>
    <t>flt-vm-group-vcf-automation</t>
  </si>
  <si>
    <t>Operational Guidance for Site Protection and Disaster Recovery for VMware Cloud Foundation</t>
  </si>
  <si>
    <t>Initiate a Planned Recovery of VCF Identity Broker for Site Protection and Disaster Recovery for VMware Cloud Foundation</t>
  </si>
  <si>
    <t>Infrastructure</t>
  </si>
  <si>
    <t>Certificate</t>
  </si>
  <si>
    <t>Cluster Virtual IP - FQDN</t>
  </si>
  <si>
    <t>Cluster Node IP Pool(IP or range, depending on the type of deployment)</t>
  </si>
  <si>
    <t>Initiate a Planned Recovery of VCF Automation for Site Protection and Disaster Recovery for VMware Cloud Foundation</t>
  </si>
  <si>
    <t>lax-m01-vc01.lax.rainpole.io</t>
  </si>
  <si>
    <t>lax-m01-cl01</t>
  </si>
  <si>
    <t>lax-m01-cl01-ds-vsan01</t>
  </si>
  <si>
    <t>Initiate a Disaster Recovery of VCF Identity Broker for Site Protection and Disaster Recovery for VMware Cloud Foundation</t>
  </si>
  <si>
    <t>Initiate a Disaster Recovery of VCF Automation for Site Protection and Disaster Recovery for VMware Cloud Foundation</t>
  </si>
  <si>
    <t>Create vSphere Single Sign-On Users for Integration with VMware Cloud Foundation Operations for Site Protection and Disaster Recovery for VMware Cloud Foundation</t>
  </si>
  <si>
    <r>
      <t xml:space="preserve">Username </t>
    </r>
    <r>
      <rPr>
        <i/>
        <sz val="12"/>
        <color theme="1"/>
        <rFont val="Arial"/>
        <family val="2"/>
      </rPr>
      <t>(VMware Live Site Recovery)</t>
    </r>
  </si>
  <si>
    <t>svc-vcfops-vlsr</t>
  </si>
  <si>
    <r>
      <t xml:space="preserve">Password </t>
    </r>
    <r>
      <rPr>
        <i/>
        <sz val="12"/>
        <color theme="1"/>
        <rFont val="Arial"/>
        <family val="2"/>
      </rPr>
      <t>(VMware Live Site Recovery)</t>
    </r>
  </si>
  <si>
    <r>
      <t xml:space="preserve">Username </t>
    </r>
    <r>
      <rPr>
        <i/>
        <sz val="12"/>
        <color theme="1"/>
        <rFont val="Arial"/>
        <family val="2"/>
      </rPr>
      <t>(vSphere Replication User)</t>
    </r>
  </si>
  <si>
    <t>svc-vcfops-vr</t>
  </si>
  <si>
    <r>
      <t xml:space="preserve">Password </t>
    </r>
    <r>
      <rPr>
        <i/>
        <sz val="12"/>
        <color theme="1"/>
        <rFont val="Arial"/>
        <family val="2"/>
      </rPr>
      <t>(vSphere Replication User)</t>
    </r>
  </si>
  <si>
    <t>Configure Service Account Permissions in vSphere for Integration with VMware Cloud Foundation Operations for VMware Cloud Foundation</t>
  </si>
  <si>
    <r>
      <t xml:space="preserve">User/Group </t>
    </r>
    <r>
      <rPr>
        <sz val="12"/>
        <color theme="1"/>
        <rFont val="Arial"/>
        <family val="2"/>
      </rPr>
      <t>(VMware Live Site Recovery User)</t>
    </r>
  </si>
  <si>
    <r>
      <t xml:space="preserve">Role </t>
    </r>
    <r>
      <rPr>
        <i/>
        <sz val="12"/>
        <color theme="1"/>
        <rFont val="Arial"/>
        <family val="2"/>
      </rPr>
      <t>(VMware Live Site Recovery User)</t>
    </r>
  </si>
  <si>
    <t>Read-Only</t>
  </si>
  <si>
    <r>
      <t xml:space="preserve">User/Group </t>
    </r>
    <r>
      <rPr>
        <i/>
        <sz val="12"/>
        <color theme="1"/>
        <rFont val="Arial"/>
        <family val="2"/>
      </rPr>
      <t>(vSphere Replication User)</t>
    </r>
  </si>
  <si>
    <r>
      <t xml:space="preserve">Role </t>
    </r>
    <r>
      <rPr>
        <i/>
        <sz val="12"/>
        <color theme="1"/>
        <rFont val="Arial"/>
        <family val="2"/>
      </rPr>
      <t>(vSphere Replication User)</t>
    </r>
  </si>
  <si>
    <t>VRM replication viewer</t>
  </si>
  <si>
    <t>Install the VMware Cloud Foundation Operations Management Packs for VMware Live Site Recovery for Site Protection and Disaster Recovery for VMware Cloud Foundation</t>
  </si>
  <si>
    <t>&lt;aria_operations_fqdn&gt;</t>
  </si>
  <si>
    <t>Management Pack</t>
  </si>
  <si>
    <t>vlsrAdapterPak-build_number.pak</t>
  </si>
  <si>
    <t>Add VMware Live Site Recovery Adapter Instances to VMware Cloud Foundation Operations for Site Protection and Disaster Recovery for VMware Cloud Foundation</t>
  </si>
  <si>
    <r>
      <t xml:space="preserve">Name </t>
    </r>
    <r>
      <rPr>
        <i/>
        <sz val="12"/>
        <color theme="1"/>
        <rFont val="Arial"/>
        <family val="2"/>
      </rPr>
      <t>(Management Domain)</t>
    </r>
  </si>
  <si>
    <r>
      <t>Site Recovery Manager Host</t>
    </r>
    <r>
      <rPr>
        <i/>
        <sz val="12"/>
        <color theme="1"/>
        <rFont val="Arial"/>
        <family val="2"/>
      </rPr>
      <t xml:space="preserve"> (Management Domain)</t>
    </r>
  </si>
  <si>
    <r>
      <t xml:space="preserve">Site Recovery Manager Port </t>
    </r>
    <r>
      <rPr>
        <i/>
        <sz val="12"/>
        <color theme="1"/>
        <rFont val="Arial"/>
        <family val="2"/>
      </rPr>
      <t>(Management Domain)</t>
    </r>
  </si>
  <si>
    <r>
      <t xml:space="preserve">Credential name </t>
    </r>
    <r>
      <rPr>
        <i/>
        <sz val="12"/>
        <color theme="1"/>
        <rFont val="Arial"/>
        <family val="2"/>
      </rPr>
      <t>(Management Domain)</t>
    </r>
  </si>
  <si>
    <r>
      <t xml:space="preserve">Use name </t>
    </r>
    <r>
      <rPr>
        <i/>
        <sz val="12"/>
        <color theme="1"/>
        <rFont val="Arial"/>
        <family val="2"/>
      </rPr>
      <t>(Management Domain)</t>
    </r>
  </si>
  <si>
    <r>
      <t xml:space="preserve">Password </t>
    </r>
    <r>
      <rPr>
        <i/>
        <sz val="12"/>
        <color theme="1"/>
        <rFont val="Arial"/>
        <family val="2"/>
      </rPr>
      <t>(Management Domain)</t>
    </r>
  </si>
  <si>
    <r>
      <t xml:space="preserve">Collector/Group </t>
    </r>
    <r>
      <rPr>
        <i/>
        <sz val="12"/>
        <color theme="1"/>
        <rFont val="Arial"/>
        <family val="2"/>
      </rPr>
      <t>(Management Domain)</t>
    </r>
  </si>
  <si>
    <t>Add vSphere Replication Adapter Instances to VMware Cloud Foundation Operations for Site Protection and Disaster Recovery for VMware Cloud Foundation</t>
  </si>
  <si>
    <r>
      <t xml:space="preserve">vCenter Server, where vSphere Replication is registered </t>
    </r>
    <r>
      <rPr>
        <i/>
        <sz val="12"/>
        <color theme="1"/>
        <rFont val="Arial"/>
        <family val="2"/>
      </rPr>
      <t>(Management Domain)</t>
    </r>
  </si>
  <si>
    <r>
      <t xml:space="preserve">User name </t>
    </r>
    <r>
      <rPr>
        <i/>
        <sz val="12"/>
        <color theme="1"/>
        <rFont val="Arial"/>
        <family val="2"/>
      </rPr>
      <t>(Management Domain)</t>
    </r>
  </si>
  <si>
    <t>Create Notifications in VMware Cloud Foundation Operations for Site Protection and Disaster Recovery for VMware Cloud Foundation</t>
  </si>
  <si>
    <t>Install and Configure the VCF Operations for logs Agent on the VMware Live Recovery Appliances for Site Protection and Disaster Recovery for VMware Cloud Foundation</t>
  </si>
  <si>
    <t>&lt;vcf_operations_logs_fqdn&gt;</t>
  </si>
  <si>
    <t>VLSR_environment_name</t>
  </si>
  <si>
    <t>SFO-M01-VLSR</t>
  </si>
  <si>
    <t>&lt;VR_environment_name&gt;</t>
  </si>
  <si>
    <t>SFO-M01-VR</t>
  </si>
  <si>
    <t>Deploy VMware Live Recovery for On-Premises Ransomware Recovery for VMware Cloud Foundation</t>
  </si>
  <si>
    <t>Password (Initial Root)</t>
  </si>
  <si>
    <t>Password (Initial Admin)</t>
  </si>
  <si>
    <t>Network 1 Prefix</t>
  </si>
  <si>
    <t>Replace the Certificate of VMware Live Recovery for On-Premises Ransomware Recovery for VMware Cloud Foundation</t>
  </si>
  <si>
    <t>Create vCenter Single Sign-On User for Registering VMware Live Recovery for On-Premises Ransomware Recovery for VMware Cloud Foundation</t>
  </si>
  <si>
    <t>Assign vCenter Single Sign-On User with Group Role for On-Premises Ransomware Recovery for VMware Cloud Foundation</t>
  </si>
  <si>
    <t>Register VMware Live Recovery with vCenter Single Sign-On for On-Premises Ransomware Recovery for VMware Cloud Foundation</t>
  </si>
  <si>
    <t>vrl-administrator@rainpole.io</t>
  </si>
  <si>
    <t>Create a Port Group for vSphere Replication Traffic for On-Premises Ransomware Recovery for VMware Cloud Foundation</t>
  </si>
  <si>
    <t>Create a VMkernel Adapter on the ESX Hosts for vSphere Replication Traffic for On-Premises Ransomware Recovery for VMware Cloud Foundation</t>
  </si>
  <si>
    <t>&lt;host_fqdn&gt; (Host 1)</t>
  </si>
  <si>
    <t>IPv4 address (Host 1)</t>
  </si>
  <si>
    <t>Subnet Mask (Host 1)</t>
  </si>
  <si>
    <t>&lt;host_fqdn&gt; (Host 2)</t>
  </si>
  <si>
    <t>IPv4 address (Host 2)</t>
  </si>
  <si>
    <t>Subnet Mask (Host 2)</t>
  </si>
  <si>
    <t>&lt;host_fqdn&gt; (Host 3)</t>
  </si>
  <si>
    <t>IPv4 address (Host 3)</t>
  </si>
  <si>
    <t>Subnet Mask (Host 3)</t>
  </si>
  <si>
    <t>&lt;host_fqdn&gt; (Host 4)</t>
  </si>
  <si>
    <t>IPv4 address (Host 4)</t>
  </si>
  <si>
    <t>Subnet Mask (Host 4)</t>
  </si>
  <si>
    <t>Configure ESX Host Static Routes for vSphere Replication for On-Premises Ransomware Recovery for VMware Cloud Foundation</t>
  </si>
  <si>
    <t>&lt;source_vrms_network_gateway&gt; (Host 1)</t>
  </si>
  <si>
    <t>&lt;target_vrms_network_cidr&gt; (Host 1)</t>
  </si>
  <si>
    <t>&lt;target_vlr_mgmt_network_cidr&gt; (Host 1)</t>
  </si>
  <si>
    <t>&lt;source_vrms_network_gateway&gt; (Host 2)</t>
  </si>
  <si>
    <t>&lt;target_vrms_network_cidr&gt; (Host 2)</t>
  </si>
  <si>
    <t>&lt;target_vlr_mgmt_network_cidr&gt; (Host 2)</t>
  </si>
  <si>
    <t>&lt;source_vrms_network_gateway&gt; (Host 3)</t>
  </si>
  <si>
    <t>&lt;target_vrms_network_cidr&gt; (Host 3)</t>
  </si>
  <si>
    <t>&lt;target_vlr_mgmt_network_cidr&gt; (Host 3)</t>
  </si>
  <si>
    <t>&lt;source_vrms_network_gateway&gt; (Host 4)</t>
  </si>
  <si>
    <t>&lt;target_vrms_network_cidr&gt; (Host 4)</t>
  </si>
  <si>
    <t>&lt;target_vlr_mgmt_network_cidr&gt; (Host 4)</t>
  </si>
  <si>
    <t>Add a Tier-1 Gateway, Network Segment, and Configure DHCP Service for On-Premises Ransomware Recovery for VMware Cloud Foundation</t>
  </si>
  <si>
    <t>&lt;nsx_manager_cluster_fqdn&gt;</t>
  </si>
  <si>
    <t>Add DHCP Profile</t>
  </si>
  <si>
    <t>DHCP Name</t>
  </si>
  <si>
    <t>tier1_dhcp_profile</t>
  </si>
  <si>
    <t>Profile Type</t>
  </si>
  <si>
    <t>DHCP Server</t>
  </si>
  <si>
    <t>Server IP Address</t>
  </si>
  <si>
    <t>192.168.90.2/24</t>
  </si>
  <si>
    <t>Edge cluster</t>
  </si>
  <si>
    <t>Add Tier-1 Gateways</t>
  </si>
  <si>
    <t>Add Segments</t>
  </si>
  <si>
    <t>Segment Name</t>
  </si>
  <si>
    <t>Connected Gateway</t>
  </si>
  <si>
    <t>Transport Zone</t>
  </si>
  <si>
    <t>Gateway CIDR IPV4</t>
  </si>
  <si>
    <t>192.168.90.1/24</t>
  </si>
  <si>
    <t>Set DHCP Config</t>
  </si>
  <si>
    <t>DHCP Profile</t>
  </si>
  <si>
    <t>DHCP server address</t>
  </si>
  <si>
    <t>192.168.90.3/24</t>
  </si>
  <si>
    <t>DHCP Ranges</t>
  </si>
  <si>
    <t>192.168.90.100-192.168.90.200</t>
  </si>
  <si>
    <t>Create a Virtual Machine Folder for Workload VMs for On-Premises Ransomware Recovery for VMware Cloud Foundation</t>
  </si>
  <si>
    <t>Data Center</t>
  </si>
  <si>
    <t>Protected Site Configuration Tasks for On-Premises Ransomware Recovery for VMware Cloud Foundation</t>
  </si>
  <si>
    <t>Create a Site Pair Between the Protected and Recovery Instances</t>
  </si>
  <si>
    <t>svc_lax-w01-vlr01_lax-w01-vc01@lax-w01.local</t>
  </si>
  <si>
    <t>Llicense key</t>
  </si>
  <si>
    <t>Configure Mappings between the Protected and the Recovery Instances</t>
  </si>
  <si>
    <t>Network Mapping (Protected Network)</t>
  </si>
  <si>
    <t>Network Mapping (Recovery Network)</t>
  </si>
  <si>
    <t xml:space="preserve">Compute Cluster </t>
  </si>
  <si>
    <t>Folder Mapping (Protected Folder)</t>
  </si>
  <si>
    <t>Folder Mapping (Recovery Folder)</t>
  </si>
  <si>
    <t>Resource Mapping (Protected Cluster)</t>
  </si>
  <si>
    <t>Resource Mapping (Recovery Cluster)</t>
  </si>
  <si>
    <t>Configure Replication, Create a Protection Group and a Recovery Plan for Workload VMs for On-Premises Ransomware Recovery for VMware Cloud Foundation</t>
  </si>
  <si>
    <t>workload-VM, ex: win2022</t>
  </si>
  <si>
    <t>24 Hours</t>
  </si>
  <si>
    <t xml:space="preserve">Value can be customized if required. </t>
  </si>
  <si>
    <t>Total instances</t>
  </si>
  <si>
    <t>workload PG</t>
  </si>
  <si>
    <t>workload RP</t>
  </si>
  <si>
    <t>Perform Recovery of a Business Critical Workloads for On-Premises Ransomware Recovery for VMware Cloud Foundation</t>
  </si>
  <si>
    <t>&lt;recovery_vcenter_fqdn&gt;</t>
  </si>
  <si>
    <t>Network adapter</t>
  </si>
  <si>
    <t>Create vSphere Single Sign-On Users for Integration with VCF Operations for On-Premises Ransomware Recovery for VMware Cloud Foundation</t>
  </si>
  <si>
    <t>Username (VMware Live Site Recovery)</t>
  </si>
  <si>
    <t>Password (VMware Live Site Recovery)</t>
  </si>
  <si>
    <t>Configure Service Account Permissions in vSphere for Integration with VCF Operations for VMware Cloud Foundation</t>
  </si>
  <si>
    <t>User/Group (VMware Live Site Recovery User)</t>
  </si>
  <si>
    <t>Role (VMware Live Site Recovery)</t>
  </si>
  <si>
    <t>User/Group (vSphere Replication User)</t>
  </si>
  <si>
    <t>Role (vSphere Replication User)</t>
  </si>
  <si>
    <t>Install the VCF Operations Management Packs for VMware Live Site Recovery for On-Premises Ransomware Recovery for VMware Cloud Foundation</t>
  </si>
  <si>
    <t>Management pack</t>
  </si>
  <si>
    <t>Add VMware Live Site Recovery Adapter Instances to VCF Operations for On-Premises Ransomware Recovery for VMware Cloud Foundation</t>
  </si>
  <si>
    <t>VMware Live Site Recovery Host</t>
  </si>
  <si>
    <t>VMware Live Site Recovery Port</t>
  </si>
  <si>
    <t>Credential name</t>
  </si>
  <si>
    <t>Collector/Group</t>
  </si>
  <si>
    <t>Add vSphere Replication Adapter Instances to VCF Operations for On-Premises Ransomware Recovery for VMware Cloud Foundation</t>
  </si>
  <si>
    <t>vCenter Server, where vSphere Replication is registered</t>
  </si>
  <si>
    <t>Create Notifications in VCF Operations for On-Premises Ransomware Recovery for VMware Cloud Foundation</t>
  </si>
  <si>
    <t xml:space="preserve">         VMware Cloud Foundation Management Domain Post-Deployment as Built </t>
  </si>
  <si>
    <t>NSX Network Connectivity for MGMT Workload Domain Reference Sheet</t>
  </si>
  <si>
    <t>NSX Routing for Managment Domain</t>
  </si>
  <si>
    <t>Management Domain BGP Requirements</t>
  </si>
  <si>
    <t>FQDNS</t>
  </si>
  <si>
    <t>Overlay IP Address #02 for Edge Node 1</t>
  </si>
  <si>
    <t>AVI Load Balancer Reference Sheet</t>
  </si>
  <si>
    <t>FQDNs</t>
  </si>
  <si>
    <t>Stretched Cluster Reference Sheet</t>
  </si>
  <si>
    <t>Witness Network</t>
  </si>
  <si>
    <t>Stretched L2</t>
  </si>
  <si>
    <t>ESX Hosts</t>
  </si>
  <si>
    <t xml:space="preserve">Should this be a different network </t>
  </si>
  <si>
    <t>RTEP Network</t>
  </si>
  <si>
    <t xml:space="preserve">         VMware Cloud Foundation Workload Domain Post-Deployment </t>
  </si>
  <si>
    <t>NSX Routing for Workload Domain</t>
  </si>
  <si>
    <t>Workload Domain BGP Requirements</t>
  </si>
  <si>
    <t>AVI Load Balancer</t>
  </si>
  <si>
    <t>Host Overlay</t>
  </si>
  <si>
    <t xml:space="preserve">          VMware Cloud Foundation Management Domain Post-Deployment </t>
  </si>
  <si>
    <t>MGMT Workload Domain Networking</t>
  </si>
  <si>
    <t>Management Domain VLAN and IP Subnet Requirements (Primary Availability Zone)</t>
  </si>
  <si>
    <t>Function</t>
  </si>
  <si>
    <t xml:space="preserve"> VLAN ID</t>
  </si>
  <si>
    <t>Network Cidr</t>
  </si>
  <si>
    <t xml:space="preserve"> Gateway</t>
  </si>
  <si>
    <t>Your MTU</t>
  </si>
  <si>
    <t>ESXi Management Network</t>
  </si>
  <si>
    <t xml:space="preserve">NSX Edge Uplink1 </t>
  </si>
  <si>
    <t>NSX Edge Uplink2</t>
  </si>
  <si>
    <t>Management Domain BGP Requirements (Primary Availability Zone)</t>
  </si>
  <si>
    <t>Management Domain VLAN and IP Subnet Requirements (Secondary Availability Zone)</t>
  </si>
  <si>
    <t xml:space="preserve">vSphere Replication </t>
  </si>
  <si>
    <t>Management Domain BGP Requirements (Secondary Availability Zone)</t>
  </si>
  <si>
    <t>Management Domain ESX Hosts Names and IP Addresss (Primary Availability Zone)</t>
  </si>
  <si>
    <t xml:space="preserve">MGMT IP Address </t>
  </si>
  <si>
    <t>Management Domain Virtula Machines Names and IP Addresss (Primary Availability Zone)</t>
  </si>
  <si>
    <t xml:space="preserve">IP Address </t>
  </si>
  <si>
    <t>NSX Manager Cluster</t>
  </si>
  <si>
    <t>NSX Manager #1</t>
  </si>
  <si>
    <t>NSX Manager #2</t>
  </si>
  <si>
    <t>NSX Manager #3</t>
  </si>
  <si>
    <t>NSX Edge #1</t>
  </si>
  <si>
    <t>NSX Edge #2</t>
  </si>
  <si>
    <t>VCF Operation primary</t>
  </si>
  <si>
    <t>VCF Operations LB</t>
  </si>
  <si>
    <t>VCF Automation - Node IP 1</t>
  </si>
  <si>
    <t>VCF Automation - Node IP 2</t>
  </si>
  <si>
    <t>VCF Automation - Node IP 3</t>
  </si>
  <si>
    <t>VCF Automation - Node IP 4</t>
  </si>
  <si>
    <t>VIDB - FQDN</t>
  </si>
  <si>
    <t>VIDB - Node IP 1</t>
  </si>
  <si>
    <t>VIDB - Node IP 2</t>
  </si>
  <si>
    <t>VIDB - Node IP 3</t>
  </si>
  <si>
    <t>VIDB - Node IP 4</t>
  </si>
  <si>
    <t>Witness Node</t>
  </si>
  <si>
    <t>Management Domain Naming and IP Addresss (Secondary Availability Zone)</t>
  </si>
  <si>
    <t>Workload Domain Networking</t>
  </si>
  <si>
    <t>Workload Domain  VLAN and IP Subnet Requirements (Primary Availability Zone)</t>
  </si>
  <si>
    <t xml:space="preserve">Network </t>
  </si>
  <si>
    <t>Workload Domain BGP Requirements (Primary Availability Zone)</t>
  </si>
  <si>
    <t>Workload Domain VLAN and IP Subnet Requirements (Secondary Availability Zone)</t>
  </si>
  <si>
    <t>Workload Domain BGP Requirements (Secondary Availability Zone)</t>
  </si>
  <si>
    <t>Workload Domain Naming and IP Addresss (Primary Availability Zone)</t>
  </si>
  <si>
    <t>Workload  Domain Naming and IP Addresss (Secondary Availability Zone)</t>
  </si>
  <si>
    <t>History</t>
  </si>
  <si>
    <t>Date</t>
  </si>
  <si>
    <t xml:space="preserve">Details </t>
  </si>
  <si>
    <t>- Initial Release</t>
  </si>
  <si>
    <t xml:space="preserve">File Version Availability </t>
  </si>
  <si>
    <t>This file changes as new versions of VMware Cloud Foundation / VMware Validated Solutions are released. To verify you have the correct and most accurate version of this file please visit  https://techdocs.broadcom.com/us/en/vmware-cis.html</t>
  </si>
  <si>
    <t xml:space="preserve">          Private AI Ready Infrastructure Validated Solution</t>
  </si>
  <si>
    <t>This page contains all user required values used during the deployment of the Private AI Ready Infrastruture Validated Solution. Each table and value maps directly to a process in the deployment guidance documentation.</t>
  </si>
  <si>
    <t>Private AI Ready Infrastructure Inputs</t>
  </si>
  <si>
    <t>xxxxx-xxxxx-xxxxx-xxxxx-xxxxx</t>
  </si>
  <si>
    <t>Kubernetes</t>
  </si>
  <si>
    <t>Kubernetes Cluster Name</t>
  </si>
  <si>
    <t>Developer Ready Infrastructure Inputs</t>
  </si>
  <si>
    <t>NSX Kubernetes Management Virtual Network Segment Name</t>
  </si>
  <si>
    <t>vsphere-with-tanzu-category</t>
  </si>
  <si>
    <t>vsphere-with-tanzu-tag</t>
  </si>
  <si>
    <t>Path to kubectl</t>
  </si>
  <si>
    <t>c:\kube\bin\</t>
  </si>
  <si>
    <t>Initial Virtual Machine Class for Tanzu Kubernetes Cluster</t>
  </si>
  <si>
    <t>guaranteed-small</t>
  </si>
  <si>
    <t>Enable vSphere vMotion for vGPU-Enabled Virtual Machines for Private AI Ready Infrastructure for VMware Cloud Foundation</t>
  </si>
  <si>
    <t>Install the Vendor GPU Driver on the ESXi Hosts for Private AI Ready Infrastructure for VMware Cloud Foundation</t>
  </si>
  <si>
    <t>&lt;sddc_manager_fqdn&gt;</t>
  </si>
  <si>
    <t>Create a Namespace for the Tanzu Kubernetes Grid Cluster for Private AI Ready Infrastructure for VMware Cloud Foundation</t>
  </si>
  <si>
    <t>vsphere-with-tanzu-storage-policy</t>
  </si>
  <si>
    <t>Assign the New Tanzu Cluster Namespace Roles to Active Directory Groups for VMware Cloud Foundation</t>
  </si>
  <si>
    <t>Namespace</t>
  </si>
  <si>
    <r>
      <t xml:space="preserve">Group </t>
    </r>
    <r>
      <rPr>
        <i/>
        <sz val="12"/>
        <color theme="1"/>
        <rFont val="Arial"/>
        <family val="2"/>
      </rPr>
      <t>(Edit Role)</t>
    </r>
  </si>
  <si>
    <r>
      <t>Group</t>
    </r>
    <r>
      <rPr>
        <i/>
        <sz val="12"/>
        <color theme="1"/>
        <rFont val="Arial"/>
        <family val="2"/>
      </rPr>
      <t xml:space="preserve"> (View Role)</t>
    </r>
  </si>
  <si>
    <t>Add GPU-Enabled VM Classes for the Tanzu Kubernetes Grid Cluster for Private AI Ready Infrastructure for VMware Cloud Foundation</t>
  </si>
  <si>
    <t>vgpu-a100-16vcpu-128gb</t>
  </si>
  <si>
    <t>GPU VM Class CPU Reservation</t>
  </si>
  <si>
    <t>GPU VM Class Mem Reservation</t>
  </si>
  <si>
    <t>Provision a Tanzu Kubernetes Grid Cluster for Private AI Ready Infrastructure for VMware Cloud Foundation</t>
  </si>
  <si>
    <t>Server</t>
  </si>
  <si>
    <t>name</t>
  </si>
  <si>
    <t>namespace</t>
  </si>
  <si>
    <t>storageClass</t>
  </si>
  <si>
    <t>class</t>
  </si>
  <si>
    <t>cidrBlock (services)</t>
  </si>
  <si>
    <t>198.51.100.0/12</t>
  </si>
  <si>
    <t>cidrBlock (pods)</t>
  </si>
  <si>
    <t>192.0.2.0/16</t>
  </si>
  <si>
    <t>Install the NVIDIA GPU Operator for Private AI Ready Infrastructure for VMware Cloud Foundation</t>
  </si>
  <si>
    <t>gpu-operator</t>
  </si>
  <si>
    <t>Install the NVIDIA Network Operator for Private AI Ready Infrastructure for VMware Cloud Foundation</t>
  </si>
  <si>
    <t>GPU Operator Network Namespace</t>
  </si>
  <si>
    <t>nvidia-network-operator</t>
  </si>
  <si>
    <t>Create AI Self-Service Catalog Items in VMware Aria Automation for Private AI Ready Infrastructure for VMware Cloud Foundation</t>
  </si>
  <si>
    <t>&lt;aria_suite_lifecycle_fqdn&gt;</t>
  </si>
  <si>
    <t>Deploy VMware Data Services Manager for Private AI Ready Infrastructure for VMware Cloud Foundation</t>
  </si>
  <si>
    <t>Create a Content Library with Deep Learning VM Images for Private AI Ready Infrastructure for VMware Cloud Foundation</t>
  </si>
  <si>
    <t>Content Library Name</t>
  </si>
  <si>
    <t>vSAN Datastore</t>
  </si>
  <si>
    <t>Deploy a Deep Learning VM from the VMware Aria Automation Self-Service Catalog for Private AI Ready Infrastructure for VMware Cloud Foundation</t>
  </si>
  <si>
    <t>Provision a Tanzu Kubernetes Grid Cluster from the VMware Aria Automation Self-Service Catalog for Private AI Ready Infrastructure for VMware Cloud Foundation</t>
  </si>
  <si>
    <t>Create a Vector Database Catalog Item in VMware Aria Automation for RAG Workloads for Private AI Ready Infrastructure for VMware Cloud Foundation</t>
  </si>
  <si>
    <t>Deploy a Vector Database by Using a Self-Service Catalog Item in VMware Aria Automation for RAG Workloads for Private AI Ready Infrastructure for VMware Cloud Foundation</t>
  </si>
  <si>
    <t xml:space="preserve">        Cloud-Based Ransomware Recovery Validated Solution</t>
  </si>
  <si>
    <t>This page contains all user required values used during the deployment of the Cloud-Based Ransomware Recovery Validated Solution. Each table and value maps directly to a process in the deployment guidance documentation.</t>
  </si>
  <si>
    <t>Section Navigation (Click to Navigate)</t>
  </si>
  <si>
    <t>Cloud-Based Ramsomware Recovery</t>
  </si>
  <si>
    <t>DRaaS Connector Appliance</t>
  </si>
  <si>
    <t>Chid</t>
  </si>
  <si>
    <t>Cloud-Based Ransomware Recovery</t>
  </si>
  <si>
    <t>VMware Live Cyber Recovery to vSphere Integration</t>
  </si>
  <si>
    <t>svc-vlcr-vsphere</t>
  </si>
  <si>
    <r>
      <t xml:space="preserve">VM Folder </t>
    </r>
    <r>
      <rPr>
        <i/>
        <sz val="12"/>
        <color theme="1"/>
        <rFont val="Arial"/>
        <family val="2"/>
      </rPr>
      <t>(DRaaS Connectors)</t>
    </r>
  </si>
  <si>
    <t>aws-recovery-sddc</t>
  </si>
  <si>
    <t>I4i (Local SSD)</t>
  </si>
  <si>
    <t>&lt;generated&gt;</t>
  </si>
  <si>
    <t>10.2.0.0/16</t>
  </si>
  <si>
    <r>
      <t xml:space="preserve">Firewall Rule Name </t>
    </r>
    <r>
      <rPr>
        <i/>
        <sz val="12"/>
        <color theme="1"/>
        <rFont val="Arial"/>
        <family val="2"/>
      </rPr>
      <t>(vCenter Server Inbound)</t>
    </r>
  </si>
  <si>
    <t>vCenter Inbound Rule</t>
  </si>
  <si>
    <r>
      <t xml:space="preserve">User Defined Group </t>
    </r>
    <r>
      <rPr>
        <i/>
        <sz val="12"/>
        <color theme="1"/>
        <rFont val="Arial"/>
        <family val="2"/>
      </rPr>
      <t>(Firewall Access)</t>
    </r>
  </si>
  <si>
    <t>External-Access</t>
  </si>
  <si>
    <t>69.34.34.11</t>
  </si>
  <si>
    <r>
      <t>Cloud File System</t>
    </r>
    <r>
      <rPr>
        <i/>
        <sz val="12"/>
        <color theme="1"/>
        <rFont val="Arial"/>
        <family val="2"/>
      </rPr>
      <t xml:space="preserve"> (VMware Cloud Disaster Recovery)</t>
    </r>
  </si>
  <si>
    <t>usw2-az2-cfs01</t>
  </si>
  <si>
    <r>
      <t xml:space="preserve">On-Premises Site Name </t>
    </r>
    <r>
      <rPr>
        <i/>
        <sz val="12"/>
        <color theme="1"/>
        <rFont val="Arial"/>
        <family val="2"/>
      </rPr>
      <t>(VMware Cloud Disaster Recovery)</t>
    </r>
  </si>
  <si>
    <r>
      <t xml:space="preserve">Timezone </t>
    </r>
    <r>
      <rPr>
        <i/>
        <sz val="12"/>
        <color theme="1"/>
        <rFont val="Arial"/>
        <family val="2"/>
      </rPr>
      <t>(VMware Cloud Disaster Recovery)</t>
    </r>
  </si>
  <si>
    <t>UTC</t>
  </si>
  <si>
    <t>https://vcdr-34-212-247-60.app.vcdr.vmware.com:443/vmware-cloud-connector.ova</t>
  </si>
  <si>
    <t>vcdr-34-212-247-60.app.vcdr.vmware.com</t>
  </si>
  <si>
    <t>cloudadmins@rainpole.io</t>
  </si>
  <si>
    <t>Create Virtual Machine and Template Folder for the VMware Live Cyber Recovery Connector Appliances for Cloud-Based Ransomware Recovery for VMware Cloud Foundation</t>
  </si>
  <si>
    <r>
      <t xml:space="preserve">Folder Name </t>
    </r>
    <r>
      <rPr>
        <i/>
        <sz val="12"/>
        <color rgb="FF000000"/>
        <rFont val="Arial"/>
        <family val="2"/>
      </rPr>
      <t>(Cyber Recovery Connectors)</t>
    </r>
  </si>
  <si>
    <t>Deploy the Recovery SDDC for Cloud-Based Ransomware Recovery for VMware Cloud Foundation</t>
  </si>
  <si>
    <t>&lt;csp_console_fqdn&gt;</t>
  </si>
  <si>
    <t>console.cloud.vmware.com</t>
  </si>
  <si>
    <t>SDDC Name</t>
  </si>
  <si>
    <t>Configure vCenter Server Access to the Recovery SDDC for Cloud-Based Ransomware Recovery for VMware Cloud Foundation</t>
  </si>
  <si>
    <r>
      <t xml:space="preserve">Name </t>
    </r>
    <r>
      <rPr>
        <i/>
        <sz val="12"/>
        <color theme="1"/>
        <rFont val="Arial"/>
        <family val="2"/>
      </rPr>
      <t>(Rule Name)</t>
    </r>
  </si>
  <si>
    <r>
      <t xml:space="preserve">Sources </t>
    </r>
    <r>
      <rPr>
        <i/>
        <sz val="12"/>
        <color theme="1"/>
        <rFont val="Arial"/>
        <family val="2"/>
      </rPr>
      <t>(User Defined Group)</t>
    </r>
  </si>
  <si>
    <t>Destinations</t>
  </si>
  <si>
    <t>Service</t>
  </si>
  <si>
    <t>HTTPS (TCP 443)</t>
  </si>
  <si>
    <t>SSO (TCP 7444)</t>
  </si>
  <si>
    <t>IP Address(es)</t>
  </si>
  <si>
    <t>Activate a VMware Cloud Disaster Recovery Region for Cloud-Based Ransomware Recovery for VMware Cloud Foundation</t>
  </si>
  <si>
    <t>Deploy a Cloud File System for Cloud-Based Ransomware Recovery for VMware Cloud Foundation</t>
  </si>
  <si>
    <t xml:space="preserve">Recovery SDDC														</t>
  </si>
  <si>
    <t>Cloud file system name</t>
  </si>
  <si>
    <t>Create a Protected Site for Cloud-Based Ransomware Recovery for VMware Cloud Foundation</t>
  </si>
  <si>
    <t>Cloud Backup</t>
  </si>
  <si>
    <t>Timezone</t>
  </si>
  <si>
    <t>On-Premises Site Name</t>
  </si>
  <si>
    <t>Deploy the VMware Live Cyber Recovery Connector Appliances for Cloud-Based Ransomware Recovery for VMware Cloud Foundation</t>
  </si>
  <si>
    <t>Protected Site</t>
  </si>
  <si>
    <t>Cyber Recovery Connector OVA Link</t>
  </si>
  <si>
    <t>vSAN datastore</t>
  </si>
  <si>
    <t>Console User</t>
  </si>
  <si>
    <t>Network IP Address Allocation</t>
  </si>
  <si>
    <t>Subnet mask</t>
  </si>
  <si>
    <t>Create and Configure a Custom Role in vSphere for Cloud-Based Ransomware Recovery for VMware Cloud Foundation</t>
  </si>
  <si>
    <t>vCenter Server IP Address</t>
  </si>
  <si>
    <t>--admin-username</t>
  </si>
  <si>
    <t>--admin-password</t>
  </si>
  <si>
    <t>--new-username</t>
  </si>
  <si>
    <t>--new-password</t>
  </si>
  <si>
    <t>--vcenter-role</t>
  </si>
  <si>
    <t>Configure a vSphere DRS Anti-Affinity Rule for the VMware Live Cyber Recovery Connector Appliances for Cloud-Based Ransomware Recovery for VMware Cloud Foundation</t>
  </si>
  <si>
    <r>
      <t xml:space="preserve">Member </t>
    </r>
    <r>
      <rPr>
        <i/>
        <sz val="12"/>
        <color theme="1"/>
        <rFont val="Arial"/>
        <family val="2"/>
      </rPr>
      <t>(Cyber Recovery Connector Node 1)</t>
    </r>
  </si>
  <si>
    <r>
      <t xml:space="preserve">Member </t>
    </r>
    <r>
      <rPr>
        <i/>
        <sz val="12"/>
        <color theme="1"/>
        <rFont val="Arial"/>
        <family val="2"/>
      </rPr>
      <t>(Cyber Recovery Connector Node 2)</t>
    </r>
  </si>
  <si>
    <t>Add the Connector Appliances to the First Availability Zone VM Group for Cloud-Based Ransomware Recovery for VMware Cloud Foundation</t>
  </si>
  <si>
    <t>Register a VI Workload Domain vCenter Server for Cloud-Based Ransomware Recovery for VMware Cloud Foundation</t>
  </si>
  <si>
    <t>vCenter Server IP address</t>
  </si>
  <si>
    <t>vCenter user name</t>
  </si>
  <si>
    <t>Add a Recovery SDDC for Cloud-Based Ransomware Recovery for VMware Cloud Foundation</t>
  </si>
  <si>
    <t>Configure Email Alerts for Cloud-Based Ransomware Recovery for VMware Cloud Foundation</t>
  </si>
  <si>
    <t>Sender name</t>
  </si>
  <si>
    <t>no-reply-vlcr</t>
  </si>
  <si>
    <t>Integration with Intelligent Operations Management for VMware Cloud Foundation</t>
  </si>
  <si>
    <t>Configure a Ping Adapter for the Connector Appliances in the on-premises VMware Aria Operations for Cloud-Based Ransomware Recovery for VMware Cloud Foundation</t>
  </si>
  <si>
    <t>Unique Name</t>
  </si>
  <si>
    <t xml:space="preserve">Address list </t>
  </si>
  <si>
    <t>Collector Group</t>
  </si>
  <si>
    <t xml:space="preserve">          Cross Cloud Mobility Validated Solution</t>
  </si>
  <si>
    <t>This page contains all user required values used during the deployment of the Cross Cloud Mobility Validated Solution. Each table and value maps directly to a process in the deployment guidance documentation.</t>
  </si>
  <si>
    <t>Cross Cloud Mobility</t>
  </si>
  <si>
    <t>HCX Appliance</t>
  </si>
  <si>
    <t>HCX Network Profiles</t>
  </si>
  <si>
    <t>Reference IP Range</t>
  </si>
  <si>
    <t>Your IP Range</t>
  </si>
  <si>
    <t>VMware HCX to vSphere Integration</t>
  </si>
  <si>
    <r>
      <t>VM Folder (</t>
    </r>
    <r>
      <rPr>
        <i/>
        <sz val="12"/>
        <color theme="1"/>
        <rFont val="Arial"/>
        <family val="2"/>
      </rPr>
      <t>HCX Connector)</t>
    </r>
  </si>
  <si>
    <t>mobility-sddc</t>
  </si>
  <si>
    <t>I3 (Local SSD)</t>
  </si>
  <si>
    <t>HCX Inbound Rule</t>
  </si>
  <si>
    <t>San Francisco, United States of America</t>
  </si>
  <si>
    <t>https://hcx.sddc-44-231-98-23.vmwarevmc.com/</t>
  </si>
  <si>
    <t>cloudadmin@vmc.local</t>
  </si>
  <si>
    <t>TBvAZf-Aj*1ap6T</t>
  </si>
  <si>
    <t>Define Custom Roles in vSphere for Cross Cloud Mobility for VMware Cloud Foundation</t>
  </si>
  <si>
    <r>
      <t xml:space="preserve">Role name </t>
    </r>
    <r>
      <rPr>
        <i/>
        <sz val="12"/>
        <color theme="1"/>
        <rFont val="Arial"/>
        <family val="2"/>
      </rPr>
      <t>(VMware HCX to vSphere)</t>
    </r>
  </si>
  <si>
    <t>Configure Service Account Permissions for vSphere Integration for Cross Cloud Mobility for VMware Cloud Foundation</t>
  </si>
  <si>
    <r>
      <t xml:space="preserve">Domain </t>
    </r>
    <r>
      <rPr>
        <i/>
        <sz val="12"/>
        <color theme="1"/>
        <rFont val="Arial"/>
        <family val="2"/>
      </rPr>
      <t>(VMware HCX Service Account)</t>
    </r>
  </si>
  <si>
    <r>
      <t xml:space="preserve">User / Group </t>
    </r>
    <r>
      <rPr>
        <i/>
        <sz val="12"/>
        <color theme="1"/>
        <rFont val="Arial"/>
        <family val="2"/>
      </rPr>
      <t>(VMware HCX Service Account)</t>
    </r>
  </si>
  <si>
    <r>
      <t xml:space="preserve">Role </t>
    </r>
    <r>
      <rPr>
        <i/>
        <sz val="12"/>
        <color theme="1"/>
        <rFont val="Arial"/>
        <family val="2"/>
      </rPr>
      <t>(VMware HCX Service Account)</t>
    </r>
  </si>
  <si>
    <t>Create a Virtual Machine and Template Folder for the HCX Appliance for Cross Cloud Mobility for VMware Cloud Foundation</t>
  </si>
  <si>
    <r>
      <t xml:space="preserve">Folder Name </t>
    </r>
    <r>
      <rPr>
        <i/>
        <sz val="12"/>
        <color rgb="FF000000"/>
        <rFont val="Arial"/>
        <family val="2"/>
      </rPr>
      <t>(HCX Connector)</t>
    </r>
  </si>
  <si>
    <t>Create a Virtual Machine and Template Folder and a Resource Pool for the HCX Appliances for Cross Cloud Mobility for VMware Cloud Foundation</t>
  </si>
  <si>
    <t>&lt;vi_workload_domain_vcenter_server_fqdn&gt;</t>
  </si>
  <si>
    <r>
      <t xml:space="preserve">Folder Name </t>
    </r>
    <r>
      <rPr>
        <i/>
        <sz val="12"/>
        <color theme="1"/>
        <rFont val="Arial"/>
        <family val="2"/>
      </rPr>
      <t>(HCX Appliances)</t>
    </r>
  </si>
  <si>
    <t>Configure Service Account Permissions for NSX Integration for Cross Cloud Mobility for VMware Cloud Foundation</t>
  </si>
  <si>
    <t>&lt;vi_workload_domain_nsx_manager_fqdn&gt;</t>
  </si>
  <si>
    <t>Deploy the Mobility SDDC for Cross Cloud Mobility for VMware Cloud Foundation</t>
  </si>
  <si>
    <t>Configure vCenter Server Access to the Mobililty SDDC for Cross Cloud Mobility for VMware Cloud Foundation</t>
  </si>
  <si>
    <t>Deploy VMware HCX to the Mobility SDDC for Cross Cloud Mobility for VMware Cloud Foundation</t>
  </si>
  <si>
    <t>Deploy the HCX Connector Appliance for Cross Cloud Mobility for VMware Cloud Foundation</t>
  </si>
  <si>
    <t>Deploy HCX Connector</t>
  </si>
  <si>
    <t>Connector Folder</t>
  </si>
  <si>
    <t>CLI "admin" User Password</t>
  </si>
  <si>
    <t>root Password</t>
  </si>
  <si>
    <t>Network 1 IPv4 Address</t>
  </si>
  <si>
    <t>Network 1 IPv4 Prefix Length</t>
  </si>
  <si>
    <t>DNS Server list</t>
  </si>
  <si>
    <t>Domain Search List</t>
  </si>
  <si>
    <t>NTP Server List</t>
  </si>
  <si>
    <t xml:space="preserve">Configure HCX Connector			</t>
  </si>
  <si>
    <t>Location of your datacenter (nearest city)</t>
  </si>
  <si>
    <t>System name</t>
  </si>
  <si>
    <t>Identity Sources</t>
  </si>
  <si>
    <t>Replace the Certificate of the HCX Connector Appliance for Cross Cloud Mobility for VMware Cloud Foundation</t>
  </si>
  <si>
    <t>&lt;hcx_connector_fqdn&gt;</t>
  </si>
  <si>
    <t>Add the HCX Connector Appliance to the First Availability Zone VM Group for Cross Cloud Mobility for VMware Cloud Foundation</t>
  </si>
  <si>
    <t>Member</t>
  </si>
  <si>
    <t>Configure VMware HCX Access to the Mobility SDDC for Cross Cloud Mobility for VMware Cloud Foundation</t>
  </si>
  <si>
    <t>HCX</t>
  </si>
  <si>
    <t>Appliance Management (TCP 9443)</t>
  </si>
  <si>
    <t>Pair On-Premises vSphere Environment with HCX Cloud for Cross Cloud Mobility for VMware Cloud Foundation</t>
  </si>
  <si>
    <t>Create Network Profiles in HCX for Cross Cloud Mobility for VMware Cloud Foundation</t>
  </si>
  <si>
    <t>Management Network Profile</t>
  </si>
  <si>
    <t>IP Ranges</t>
  </si>
  <si>
    <t>Prefix Length</t>
  </si>
  <si>
    <t>Primary DNS</t>
  </si>
  <si>
    <t>Secondary DNS</t>
  </si>
  <si>
    <t>DNS Suffix</t>
  </si>
  <si>
    <t>vMotion Network Profile</t>
  </si>
  <si>
    <t>Create a Compute Profile in HCX for Cross Cloud Mobility for VMware Cloud Foundation</t>
  </si>
  <si>
    <t>Name your Compute Profile</t>
  </si>
  <si>
    <t>Select Resource(s)</t>
  </si>
  <si>
    <t>Select Resource</t>
  </si>
  <si>
    <t>Select Management Network Profile</t>
  </si>
  <si>
    <t xml:space="preserve">Select Uplink Network Profile </t>
  </si>
  <si>
    <t>Select vMotion Network Profile</t>
  </si>
  <si>
    <t>Select vSphere Replication Network Profile</t>
  </si>
  <si>
    <t>Select Network Containers</t>
  </si>
  <si>
    <t>Create a Service Mesh in HCX for Cross Cloud Mobility for VMware Cloud Foundation</t>
  </si>
  <si>
    <t>Select Source Compute Profile</t>
  </si>
  <si>
    <t>Select Remote Compute Profile</t>
  </si>
  <si>
    <t>ComputeProfile(vcenter)</t>
  </si>
  <si>
    <t>Name for this Service Mesh</t>
  </si>
  <si>
    <t>Configure a Ping Adapter for the HCX Connector Appliance in the on-premises VMware Aria Operations for Cross Cloud Mobility for VMware Cloud Foundation</t>
  </si>
  <si>
    <t>Data Protection for Cross Cloud Mobility for VMware Cloud Foundation</t>
  </si>
  <si>
    <t>Backup the HCX Connector Configuration for Cross Cloud Mobility for VMware Cloud Foundation</t>
  </si>
  <si>
    <t>IP/Host name</t>
  </si>
  <si>
    <t>Transfer protocol</t>
  </si>
  <si>
    <t>Backup directory</t>
  </si>
  <si>
    <t>Configure a Backup Schedule for the HCX Connector for Cross Cloud Mobility for VMware Cloud Foundation</t>
  </si>
  <si>
    <t>Backup Frequency</t>
  </si>
  <si>
    <t>DAILY</t>
  </si>
  <si>
    <t>Hour of day</t>
  </si>
  <si>
    <t>Minute</t>
  </si>
  <si>
    <t xml:space="preserve">      VMware Cloud Foundaation Active Directory Inputs</t>
  </si>
  <si>
    <t xml:space="preserve">To be completed by a member of the Customer Active Directory Team. Inputs are enabled by choices made on Deployment Options Tab and values will be presented in relevant sections of Workflow Execution Tabs								</t>
  </si>
  <si>
    <t>Active Directory Details</t>
  </si>
  <si>
    <t>Purpose</t>
  </si>
  <si>
    <t>Reference Fully Qualified Name</t>
  </si>
  <si>
    <t>Your Fully Qualified Name</t>
  </si>
  <si>
    <t>Reference NETBIOS Name</t>
  </si>
  <si>
    <r>
      <t xml:space="preserve">FQDN &amp; NetBIOS </t>
    </r>
    <r>
      <rPr>
        <sz val="12"/>
        <color theme="1"/>
        <rFont val="Arial"/>
        <family val="2"/>
      </rPr>
      <t>(Parent)</t>
    </r>
  </si>
  <si>
    <t>RAINPOLE</t>
  </si>
  <si>
    <r>
      <t xml:space="preserve">FQDN &amp; NetBIOS </t>
    </r>
    <r>
      <rPr>
        <sz val="12"/>
        <color theme="1"/>
        <rFont val="Arial"/>
        <family val="2"/>
      </rPr>
      <t>(Child)</t>
    </r>
  </si>
  <si>
    <r>
      <t xml:space="preserve">User and Group OUs </t>
    </r>
    <r>
      <rPr>
        <sz val="12"/>
        <color theme="1"/>
        <rFont val="Arial"/>
        <family val="2"/>
      </rPr>
      <t>(Parent)</t>
    </r>
  </si>
  <si>
    <t>ou=Security Groups,dc=rainpole,dc=io</t>
  </si>
  <si>
    <t>ou=Security Users,dc=rainpole,dc=io</t>
  </si>
  <si>
    <r>
      <t xml:space="preserve">User and Group OUs </t>
    </r>
    <r>
      <rPr>
        <sz val="12"/>
        <color theme="1"/>
        <rFont val="Arial"/>
        <family val="2"/>
      </rPr>
      <t>(Child)</t>
    </r>
  </si>
  <si>
    <t>Active Directory Users (Service Accounts for Application to External Service Communication)</t>
  </si>
  <si>
    <t>Reference Username</t>
  </si>
  <si>
    <t>Your Username</t>
  </si>
  <si>
    <t>Reference Password</t>
  </si>
  <si>
    <t>Your Password</t>
  </si>
  <si>
    <t>Identity and Access Management</t>
  </si>
  <si>
    <t>Active Directory Bind (vSphere)</t>
  </si>
  <si>
    <t>Active Directory Bind (NSX)</t>
  </si>
  <si>
    <t>svc-nsx-ad</t>
  </si>
  <si>
    <t>Active Directory Users (Service Accounts for Application to Application Communication)</t>
  </si>
  <si>
    <t>Intelligent Logging and Analytics for VMware Cloud Foundation</t>
  </si>
  <si>
    <t>VMware Aria Operations for Logs to Active Directory</t>
  </si>
  <si>
    <t>svc-logs-ad</t>
  </si>
  <si>
    <t>Intelligent Operations Management for VMware Cloud Foundation</t>
  </si>
  <si>
    <t>VMware Aria Operations to VMware Cloud Foundation</t>
  </si>
  <si>
    <t>svc-ops-vcf</t>
  </si>
  <si>
    <t>x</t>
  </si>
  <si>
    <t>VMware Aria Operations to vCenter Server</t>
  </si>
  <si>
    <t>svc-ops-vsphere</t>
  </si>
  <si>
    <t>VMware Aria Operations to VMware Aria Automation</t>
  </si>
  <si>
    <t>svc-ops-cmp</t>
  </si>
  <si>
    <t>Intelligent Network Visibility for VMware Cloud Foundation</t>
  </si>
  <si>
    <t>VMware Aria Operations for Networks to Active Directory</t>
  </si>
  <si>
    <t>svc-net-ad</t>
  </si>
  <si>
    <t>VMware Aria Operations for Networks to vCenter Server</t>
  </si>
  <si>
    <t>svc-net-vsphere</t>
  </si>
  <si>
    <t>VMware Aria Operations to VMware Aria Operations for Networks</t>
  </si>
  <si>
    <t>svc-net-ops</t>
  </si>
  <si>
    <t>Private Cloud Automation on VMware Cloud Foundation</t>
  </si>
  <si>
    <t>svc-cmp-vsphere</t>
  </si>
  <si>
    <t>svc-cmp-nsx</t>
  </si>
  <si>
    <t>svc-cmp-vcf</t>
  </si>
  <si>
    <t>svc-orch-vsphere</t>
  </si>
  <si>
    <t>svc-cmp-ops</t>
  </si>
  <si>
    <t>Health Reporting and Monitoring</t>
  </si>
  <si>
    <t>HRM to SDDC Manager</t>
  </si>
  <si>
    <t>svc-hrm-vcf</t>
  </si>
  <si>
    <t>HRM to VMware Aria Operations</t>
  </si>
  <si>
    <t>svc-hrm-ops</t>
  </si>
  <si>
    <t>VMware HCX to vCenter Server</t>
  </si>
  <si>
    <t>svc-hcx-vsphere</t>
  </si>
  <si>
    <t>VMware HCX to NSX</t>
  </si>
  <si>
    <t>svc-hcx-nsx</t>
  </si>
  <si>
    <t>VMware Aria Suite Lifecycle</t>
  </si>
  <si>
    <t>Product</t>
  </si>
  <si>
    <t>Reference Group Name</t>
  </si>
  <si>
    <t>Your Group Name</t>
  </si>
  <si>
    <t>gg-lcm-admins</t>
  </si>
  <si>
    <t>gg-lcm-release-managers</t>
  </si>
  <si>
    <t>gg-lcm-content-developers</t>
  </si>
  <si>
    <t>Clustered Workspace ONE Access</t>
  </si>
  <si>
    <t>Workspace ONE Access</t>
  </si>
  <si>
    <t>gg-idm-admins</t>
  </si>
  <si>
    <t>gg-idm-directory-admins</t>
  </si>
  <si>
    <t>gg-idm-read-only</t>
  </si>
  <si>
    <t>Identity and Access Management for VMware Cloud Foundation</t>
  </si>
  <si>
    <t>Developer Ready Infrastructure using VMware Cloud Foundation</t>
  </si>
  <si>
    <t xml:space="preserve">Kubernetes </t>
  </si>
  <si>
    <t>gg-kub-admins</t>
  </si>
  <si>
    <t>gg-kub-readonly</t>
  </si>
  <si>
    <t>VMware Aria Operations for Logs</t>
  </si>
  <si>
    <t>gg-logs-admins</t>
  </si>
  <si>
    <t>gg-logs-users</t>
  </si>
  <si>
    <t>gg-logs-viewers</t>
  </si>
  <si>
    <t>VMware Aria Operations</t>
  </si>
  <si>
    <t>gg-ops-admins</t>
  </si>
  <si>
    <t>gg-ops-content-admins</t>
  </si>
  <si>
    <t>gg-ops-read-only</t>
  </si>
  <si>
    <t>VMware Aria Operations for Networks</t>
  </si>
  <si>
    <t>gg-networks-admin</t>
  </si>
  <si>
    <t>gg-networks-member</t>
  </si>
  <si>
    <t>gg-networks-auditor</t>
  </si>
  <si>
    <t>VMware Aria Automation</t>
  </si>
  <si>
    <t>gg-cmp-org-owners</t>
  </si>
  <si>
    <t>gg-cmp-cloud-assembly-admins</t>
  </si>
  <si>
    <t>gg-cmp-cloud-assembly-users</t>
  </si>
  <si>
    <t>gg-cmp-cloud-assembly-viewers</t>
  </si>
  <si>
    <t>gg-cmp-service-broker-admins</t>
  </si>
  <si>
    <t>gg-cmp-service-broker-users</t>
  </si>
  <si>
    <t>gg-cmp-service-broker-viewers</t>
  </si>
  <si>
    <t>gg-cmp-orchestrator-admins</t>
  </si>
  <si>
    <t>gg-cmp-orchestrator-designers</t>
  </si>
  <si>
    <t>gg-cmp-orchestrator-viewers</t>
  </si>
  <si>
    <t>gg-cmp-project-admins-sample</t>
  </si>
  <si>
    <t>gg-cmp-project-users-sample</t>
  </si>
  <si>
    <t xml:space="preserve">         VMware Cloud Foundation and VMware vSphere Foundation Planning</t>
  </si>
  <si>
    <t>Use this page to select your options for a VMware Cloud Foundation Deployment</t>
  </si>
  <si>
    <t>VMware Values</t>
  </si>
  <si>
    <t>At VMware we value inclusion. To foster this principle within our customer, partner, and internal community, we are replacing some of the terminology in our content. We have updated this document to remove instances of non-inclusive language.</t>
  </si>
  <si>
    <t>VMware Cloud Foundation</t>
  </si>
  <si>
    <t xml:space="preserve">Deployment Specification </t>
  </si>
  <si>
    <t>Instance to perform operation on</t>
  </si>
  <si>
    <t>Operation to be performed</t>
  </si>
  <si>
    <t>Prerequisite Checklist</t>
  </si>
  <si>
    <t>The following pre-requisites need to be completed before proceeding with deployments</t>
  </si>
  <si>
    <t>Hardware (Management Domain)</t>
  </si>
  <si>
    <t>Server Component</t>
  </si>
  <si>
    <t>Minimum Requirements</t>
  </si>
  <si>
    <t>Server Type</t>
  </si>
  <si>
    <t>Refer to the VMware Compatibility Guide at https://compatibilityguide.broadcom.com/ for supported configurations. Note that VMware Cloud Foundation supports three node vSAN clusters in Workload Domains. VMware recommends a minimum of four nodes for production.</t>
  </si>
  <si>
    <t>Supported Configurations</t>
  </si>
  <si>
    <t>Memory</t>
  </si>
  <si>
    <r>
      <t xml:space="preserve">Rainpole example suggests
- 1TB per host based on 4 hosts with ability to tolerate failure of a single host.
</t>
    </r>
    <r>
      <rPr>
        <b/>
        <sz val="12"/>
        <color theme="1"/>
        <rFont val="Arial"/>
        <family val="2"/>
      </rPr>
      <t>Use Management Domain Sizing for sizing based on your chosen options.</t>
    </r>
  </si>
  <si>
    <t>Storage (Boot)</t>
  </si>
  <si>
    <t>Supported configurations</t>
  </si>
  <si>
    <t>SD-Cards are considered legacy and not recommended.</t>
  </si>
  <si>
    <t>Storage VSAN-OSA  (Cache)</t>
  </si>
  <si>
    <r>
      <t xml:space="preserve">Rainpole example suggests 
- 1.2TB of Raw Capacity for the Caching Tier (All-Flash) per host. 
- Two disk groups, 600GB cache per disk group.
Ensure no existing partitions exist on disks intended for use
See Designing and Sizing a vSAN Cluster from the VMware vSAN documentation for guidelines about cache sizing.
</t>
    </r>
    <r>
      <rPr>
        <b/>
        <sz val="12"/>
        <color theme="1"/>
        <rFont val="Arial"/>
        <family val="2"/>
      </rPr>
      <t>Use Management Domain Sizing for sizing based on your chosen options.</t>
    </r>
  </si>
  <si>
    <t>Storage vSAN-OSA (Capacity)</t>
  </si>
  <si>
    <r>
      <t xml:space="preserve">Rainpole example suggests
- 12.5TB of Raw Capacity for the Capacity Tier (All-Flash) per host.
- Two disk groups, 6.25TB per disk group
Ensure no existing partitions exist on disks intended for use
</t>
    </r>
    <r>
      <rPr>
        <b/>
        <sz val="12"/>
        <color theme="1"/>
        <rFont val="Arial"/>
        <family val="2"/>
      </rPr>
      <t>Use Management Domain Sizing for sizing based on your chosen options.</t>
    </r>
  </si>
  <si>
    <t xml:space="preserve">Storage vSAN-ESA </t>
  </si>
  <si>
    <r>
      <t xml:space="preserve">Rainpole example suggests
- 12.5TB of Raw Capacity for the Capacity Tier (All-Flash) per host.
 - 4 x 3.2TB NVME SSD Drives per node.
Ensure no existing partitions exist on disks intended for use
</t>
    </r>
    <r>
      <rPr>
        <b/>
        <sz val="12"/>
        <color theme="1"/>
        <rFont val="Arial"/>
        <family val="2"/>
      </rPr>
      <t>Use Management Domain Sizing for sizing based on your chosen options.</t>
    </r>
  </si>
  <si>
    <t>Storage NFS</t>
  </si>
  <si>
    <t>Use Management Domain Sizing for sizing based on your chosen options.</t>
  </si>
  <si>
    <t>Storage FC</t>
  </si>
  <si>
    <t>NICs per server</t>
  </si>
  <si>
    <t>- One 10 GbE NICs
- One 1 GbE BMC NIC</t>
  </si>
  <si>
    <t xml:space="preserve">Single NIC is supported with API Only
25GbE NICs are recommended for vSAN ESA 
</t>
  </si>
  <si>
    <t>Hardware (Workload Domain)</t>
  </si>
  <si>
    <t>Type</t>
  </si>
  <si>
    <t>Three Supported Servers</t>
  </si>
  <si>
    <t>Refer to the VMware Compatibility Guide at https://www.vmware.com/resources/compatibility/search.php for supported configurations. Note that VMware Cloud Foundation supports three node vSAN clusters in Workload Domains. VMware recommends a minimum of four nodes for production.
Ensure no existing partitions exist on disks intended for use</t>
  </si>
  <si>
    <t>Storage vSAN-OSA (Cache)</t>
  </si>
  <si>
    <t>Storage vSAN-OSA(Capacity)</t>
  </si>
  <si>
    <t xml:space="preserve">Single NIC is supported with API Only
VI Workload Domain: Supports a maximum of 64 x pNICs per host
25GbE NICs are recommended for vSAN ESA </t>
  </si>
  <si>
    <t>Network Requirements</t>
  </si>
  <si>
    <t>Physical Network</t>
  </si>
  <si>
    <t>Jumbo frames</t>
  </si>
  <si>
    <t>Required for the following traffic types:
- vSAN
- vSphere vMotion
- ESX Host Overlay
- NSX Edge Overlay
- NFS</t>
  </si>
  <si>
    <t>BGP adjacency and BGP autonomous system (AS) numbers</t>
  </si>
  <si>
    <t>Required for Dynamic routing in the SDDC</t>
  </si>
  <si>
    <t>Teaming Configurations</t>
  </si>
  <si>
    <t>Use teaming options within vSphere Distributed Switch to provide load-balancing and failover.</t>
  </si>
  <si>
    <t>Multi-path routing</t>
  </si>
  <si>
    <t>Verfiy that Equal-cost multi-path routing (ECMP) is supported on interfaces between NSX Edge uplinks and Top-of Rack Switchs (ToRs)</t>
  </si>
  <si>
    <t>Stretched Network Requirements
(Multiple Availability Zone Environments Only)</t>
  </si>
  <si>
    <t>Verify that routing is in place between ESXI Management IP  subnets of  Availability Zone 1 (AZ1) and Availability Zone 2 (AZ2).
Verify that the following networks from AZ1 are are stretched across the two availability zones.
- VM Management network
- Uplink01 (If NSX Centralized Connectivity is enabled for Management Domain, or Centralized Connectivity is enabled for Workload Domain)
- Uplink02 (If NSX Centralized Connectivity is enabled for Management Domain, or Centralized Connectivity is enabled for Workload Domain)
- Edge Overlay (If NSX Centralized Connectivity is enabled for Management Domain, or Centralized Connectivity is enabled for Workload Domain)</t>
  </si>
  <si>
    <t>VMware Software, Scripts, and Tools</t>
  </si>
  <si>
    <t>Software</t>
  </si>
  <si>
    <t>Download Location</t>
  </si>
  <si>
    <t>Download</t>
  </si>
  <si>
    <t>VMware Cloud Foundation Installer</t>
  </si>
  <si>
    <t>support.broadcom.com</t>
  </si>
  <si>
    <t>vSAN Witness Appliance</t>
  </si>
  <si>
    <t>VMware-VirtualSAN-Witness-x.x.x-xxxxxxxx.ova</t>
  </si>
  <si>
    <t>You use this when deploying a witness appliance to a different fault domain when adding secodary availability zones.</t>
  </si>
  <si>
    <t>Third Party Software</t>
  </si>
  <si>
    <t>Vendor</t>
  </si>
  <si>
    <t>Product / Version</t>
  </si>
  <si>
    <t xml:space="preserve">Virtual Infrastructure
</t>
  </si>
  <si>
    <t>Any Supported</t>
  </si>
  <si>
    <t>Operating system for VMware vSphere® deployment.</t>
  </si>
  <si>
    <t>Active Directory</t>
  </si>
  <si>
    <t>Active Directory Element</t>
  </si>
  <si>
    <t>Domain Instance</t>
  </si>
  <si>
    <t>Active Directory Forest Configuration</t>
  </si>
  <si>
    <t>Parent Active Directory</t>
  </si>
  <si>
    <t>Contains Domain Name System (DNS) server, time server, SDDC users,  local and global groups.  Contains DNS records that replicate to all DNS servers in the forest.</t>
  </si>
  <si>
    <t>Active Directory Users and Groups</t>
  </si>
  <si>
    <t>All user accounts and groups from the Active Directory Inputs tab must exist in the Active Directory before installing and configuring the SDDC.</t>
  </si>
  <si>
    <t>Active Directory Connectivity</t>
  </si>
  <si>
    <t>All Active Directory domain controllers must be accessible by all management components within the SDDC.</t>
  </si>
  <si>
    <t>Active Directory Version</t>
  </si>
  <si>
    <t>Windows Server 2019 and Windows Server 2022 are supported.</t>
  </si>
  <si>
    <t>DHCP</t>
  </si>
  <si>
    <t>DHCP Server (Optional)</t>
  </si>
  <si>
    <t>The subnet and associated VLAN that provides IPv4 transport for the ESXi Host Overlay VMkernel ports can be configured for IPv4 address auto-assignment by using DHCP. You will need 1 IP address per NIC, per host available in the DHCP scope e.g a 4 node cluster with 2 NICs per node would require a minimum of 8 IP addresses in the DHCP scope.</t>
  </si>
  <si>
    <t>Entries</t>
  </si>
  <si>
    <t>DNS host entries</t>
  </si>
  <si>
    <t>Parent Instance</t>
  </si>
  <si>
    <t>Contains DNS Entries for Parent Domain</t>
  </si>
  <si>
    <t xml:space="preserve">DNS Entries resides in the parent domain. </t>
  </si>
  <si>
    <t>Child Instances</t>
  </si>
  <si>
    <t>Contain DNS Entries for Respective Child Domains</t>
  </si>
  <si>
    <t xml:space="preserve">Configure both DNS servers with the following settings
- Create PTR and A Records for all FQDNS listed in the Management Domain Creation, Workload Domain Creation and Cluster Creation Tabs 
- FQDNS and IP Address must be unique
- Dynamic updates for the domain set to Nonsecure and secure. 
- Zone replication scope for the domain set to All DNS server in this forest. </t>
  </si>
  <si>
    <t>DNS Configuration</t>
  </si>
  <si>
    <t>All Instances</t>
  </si>
  <si>
    <t>Configure a DNS Canonical Name (CNAME) record that maps the two time sources to one DNS name.</t>
  </si>
  <si>
    <t>Target</t>
  </si>
  <si>
    <t>NTP Sources</t>
  </si>
  <si>
    <t>NTP Configuration</t>
  </si>
  <si>
    <t>Configure two time sources per instance that are external to the SDDC. These sources can be physical radio or GPS time servers, or even NTP servers running on physical routers or servers. You may share the same time sources across instances if they are part of the same fault domain / location. Different time sources should be used if the instances are in different fault domains / locations. Within DNS, ensure that you have two identical hostnames referencing the individual IP addresses of your time sources, and one CNAME that references the identical hostname. This provides round robin high availablity via a single FQDN which is important when setting NTP on Cross-Instance components. Also consider placing the individual NTP servers on different networks to further improve high availability e.g. 
A Records
ntpserver.sfo.rainpole.io -&gt; 172.16.10.251
ntpserver.sfo.rainpole.io -&gt; 172.16.30.251
CNAME
ntp.sfo.rainpole.io -&gt; ntpserver.sfo.rainpole.io
If desired have two additional A Records for direct management of the NTP servers via FQDN e.g 
A Records
ntp0.sfo.rainpole.io -&gt; 172.16.10.251
ntp1.sfo.rainpole.io -&gt; 172.16.30.251
Ensure that the external time servers are synchronized to different time sources to ensure desirable NTP dispersion.
Ensure that NTP is configured properly in your Microsoft Active Directory Domain.
See https://blogs.technet.microsoft.com/nepapfe/2013/03/01/its-simple-time-configuration-in-active-directory/ and https://blogs.technet.microsoft.com/nepapfe/2013/03/01/its-simple-time-configuration-in-active-directory/</t>
  </si>
  <si>
    <t>SMTP Mail Relay</t>
  </si>
  <si>
    <t>SMTP mail relay</t>
  </si>
  <si>
    <t>A mail relay instance, must be reachable from each SDDC component. As a best practice, limit the relay function to the management IP range(s) of the SDDC deployment.</t>
  </si>
  <si>
    <t>CA must be able to ingest a Certificate Signing Request (CSR) from the SDDC components and issue a signed certificate.
Microsoft CAs must support basic authentication.</t>
  </si>
  <si>
    <t>CA must be able to ingest a Certificate Signing Request (CSR) from the SDDC components and issue a signed certificate.
For this validated design, use the Microsoft Windows Enterprise CA that is available in the Windows Server 2016 operating system of a root domain controller. The domain controller must be configured with the Certificate Authority Service and the Certificate Authority Web Enrollment roles.</t>
  </si>
  <si>
    <t>Host Machine Access</t>
  </si>
  <si>
    <t xml:space="preserve">         VMware Cloud Foundation Management Domain Deployment using VCF Installer</t>
  </si>
  <si>
    <t>This page contains all user required values used during the deployment of a VMware Cloud Foundation Management Domain. Each table and value maps directly to a process in the deployment guidance documentation.</t>
  </si>
  <si>
    <t>Download Binaries</t>
  </si>
  <si>
    <t>Depot Settings and Binary Management</t>
  </si>
  <si>
    <t>Depot Type</t>
  </si>
  <si>
    <t>Online</t>
  </si>
  <si>
    <t>Offline Depot - Hostname</t>
  </si>
  <si>
    <t>my-offline-depot.rainpole.io</t>
  </si>
  <si>
    <t xml:space="preserve">Offline Depot - Port </t>
  </si>
  <si>
    <t>rqkOYDQRWJJbO7FIxdMgfgcKFOzPZRg4</t>
  </si>
  <si>
    <t>Enable Proxy Server</t>
  </si>
  <si>
    <t>VCF Fleet</t>
  </si>
  <si>
    <t>HTTPS</t>
  </si>
  <si>
    <t>internet-proxy.rainpole.io</t>
  </si>
  <si>
    <t>VCF Automation</t>
  </si>
  <si>
    <t>Authenticated</t>
  </si>
  <si>
    <t>my_proxy_username@rainpole.io</t>
  </si>
  <si>
    <t>Deploy</t>
  </si>
  <si>
    <t>Deployment Wizard</t>
  </si>
  <si>
    <t>Values are set based on selections made in VCF VVF Planning Tab</t>
  </si>
  <si>
    <t>Existing Components</t>
  </si>
  <si>
    <t>Select the existing components you want to reuse in this VCF fleet</t>
  </si>
  <si>
    <t>Use an existing vCenter as the management domain vCenter.</t>
  </si>
  <si>
    <t>Minimum 3 Characters</t>
  </si>
  <si>
    <t>Management domain name</t>
  </si>
  <si>
    <t xml:space="preserve">Deployment model </t>
  </si>
  <si>
    <t>High Availability (Three-node)</t>
  </si>
  <si>
    <t>This selection applies to newly deployed appliances of VCF Operations, VCF Automation and NSX Manager.</t>
  </si>
  <si>
    <t>Auto-generate passwords for newly installed appliances</t>
  </si>
  <si>
    <t>Enter the configuration details for the VCF Operations appliances.</t>
  </si>
  <si>
    <t>Administrator Password</t>
  </si>
  <si>
    <t>Load Balancer FQDN</t>
  </si>
  <si>
    <t>Fleet management appliance</t>
  </si>
  <si>
    <t>Appliance FQDN</t>
  </si>
  <si>
    <t>Use same password as VCF Operations</t>
  </si>
  <si>
    <t>Enter the configuration details for VCF Automation appliance</t>
  </si>
  <si>
    <t>Enter the configuration details for the management domain vCenter.</t>
  </si>
  <si>
    <t>SSO Username</t>
  </si>
  <si>
    <t>Enter configuration details for the NSX Manager to be deployed.</t>
  </si>
  <si>
    <t>Select your desired storage type and fill out the corresponding fields</t>
  </si>
  <si>
    <t>Datastore Name</t>
  </si>
  <si>
    <t>Failures to Tolerate</t>
  </si>
  <si>
    <t>Path to NFS Share</t>
  </si>
  <si>
    <t>NFS Server IP Address</t>
  </si>
  <si>
    <t>NFS Datastore with datastore bound to vmknic</t>
  </si>
  <si>
    <t>Hosts</t>
  </si>
  <si>
    <t>Add Hosts</t>
  </si>
  <si>
    <t xml:space="preserve">Host #1 FQDN </t>
  </si>
  <si>
    <t xml:space="preserve">Host #2 FQDN </t>
  </si>
  <si>
    <t xml:space="preserve">Host #3 FQDN </t>
  </si>
  <si>
    <t xml:space="preserve">Host #4 FQDN </t>
  </si>
  <si>
    <t xml:space="preserve">Host #5 FQDN </t>
  </si>
  <si>
    <t xml:space="preserve">Host #6 FQDN </t>
  </si>
  <si>
    <t xml:space="preserve">Host #7 FQDN </t>
  </si>
  <si>
    <t xml:space="preserve">Host #8 FQDN </t>
  </si>
  <si>
    <t xml:space="preserve">Host #9 FQDN </t>
  </si>
  <si>
    <t xml:space="preserve">Host #10 FQDN </t>
  </si>
  <si>
    <t xml:space="preserve">Host #11 FQDN </t>
  </si>
  <si>
    <t xml:space="preserve">Host #12 FQDN </t>
  </si>
  <si>
    <t xml:space="preserve">Host #13 FQDN </t>
  </si>
  <si>
    <t xml:space="preserve">Host #14 FQDN </t>
  </si>
  <si>
    <t xml:space="preserve">Host #15 FQDN </t>
  </si>
  <si>
    <t xml:space="preserve">Host #16 FQDN </t>
  </si>
  <si>
    <t>Networks</t>
  </si>
  <si>
    <t>NFS IP Address Range - Start</t>
  </si>
  <si>
    <t>NFS IP Address Range - End</t>
  </si>
  <si>
    <t>Provide the vSphere Distributed Switch configuration to be applied to the hosts in the cluster.</t>
  </si>
  <si>
    <t>Selected Profile</t>
  </si>
  <si>
    <t>Distributed Switch Name</t>
  </si>
  <si>
    <t>Network Traffic: NFS</t>
  </si>
  <si>
    <t>Operational Mode</t>
  </si>
  <si>
    <t>Enhanced Datapath Standard</t>
  </si>
  <si>
    <t>Route Based on the Source of the Port ID</t>
  </si>
  <si>
    <t>IP Pool</t>
  </si>
  <si>
    <t>vmnic2</t>
  </si>
  <si>
    <t>vmnic3</t>
  </si>
  <si>
    <t>vmnic4</t>
  </si>
  <si>
    <t>vmnic5</t>
  </si>
  <si>
    <t>Enter the configuration details for the SDDC Manager appliance.</t>
  </si>
  <si>
    <t xml:space="preserve">VCF Installer deployed location </t>
  </si>
  <si>
    <t>Deployed on one of the hosts in the management domain</t>
  </si>
  <si>
    <t>VCF Password</t>
  </si>
  <si>
    <t xml:space="preserve">VCF MGMT Domain FQDN and IP Addresses </t>
  </si>
  <si>
    <t xml:space="preserve">Use this additional table to capture IP addressed required for each appliance being deployed </t>
  </si>
  <si>
    <t xml:space="preserve">VCF Operations </t>
  </si>
  <si>
    <t xml:space="preserve">        VMware Cloud Foundation Management Domain Sizing Inputs</t>
  </si>
  <si>
    <t>Management Domain Assumptions</t>
  </si>
  <si>
    <t>Management Domain Virtual Machine Requirement Summary</t>
  </si>
  <si>
    <t>Host Requirement Summary</t>
  </si>
  <si>
    <t>Component</t>
  </si>
  <si>
    <t>Nodes</t>
  </si>
  <si>
    <t>vCPU</t>
  </si>
  <si>
    <t>RAM (GB)</t>
  </si>
  <si>
    <t>Disk (GB)</t>
  </si>
  <si>
    <t>Management Hosts</t>
  </si>
  <si>
    <t>Host and Operations Reserve (%)</t>
  </si>
  <si>
    <t>Hosts count based on User Specification</t>
  </si>
  <si>
    <t>Storage Estimated Growth (%)</t>
  </si>
  <si>
    <t>CPU usage Per Host (based on N-1 hosts)</t>
  </si>
  <si>
    <t>RAM usage Per Host (based on N-1 hosts)</t>
  </si>
  <si>
    <t xml:space="preserve">Management Domain Host Parameters </t>
  </si>
  <si>
    <t>Attribute</t>
  </si>
  <si>
    <t>Management Domain NSX Edges</t>
  </si>
  <si>
    <t>vSAN Storage Requirements if used as Primary Storage</t>
  </si>
  <si>
    <t>CPU Cores</t>
  </si>
  <si>
    <t>Management Domain AVI Load Balancer</t>
  </si>
  <si>
    <t>RAM Count (GB)</t>
  </si>
  <si>
    <t>GB</t>
  </si>
  <si>
    <t>CPU Oversubscription (X:1)</t>
  </si>
  <si>
    <t>Virtual Machine Capacity Requirements</t>
  </si>
  <si>
    <t>Memory Oversubscription (X:1)</t>
  </si>
  <si>
    <t>Swap File Requirements</t>
  </si>
  <si>
    <t>Workload Domain AVI Load Balancer</t>
  </si>
  <si>
    <t>Interim Total  (VM Capacity + Swap File)</t>
  </si>
  <si>
    <t>Workload Domain Security Services Platform</t>
  </si>
  <si>
    <t>Allow for Redundancy based on FTT1</t>
  </si>
  <si>
    <t>Allow for Host Rebuild and Operations Reserve</t>
  </si>
  <si>
    <t>Allow for Estimated Growth</t>
  </si>
  <si>
    <t>Storage per Host (based on N-1 hosts)</t>
  </si>
  <si>
    <t>VCF Operations for networks</t>
  </si>
  <si>
    <t>VCF Operations for networks collector</t>
  </si>
  <si>
    <t>Totals</t>
  </si>
  <si>
    <t>Select</t>
  </si>
  <si>
    <t>vCenter               CPUs : RAM</t>
  </si>
  <si>
    <t>vCenter         Disk</t>
  </si>
  <si>
    <t>NSX Model</t>
  </si>
  <si>
    <t>NSX GM                   CPU : RAM : Disk</t>
  </si>
  <si>
    <t>Avi LB                 CPU : RAM : Disk</t>
  </si>
  <si>
    <t>Security Services Platform             CPU : RAM : Disk</t>
  </si>
  <si>
    <t>m01</t>
  </si>
  <si>
    <t>Included</t>
  </si>
  <si>
    <t>Workload Domains</t>
  </si>
  <si>
    <t>vCenter                CPUs : RAM</t>
  </si>
  <si>
    <t>vCenter          Disk</t>
  </si>
  <si>
    <t>NSX LM                 CPU : RAM : Disk</t>
  </si>
  <si>
    <t>Federation</t>
  </si>
  <si>
    <t>NSX GM                  CPU : RAM : Disk</t>
  </si>
  <si>
    <t>Site Protection DR                   CPU : RAM : Disk</t>
  </si>
  <si>
    <t>SSP                       CPU : RAM : Disk</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</si>
  <si>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</si>
  <si>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</si>
  <si>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</si>
  <si>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</si>
  <si>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</si>
  <si>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</si>
  <si>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</si>
  <si>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</si>
  <si>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</si>
  <si>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</si>
  <si>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</si>
  <si>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</si>
  <si>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</si>
  <si>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</si>
  <si>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</si>
  <si>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</si>
  <si>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</si>
  <si>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</si>
  <si>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</si>
  <si>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</si>
  <si>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</si>
  <si>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</si>
  <si>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</si>
  <si>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</si>
  <si>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Site Protection and Disaster Recovery for VMware Cloud Foundation</t>
  </si>
  <si>
    <t>On Premise Ransomware Recovery for VMware Cloud Foundation</t>
  </si>
  <si>
    <t xml:space="preserve">Memory </t>
  </si>
  <si>
    <t>Storage (GB)</t>
  </si>
  <si>
    <t>VMware Live Recovery Appliance Size MGMT Domain</t>
  </si>
  <si>
    <t>No sizing optionality for the appliance</t>
  </si>
  <si>
    <t xml:space="preserve">On Premise Ransomware Recovery </t>
  </si>
  <si>
    <t>VMware Live Recovery Appliance Size</t>
  </si>
  <si>
    <t>Portgroup should be created manually on Primary Distributed Switch post Deployment. Used for NSX Edge MGMT Interface.</t>
  </si>
  <si>
    <t>NSX Configuration for Availability Zone 2</t>
  </si>
  <si>
    <t>Stretch a vSAN cluster using the SDDC Manager API</t>
  </si>
  <si>
    <t>Deploy and Configure vSAN Witness Host  {vCenter}</t>
  </si>
  <si>
    <t>VDS Uplinks</t>
  </si>
  <si>
    <t>LAG Name</t>
  </si>
  <si>
    <t>LACP Mode</t>
  </si>
  <si>
    <t>LAG Load Balancing</t>
  </si>
  <si>
    <t>LACP Time Out</t>
  </si>
  <si>
    <t>Slow</t>
  </si>
  <si>
    <t>Source MAC</t>
  </si>
  <si>
    <t>vLAN</t>
  </si>
  <si>
    <t>Destination MAC</t>
  </si>
  <si>
    <t>Source and destination MAC</t>
  </si>
  <si>
    <t>Destination IP and vLAN</t>
  </si>
  <si>
    <t>Source IP and vLAN</t>
  </si>
  <si>
    <t>Source and destination IP and vLAN</t>
  </si>
  <si>
    <t>Destination TCP/UDP port</t>
  </si>
  <si>
    <t>Source TCP/UDP port</t>
  </si>
  <si>
    <t>Source and destination TCP/UDP port</t>
  </si>
  <si>
    <t>Destination IP and TCP/UDP port</t>
  </si>
  <si>
    <t>Source IP and TCP/UDP port</t>
  </si>
  <si>
    <t>Destination IP and TCP/UDP port and vLAN</t>
  </si>
  <si>
    <t>Source IP and TCP/UDP port and vLAN</t>
  </si>
  <si>
    <t>Source and destination IP and TCP/UDP port and vLAN</t>
  </si>
  <si>
    <t>Destination IP</t>
  </si>
  <si>
    <t>Source IP</t>
  </si>
  <si>
    <t>vLAN source port ID</t>
  </si>
  <si>
    <t>Lag Name</t>
  </si>
  <si>
    <t>Primary Distributed Switch</t>
  </si>
  <si>
    <t>Source and destination IP and TCP/UDP port</t>
  </si>
  <si>
    <t>Source and destination IP</t>
  </si>
  <si>
    <t>Primary Distributed Switch Name</t>
  </si>
  <si>
    <t>Fast</t>
  </si>
  <si>
    <t>input_vvs_dr_ntp1_ip</t>
  </si>
  <si>
    <t>input_cluster_vsan_type</t>
  </si>
  <si>
    <t>input_flt_vidb_deployment_mode</t>
  </si>
  <si>
    <t>input_mgmt_ec_gateway_type</t>
  </si>
  <si>
    <t>input_wld_cl01_vsan_client_network_chosen</t>
  </si>
  <si>
    <t>input_xreg_logs_nodea_hostname</t>
  </si>
  <si>
    <t>input_xreg_logs_nodeb_hostname</t>
  </si>
  <si>
    <t>input_xreg_logs_nodec_hostname</t>
  </si>
  <si>
    <t>input_xreg_net_nodea_hostname</t>
  </si>
  <si>
    <t>input_xreg_net_nodeb_hostname</t>
  </si>
  <si>
    <t>input_xreg_net_nodec_hostname</t>
  </si>
  <si>
    <t>input_xreg_vrops_flt_hostname</t>
  </si>
  <si>
    <t>input_vvs_dr_ntp1_server</t>
  </si>
  <si>
    <t>cluster_vsan_type_chosen</t>
  </si>
  <si>
    <t>flt_vidb_chosen</t>
  </si>
  <si>
    <t>mgmt_vns_chosen</t>
  </si>
  <si>
    <t>wld_cl01_vsan_client_network_chosen</t>
  </si>
  <si>
    <t>vvs_dr_flt_logs_nodea_hostname</t>
  </si>
  <si>
    <t>vvs_dr_flt_logs_nodeb_hostname</t>
  </si>
  <si>
    <t>vvs_dr_flt_logs_nodec_hostname</t>
  </si>
  <si>
    <t>vvs_dr_flt_net_nodea_hostname</t>
  </si>
  <si>
    <t>vvs_dr_flt_net_nodeb_hostname</t>
  </si>
  <si>
    <t>vvs_dr_flt_fleet_manager_hostname</t>
  </si>
  <si>
    <t>New</t>
  </si>
  <si>
    <t>Old</t>
  </si>
  <si>
    <t>wld_multirack_chosen</t>
  </si>
  <si>
    <t>wld_multirack_calc</t>
  </si>
  <si>
    <t>cluster_vsan_type</t>
  </si>
  <si>
    <t>wld_cl01_vsan_client_network</t>
  </si>
  <si>
    <t xml:space="preserve"> sample_mgmt_nsxt_gm_vip_ip</t>
  </si>
  <si>
    <t>sample_mgmt_nsxt_gm_ip</t>
  </si>
  <si>
    <t>input_mgmt_nsxt_gm_vip_ip</t>
  </si>
  <si>
    <t>input_mgmt_nsxt_gm_ip</t>
  </si>
  <si>
    <t>mgmt_nsxt_gm_vip_ip</t>
  </si>
  <si>
    <t>mgmt_nsxt_gm_ip</t>
  </si>
  <si>
    <t>sample_mgmt_nsxt_vip_ip</t>
  </si>
  <si>
    <t>sample_mgmt_nsxt_ip</t>
  </si>
  <si>
    <t>input_mgmt_nsxt_vip_ip</t>
  </si>
  <si>
    <t>input_mgmt_nsxt_ip</t>
  </si>
  <si>
    <t>mgmt_nsxt_vip_ip</t>
  </si>
  <si>
    <t>mgmt_nsxt_ip</t>
  </si>
  <si>
    <t>sample_wld_nsxt_gm_vip_ip</t>
  </si>
  <si>
    <t>sample_wld_nsxt_gm_ip</t>
  </si>
  <si>
    <t>input_wld_nsxt_gm_vip_ip</t>
  </si>
  <si>
    <t>input_wld_nsxt_gm_ip</t>
  </si>
  <si>
    <t>wld_nsxt_gm_vip_ip</t>
  </si>
  <si>
    <t>wld_nsxt_gm_ip</t>
  </si>
  <si>
    <t>sample_wld_nsxt_vip_ip</t>
  </si>
  <si>
    <t>sample_wld_nsxt_ip</t>
  </si>
  <si>
    <t>input_wld_nsxt_vip_ip</t>
  </si>
  <si>
    <t>input_wld_nsxt_ip</t>
  </si>
  <si>
    <t>wld_nsxt_vip_ip</t>
  </si>
  <si>
    <t>mgmt_wld_ip</t>
  </si>
  <si>
    <t>flt_vidb_fqdn</t>
  </si>
  <si>
    <t>flt_vidb_vip_fqdn</t>
  </si>
  <si>
    <t>sample_flt_vidb_vip_fqdn</t>
  </si>
  <si>
    <t>input_flt_vidb_vip_fqdn</t>
  </si>
  <si>
    <t>sample_flt_vidb_fqdn</t>
  </si>
  <si>
    <t>input_flt_vidb_fqdn</t>
  </si>
  <si>
    <r>
      <t xml:space="preserve">If MTU, Static Pools for Host TEP or custom configuration is required then use </t>
    </r>
    <r>
      <rPr>
        <b/>
        <sz val="12"/>
        <color theme="1"/>
        <rFont val="Arial"/>
        <family val="2"/>
      </rPr>
      <t>Copy from Preconfigured Profile</t>
    </r>
    <r>
      <rPr>
        <sz val="12"/>
        <color theme="1"/>
        <rFont val="Arial"/>
        <family val="2"/>
      </rPr>
      <t xml:space="preserve"> option</t>
    </r>
  </si>
  <si>
    <t>Should be created manually on Primary Distributed Switch post Deployment. Used for NSX Edge MGMT Interface.</t>
  </si>
  <si>
    <t>IP Address must be in the same subnet as the VM Management Network for the Management Workload Domain</t>
  </si>
  <si>
    <t xml:space="preserve">Workflow will auto generate the Datastore name. Datastore can be changed to the desired value post deployment. </t>
  </si>
  <si>
    <t xml:space="preserve">Is configured as part of the Global Fabric setting </t>
  </si>
  <si>
    <t xml:space="preserve">vSAN Stretched Cluster </t>
  </si>
  <si>
    <t>vSAN Stretched Cluster {API}</t>
  </si>
  <si>
    <t>sizing_m01_nsxt_model_chosen</t>
  </si>
  <si>
    <t xml:space="preserve">sizing_wld_nsxt_model_chosen </t>
  </si>
  <si>
    <t xml:space="preserve">sizing_m01_vcenter_appliance_size_chosen </t>
  </si>
  <si>
    <t>sizing_m01_vcenter_storage_size_chosen</t>
  </si>
  <si>
    <t>mgmt_nsxt_appliance_size_chosen</t>
  </si>
  <si>
    <t>wld_nsxt_appliance_size_chosen</t>
  </si>
  <si>
    <t>mgmt_vcenter_appliance_size_chosen</t>
  </si>
  <si>
    <t>mgmt_vcenter_appliance_storage_size_chosen</t>
  </si>
  <si>
    <t>XLarge</t>
  </si>
  <si>
    <t>TinyXLarge</t>
  </si>
  <si>
    <t>SmallXLarge</t>
  </si>
  <si>
    <t>MediumXLarge</t>
  </si>
  <si>
    <t>LargeXLarge</t>
  </si>
  <si>
    <t>XLargeDefault</t>
  </si>
  <si>
    <t>XLargeLarge</t>
  </si>
  <si>
    <t>XLargeXLarge</t>
  </si>
  <si>
    <t>mgmt_vcfops_appliance_size_chosen</t>
  </si>
  <si>
    <t>xreg_vrops_appliance_size_chosen</t>
  </si>
  <si>
    <t>NSX Network Connectivity for  Workload Domain Reference Sheet</t>
  </si>
  <si>
    <t>9.1.0.0</t>
  </si>
  <si>
    <t>Deploy new VMware vSphere Foundation</t>
  </si>
  <si>
    <t>Network Options</t>
  </si>
  <si>
    <t>The deployment model and size that you select does not impact existing components that you maybe using in your VCF fleet or VCF Instance</t>
  </si>
  <si>
    <t xml:space="preserve">Size </t>
  </si>
  <si>
    <t>Distributed connectivity</t>
  </si>
  <si>
    <t>Storage Options</t>
  </si>
  <si>
    <t>Storage Option</t>
  </si>
  <si>
    <t>I have an existing vCenter instance</t>
  </si>
  <si>
    <t>I have an existing VCF Operations 9.1 instance</t>
  </si>
  <si>
    <t>9.0 PnP Fields</t>
  </si>
  <si>
    <t>Gateway CIDR</t>
  </si>
  <si>
    <t>MGMT Rack 1 Network Gateways CIDRs (Primary AZ)</t>
  </si>
  <si>
    <t>Network options are set to the recommended values by default. Review them below, and customize any settings that need changes. Select how your management traffic is set up - level of segregation/isolation</t>
  </si>
  <si>
    <t xml:space="preserve">VM management network </t>
  </si>
  <si>
    <t>Use a separate dedicated network</t>
  </si>
  <si>
    <t>VCF Management Services</t>
  </si>
  <si>
    <t>Scale Options</t>
  </si>
  <si>
    <t>Aria Automation Node E</t>
  </si>
  <si>
    <t>Aria Automation Node F</t>
  </si>
  <si>
    <t>WLD Witness MGMT Gateway</t>
  </si>
  <si>
    <t>WLD Witness MGMT Network</t>
  </si>
  <si>
    <t>WLD Witness MGMT Mask</t>
  </si>
  <si>
    <t xml:space="preserve">MGMT Witness Network </t>
  </si>
  <si>
    <t xml:space="preserve">MGMT Witness Mask </t>
  </si>
  <si>
    <t>Small HA</t>
  </si>
  <si>
    <t>VCFMS Worker Node</t>
  </si>
  <si>
    <t>VCFMS Worker Node CPU</t>
  </si>
  <si>
    <t xml:space="preserve">VCFMS Worker Node RAM </t>
  </si>
  <si>
    <t>VCFMS Worker Node Disk</t>
  </si>
  <si>
    <t xml:space="preserve">VCFMS Control Node RAM </t>
  </si>
  <si>
    <t>VCFMS Control Node Disk</t>
  </si>
  <si>
    <t>VCFMS Control Node CPU</t>
  </si>
  <si>
    <t>Management Domain NSX Managers (Local / Global)</t>
  </si>
  <si>
    <t>VCF management network</t>
  </si>
  <si>
    <t>VPC Gateway Connectivity</t>
  </si>
  <si>
    <t xml:space="preserve">IP Scheme </t>
  </si>
  <si>
    <t>vMotion network IP scheme</t>
  </si>
  <si>
    <t>IPv4</t>
  </si>
  <si>
    <t>Storage network IP scheme</t>
  </si>
  <si>
    <t>Transit Gateway type</t>
  </si>
  <si>
    <t>Activate vSAN Deduplication and Compression</t>
  </si>
  <si>
    <t>Activate vSAN Data-in-Transit encryption</t>
  </si>
  <si>
    <t xml:space="preserve">These settings only appy to newly deployed components </t>
  </si>
  <si>
    <t>IPv4 gateway (CIDR notation)</t>
  </si>
  <si>
    <t>IPv6 gateway (CIDR notation)</t>
  </si>
  <si>
    <t>VCF Management Network</t>
  </si>
  <si>
    <t>IPv4 address Range From</t>
  </si>
  <si>
    <t>IPv4 address Range To</t>
  </si>
  <si>
    <t>IPv6 address Range From</t>
  </si>
  <si>
    <t>IPv6 address Range To</t>
  </si>
  <si>
    <t>IP address Range From</t>
  </si>
  <si>
    <t>IP address Range To</t>
  </si>
  <si>
    <t>External Network for Distributed Transit Gateway</t>
  </si>
  <si>
    <t>License Server</t>
  </si>
  <si>
    <t>VCF services runtime FQDN</t>
  </si>
  <si>
    <t>VVF</t>
  </si>
  <si>
    <t>Use VM management network</t>
  </si>
  <si>
    <t>VCF services runtime</t>
  </si>
  <si>
    <t>Real-time metrics</t>
  </si>
  <si>
    <t>VCF services runtime worker nodes</t>
  </si>
  <si>
    <t>Management Domain Security Services Platform</t>
  </si>
  <si>
    <t>Workload Domain NSX Managers (Local / Global)</t>
  </si>
  <si>
    <t>NSX LM                   CPU : RAM : Disk</t>
  </si>
  <si>
    <t>VCF services runtime control nodes</t>
  </si>
  <si>
    <t>Deploy deferred components</t>
  </si>
  <si>
    <t>Edge Node MGMT CIDR</t>
  </si>
  <si>
    <t>VCF Management services</t>
  </si>
  <si>
    <t>Identity Broker FQDN</t>
  </si>
  <si>
    <t>At least one of the provided DNS addresses needs to match the address used by the VCF Installer Appliance</t>
  </si>
  <si>
    <t>At least one of the provided NTP addresses needs to match the address used by the VCF Installer Appliance.</t>
  </si>
  <si>
    <t>Default hostname DNS suffix</t>
  </si>
  <si>
    <t>IPv4 Gateway (CIDR notation)</t>
  </si>
  <si>
    <t>Fleet components</t>
  </si>
  <si>
    <t>Instance component</t>
  </si>
  <si>
    <t>Identity Broker</t>
  </si>
  <si>
    <t>VCF management services</t>
  </si>
  <si>
    <t>VCF Installer</t>
  </si>
  <si>
    <t xml:space="preserve">VCF MS Service Runtime </t>
  </si>
  <si>
    <t xml:space="preserve">VCF MS Intance Components </t>
  </si>
  <si>
    <t xml:space="preserve">Licence Server </t>
  </si>
  <si>
    <t xml:space="preserve">VCF MS Fleet Components </t>
  </si>
  <si>
    <t>VCF Operations Load Balancer</t>
  </si>
  <si>
    <t>Cluster Node IP Pool #5</t>
  </si>
  <si>
    <t>Cluster Node IP Pool #6</t>
  </si>
  <si>
    <t>Cloud Proxy</t>
  </si>
  <si>
    <t>Primary node FQDN</t>
  </si>
  <si>
    <t>VCFA Node End IP</t>
  </si>
  <si>
    <t>VCFA Node start IP</t>
  </si>
  <si>
    <t>VCFMS Node start IP</t>
  </si>
  <si>
    <t>VCFMS Node end IP</t>
  </si>
  <si>
    <t>Replica FQDN</t>
  </si>
  <si>
    <t>Data node FQDN</t>
  </si>
  <si>
    <t>IPV6 Prefix</t>
  </si>
  <si>
    <t>2001:db8:0:</t>
  </si>
  <si>
    <t xml:space="preserve">MGMT Fleet Deployment network </t>
  </si>
  <si>
    <t>CONCATENATE(prefix_flt_shared_cidr,".46")))</t>
  </si>
  <si>
    <t>IP Scheme</t>
  </si>
  <si>
    <t>IPv4 IP Range End :</t>
  </si>
  <si>
    <t>IPv4 IP Range Start :</t>
  </si>
  <si>
    <t>IPv4 Gateway (CIDR Notation)</t>
  </si>
  <si>
    <t>IPv6 Gateway (CIDR Notation)</t>
  </si>
  <si>
    <t>IPv6 IP Range Start :</t>
  </si>
  <si>
    <t>IPv6 IP Range End :</t>
  </si>
  <si>
    <t>2001:db8:0:1315::101/64</t>
  </si>
  <si>
    <t>2001:db8:0:1315::116/64</t>
  </si>
  <si>
    <t xml:space="preserve">IP Assignment </t>
  </si>
  <si>
    <t>IPv4 Range Start:</t>
  </si>
  <si>
    <t>IPv4 Range End:</t>
  </si>
  <si>
    <t>IPv6 Range Start:</t>
  </si>
  <si>
    <t>IPv6 Range End:</t>
  </si>
  <si>
    <t>Dual Stack (IPv6 and IPv4) Networking</t>
  </si>
  <si>
    <t>NSX Manager Appliances</t>
  </si>
  <si>
    <t>Create new NSX Manager instance</t>
  </si>
  <si>
    <t>Distributed Connectivity</t>
  </si>
  <si>
    <t>Virtual Network Appliance-1 FQDN</t>
  </si>
  <si>
    <t>Virtual Network Appliance-2 FQDN</t>
  </si>
  <si>
    <t>Data-in-Transit encryption</t>
  </si>
  <si>
    <t>Rekey interval</t>
  </si>
  <si>
    <t>1 Day</t>
  </si>
  <si>
    <t xml:space="preserve">NFS: Folder </t>
  </si>
  <si>
    <t>NFS: Server IP Address</t>
  </si>
  <si>
    <t>172.29.0.0/16</t>
  </si>
  <si>
    <t>WLD Rack 1 Network Gateways CIDRs (Primary AZ)</t>
  </si>
  <si>
    <t xml:space="preserve">VM Management Network can be used for the NSX Edge Node Management Interface </t>
  </si>
  <si>
    <t>Full deployment with cluster</t>
  </si>
  <si>
    <t>IPv6</t>
  </si>
  <si>
    <t>Custom allows you set an interval in minutes between 30-10080</t>
  </si>
  <si>
    <t>By Applying default operation mode configured in NSX Manager, Enhanced Datapath Standard will be enabled.</t>
  </si>
  <si>
    <t>Note: Only Single Zone vSphere Supervisor with NSX VPC Networking can be deployed during WLD Creation.</t>
  </si>
  <si>
    <t>Use vSphere Client or vCenter API for other topologies</t>
  </si>
  <si>
    <t>VMware Cloud Foudation Workload Domain Passwords</t>
  </si>
  <si>
    <t>Rekey mode</t>
  </si>
  <si>
    <t>Rekey interval - Default</t>
  </si>
  <si>
    <t>Rekey interval - Custom</t>
  </si>
  <si>
    <t xml:space="preserve">Customize appliance sizing during install. </t>
  </si>
  <si>
    <t>Download Service ID</t>
  </si>
  <si>
    <t>Activation Code</t>
  </si>
  <si>
    <t>Proxy FQDN or IP address</t>
  </si>
  <si>
    <t>Simple</t>
  </si>
  <si>
    <t>Distributed Switch Profile</t>
  </si>
  <si>
    <t>Dual stack networking</t>
  </si>
  <si>
    <t>When dual stack networking is enabled, you must select either IPv4 or IPv6 for the vMotion and vSAN networks</t>
  </si>
  <si>
    <t>SDDC Manager FQDN</t>
  </si>
  <si>
    <t>SSO Administrator username</t>
  </si>
  <si>
    <t>SSO Administrator password</t>
  </si>
  <si>
    <t>Scale options</t>
  </si>
  <si>
    <t>This selection applies to newly deployed appliances of VCF Operations and VCF Automation</t>
  </si>
  <si>
    <t>Port group for VCF management traffic</t>
  </si>
  <si>
    <t>Gateway (CIDR notation)</t>
  </si>
  <si>
    <t>VCF management traffic Network</t>
  </si>
  <si>
    <t>Activate Edge cluster sync and import NSX Edge node VMs</t>
  </si>
  <si>
    <t>Centralized connectivity</t>
  </si>
  <si>
    <t>Default project</t>
  </si>
  <si>
    <t xml:space="preserve">Host Overlay MTU Value is inherited from the assocated Distributed Switch. </t>
  </si>
  <si>
    <t>VNA Appliances IPs need to be within the ESX Management Network</t>
  </si>
  <si>
    <t>Span</t>
  </si>
  <si>
    <t>Default Span</t>
  </si>
  <si>
    <t>Note: You cannot modify BFD, BGP Peer ASN and BGP Peer Password fields because the BGP Peer IP you have entered is the same as the uplink 2 of edge sfo-m01-r01-en01.</t>
  </si>
  <si>
    <t>Auto generate passwords and manage them via VCF Ops</t>
  </si>
  <si>
    <t xml:space="preserve">Log Management FQDN </t>
  </si>
  <si>
    <t>Number Of Replicas</t>
  </si>
  <si>
    <t>FQDN for one of the Logs appliances</t>
  </si>
  <si>
    <t xml:space="preserve">Deployment Size </t>
  </si>
  <si>
    <t xml:space="preserve">Configure VMware Cloud Foundation Authentication </t>
  </si>
  <si>
    <t>IP Assignment</t>
  </si>
  <si>
    <t>IPv4 Only</t>
  </si>
  <si>
    <t>TEP IP Address Type</t>
  </si>
  <si>
    <t>Configure overlay using ESX Management VMkernel Networking</t>
  </si>
  <si>
    <t>Size</t>
  </si>
  <si>
    <t>VCF Instance</t>
  </si>
  <si>
    <t>Identity broker FQDN</t>
  </si>
  <si>
    <t>Display Name</t>
  </si>
  <si>
    <t>Used to identify Identity broker when multiple instances are present.</t>
  </si>
  <si>
    <t>Dual Stack</t>
  </si>
  <si>
    <t>IPv4 Address - Collector Node</t>
  </si>
  <si>
    <t>IPv4 Address - Platform Node</t>
  </si>
  <si>
    <t>IPv6 Address - Platform Node</t>
  </si>
  <si>
    <t>IPv6 Address - Collector Node</t>
  </si>
  <si>
    <t>VMware Cloud Foudation Management Domain Passwords - Only supported via API. Option is not visible VCF installer UI</t>
  </si>
  <si>
    <t>VMware Cloud Foudation Management Domain Appliance Sizing - Only supported via API. Option is not visible VCF installer UI</t>
  </si>
  <si>
    <t>Passwords</t>
  </si>
  <si>
    <t xml:space="preserve">Visability </t>
  </si>
  <si>
    <t xml:space="preserve">External </t>
  </si>
  <si>
    <t>Excluded Ips</t>
  </si>
  <si>
    <t>Reserved for Specific Subnet</t>
  </si>
  <si>
    <t xml:space="preserve"> VCF installer | SDDC Manager | vCenter</t>
  </si>
  <si>
    <t xml:space="preserve">Network Traffic: ESX Management </t>
  </si>
  <si>
    <t>Network Traffic: VCF Management</t>
  </si>
  <si>
    <t xml:space="preserve">VCF Management Network </t>
  </si>
  <si>
    <t>mgmt_az1_vcf_mgmt_network</t>
  </si>
  <si>
    <t>MGMT Rack 1 Portgroup uplink  (Primary AZ)</t>
  </si>
  <si>
    <t>High Availability</t>
  </si>
  <si>
    <t>Deployment Size Control Node</t>
  </si>
  <si>
    <t>Software Depot</t>
  </si>
  <si>
    <t>High Availability (Three-Node)</t>
  </si>
  <si>
    <t>Deploy the VCF OPs and VCF Auto to a specific vDPG or NSX segment</t>
  </si>
  <si>
    <t>VCF Management Services IP Range</t>
  </si>
  <si>
    <t>VCF Automation IP Range</t>
  </si>
  <si>
    <t>Fleet components FQDN</t>
  </si>
  <si>
    <t>Instance components FQDN</t>
  </si>
  <si>
    <t>VCF MGMT services</t>
  </si>
  <si>
    <t>Identity Broker CPU</t>
  </si>
  <si>
    <t>Identity Broker RAM</t>
  </si>
  <si>
    <t>Identity Broker Disk</t>
  </si>
  <si>
    <t xml:space="preserve">Availability model </t>
  </si>
  <si>
    <t>Instance Model</t>
  </si>
  <si>
    <t>VCF Fleet Components</t>
  </si>
  <si>
    <t>VCF Instance Profile</t>
  </si>
  <si>
    <t xml:space="preserve">Software Depot (Additional Instance) </t>
  </si>
  <si>
    <t>Identity Broker (Additional Instance)</t>
  </si>
  <si>
    <t>Virtual Network Appliance A</t>
  </si>
  <si>
    <t>Virtual Network Appliance B</t>
  </si>
  <si>
    <t xml:space="preserve">Virtual Network Appliance </t>
  </si>
  <si>
    <t xml:space="preserve">Form Factor </t>
  </si>
  <si>
    <t xml:space="preserve">Node Name (FQDN) </t>
  </si>
  <si>
    <t xml:space="preserve">vSphere Cluster </t>
  </si>
  <si>
    <t>IP Address Type</t>
  </si>
  <si>
    <t xml:space="preserve">Management CIDR </t>
  </si>
  <si>
    <t xml:space="preserve">VPC Services </t>
  </si>
  <si>
    <t>Virtual Network Appliance 02</t>
  </si>
  <si>
    <t>Virtual Network Appliance 01</t>
  </si>
  <si>
    <t>Sample VCF Installer FQDN</t>
  </si>
  <si>
    <t>Private</t>
  </si>
  <si>
    <t>Not Set</t>
  </si>
  <si>
    <t>VPC External IP Blocks Pool Name</t>
  </si>
  <si>
    <t>Private - Transit Gateway IP Blocks Pool Name</t>
  </si>
  <si>
    <t>NOTE: Passwords will be automatically generated and can be managed via VCF Operations Password Management.</t>
  </si>
  <si>
    <t>172.16.0.0/16</t>
  </si>
  <si>
    <t>Supervisor Management {vCenter}</t>
  </si>
  <si>
    <t>Select a networking stack</t>
  </si>
  <si>
    <t>Supervisor location</t>
  </si>
  <si>
    <t>Cluster Deployment</t>
  </si>
  <si>
    <t>Supervisor name</t>
  </si>
  <si>
    <t xml:space="preserve">VCF Networking with VPC </t>
  </si>
  <si>
    <t xml:space="preserve">Enable control plane high-availability </t>
  </si>
  <si>
    <t>vSphere Zone name</t>
  </si>
  <si>
    <t>Control Plane Storage Policy</t>
  </si>
  <si>
    <t>Ephemeral Disks Storage Policy</t>
  </si>
  <si>
    <t>Image Cache Storage Policy</t>
  </si>
  <si>
    <t>vCenter Server and Network</t>
  </si>
  <si>
    <t>IP Assignment Mode</t>
  </si>
  <si>
    <t>IP Addresses</t>
  </si>
  <si>
    <t>DNS Search Domains</t>
  </si>
  <si>
    <t>NTP Servers(s)</t>
  </si>
  <si>
    <t>Workload Network</t>
  </si>
  <si>
    <t>External IP Blocks</t>
  </si>
  <si>
    <t>Private (Transit Gateway) IP Blocks</t>
  </si>
  <si>
    <t>Private (VPC) CIDRs</t>
  </si>
  <si>
    <t>DNS Server(s</t>
  </si>
  <si>
    <t>NTP Server(s)</t>
  </si>
  <si>
    <t>Default VPC Connectivtiy Profile</t>
  </si>
  <si>
    <t>Advanced Settings</t>
  </si>
  <si>
    <t>Supervisor Control Plane Size</t>
  </si>
  <si>
    <t>API Server DNS Name(s)</t>
  </si>
  <si>
    <t xml:space="preserve">Management Supervisor </t>
  </si>
  <si>
    <t>VCF Networking with VPC</t>
  </si>
  <si>
    <t>172.32.0.0/16</t>
  </si>
  <si>
    <t>172.31.0.0/16</t>
  </si>
  <si>
    <t xml:space="preserve">Management VPC Configuration  </t>
  </si>
  <si>
    <t xml:space="preserve">Workload VPC Configuration   </t>
  </si>
  <si>
    <t xml:space="preserve">Workload Supervisor </t>
  </si>
  <si>
    <t>The existing vCenter is registered with NSX Manager</t>
  </si>
  <si>
    <t>I have an existing VCF Automation Instance or I will deploy later</t>
  </si>
  <si>
    <t xml:space="preserve"> Selecting this option will skip the deployment of a new VCF Automation in this flow.</t>
  </si>
  <si>
    <t>Configure the storage settings for the primary cluster in the management domain.</t>
  </si>
  <si>
    <t>VCF-A</t>
  </si>
  <si>
    <t>VCF services runtime nodes CIDR</t>
  </si>
  <si>
    <t>VCF Automation IP Address</t>
  </si>
  <si>
    <t xml:space="preserve">VCF services runtime IP Address </t>
  </si>
  <si>
    <t>VCF Automation  IP Address</t>
  </si>
  <si>
    <t>VCF services runtime IP Address</t>
  </si>
  <si>
    <t>Cloud Proxy IP</t>
  </si>
  <si>
    <t>License Server IP</t>
  </si>
  <si>
    <t>VCF Automation IP</t>
  </si>
  <si>
    <t xml:space="preserve"> VCF Operations Primary node IP</t>
  </si>
  <si>
    <t xml:space="preserve"> VCF Operations Replica IP</t>
  </si>
  <si>
    <t xml:space="preserve"> VCF Operations Data node IP</t>
  </si>
  <si>
    <t xml:space="preserve"> VCF Operations Load Balancer IP</t>
  </si>
  <si>
    <t>Identity broker IP</t>
  </si>
  <si>
    <t xml:space="preserve">SSP License </t>
  </si>
  <si>
    <t>IP range for the nodes of the VCF services runtime for VCF Automation.</t>
  </si>
  <si>
    <t>4 addresses are used for active nodes, and 1 is used when recreating a node during rolling upgrades.</t>
  </si>
  <si>
    <t>FQDN to access the hosted fleet-level components which do not require a separate FQDN, for example, the fleet lifecycle component.</t>
  </si>
  <si>
    <t>FQDN to access the hosted instance-level components which do not require a separate FQDN, for example, the SDDC lifecycle and real-time metrics components.</t>
  </si>
  <si>
    <t>FQDN to access the VCF services runtime component to troubleshoot issues, restart components, etc. The hostname from this FQDN is prefixed to the names of its node VMs and related objects.</t>
  </si>
  <si>
    <t xml:space="preserve">Value is set based on VLAN  for Edge node 1 </t>
  </si>
  <si>
    <t>Configure VCF Authentication</t>
  </si>
  <si>
    <t>Automation Service Runtime IP</t>
  </si>
  <si>
    <t xml:space="preserve">Gateway </t>
  </si>
  <si>
    <t xml:space="preserve">VDS </t>
  </si>
  <si>
    <t>172.30.0.0/16</t>
  </si>
  <si>
    <t>You must first enable the protocol in SDDC Manager</t>
  </si>
  <si>
    <t>Deploying Automation using VCF OPS UI  does not allow you to choose a network or vDPG. Cidr has to reside within the VM MGMT Network</t>
  </si>
  <si>
    <t>VCF services runtime FQDN must resolve to IP addresses that fall outside of the provided CIDR.</t>
  </si>
  <si>
    <t>VCF Automation FQDN must resolve to IP addresses that fall outside of the provided CIDR.</t>
  </si>
  <si>
    <t>v1.9.1.001</t>
  </si>
  <si>
    <t>May-4-2026</t>
  </si>
  <si>
    <t xml:space="preserve">Deploy Deffered Components </t>
  </si>
  <si>
    <t>Cloud Proxy FQDN</t>
  </si>
  <si>
    <t>License Server FQDN</t>
  </si>
  <si>
    <t>VRA FQDN</t>
  </si>
  <si>
    <t>Automation Service Runtime FQDN</t>
  </si>
  <si>
    <t>Management Domain vCenter</t>
  </si>
  <si>
    <t>Workload Domain vCenter</t>
  </si>
  <si>
    <t>Log Management</t>
  </si>
  <si>
    <t>Real-time Metrics</t>
  </si>
  <si>
    <t>Log Management Replicas</t>
  </si>
  <si>
    <t>Protection Blueprint Sizing Details</t>
  </si>
  <si>
    <t>Protection Blueprint: Deployment</t>
  </si>
  <si>
    <t xml:space="preserve">         Site Protection and Disaster Recovery Protection Blueprint </t>
  </si>
  <si>
    <t>This page contains all user required values used during the deployment of the Site Protection and Disaster Recovery Protection Blueprint . Each table and value maps directly to a process in the deployment guidance documentation.</t>
  </si>
  <si>
    <t xml:space="preserve">         VMware Cloud Foundation Live Recovery for Ransomware Recovery Protection Blueprint </t>
  </si>
  <si>
    <t>Protection Blueprint Requirements</t>
  </si>
  <si>
    <t>VMware Live Recovery Appliance Size Workload Domain</t>
  </si>
  <si>
    <t>Create Workload Domain</t>
  </si>
  <si>
    <t>Workload Domain Type</t>
  </si>
  <si>
    <t>Import Workload Domain</t>
  </si>
  <si>
    <t xml:space="preserve">Deploy Workload Domain </t>
  </si>
  <si>
    <t>Deploy a Workload Domain</t>
  </si>
  <si>
    <t xml:space="preserve">        VMware Cloud Foundation Workload Domain Post-Deployment </t>
  </si>
  <si>
    <t>NSX Network Connectivity for Workload Domain</t>
  </si>
  <si>
    <t>Site Protection &amp; Disaster Recovery References (Workload Domain)</t>
  </si>
  <si>
    <t>Isolated Workload Domain SSO Domain</t>
  </si>
  <si>
    <t>Isolated Workload Domain SSO Password</t>
  </si>
  <si>
    <t>VCF License server</t>
  </si>
  <si>
    <t xml:space="preserve"> VCF services runtime for VCF Automation</t>
  </si>
  <si>
    <t>VCF Management Services IPv4 address Range From</t>
  </si>
  <si>
    <t>VCF Management Services IPv4 address Range To</t>
  </si>
  <si>
    <t>SSH credentials</t>
  </si>
  <si>
    <t>SSH credentials (vmware-system-user)</t>
  </si>
  <si>
    <t xml:space="preserve">Deploy AVI Load Balancer </t>
  </si>
  <si>
    <t>Deploy Log management</t>
  </si>
  <si>
    <t>Replica node FQDN</t>
  </si>
  <si>
    <t>VCF services runtime for VCF Automation</t>
  </si>
  <si>
    <t xml:space="preserve"> VCF Operations Replica node IP</t>
  </si>
  <si>
    <t>Deploy VCF Automation  {Using VMware Cloud Foundation Operations}</t>
  </si>
  <si>
    <t>Choose a Deployment mode</t>
  </si>
  <si>
    <t xml:space="preserve">Deploy AVI Load balancer </t>
  </si>
  <si>
    <t>Virtual Infrastructure Workload Domain: Post-Deployment Options</t>
  </si>
  <si>
    <t>Virtual Infrastructure Workload Domain: Deployment</t>
  </si>
  <si>
    <t>Custom</t>
  </si>
  <si>
    <t>Configure User and Group Provisioning  {VMware Cloud Foundation Operations}</t>
  </si>
  <si>
    <t>Deploy VCF Operations for Networks {VMware Cloud Foundation Operations}</t>
  </si>
  <si>
    <t>Value is set based on choice in the Virtual Infrastructure Workload Domain: Deployment Options</t>
  </si>
  <si>
    <t>Can only be enabled on vSAN OSA Datastore</t>
  </si>
  <si>
    <t>Value is based on Primary Storage selection in the Virtual Infrastructure Workload Domain: Deployment Options</t>
  </si>
  <si>
    <t>Management Domain Virtual Network Appliances</t>
  </si>
  <si>
    <t>NSX Connectivity          CPU : RAM : Disk</t>
  </si>
  <si>
    <t>NSX Edge Small</t>
  </si>
  <si>
    <t>NSX Edge Medium</t>
  </si>
  <si>
    <t>NSX Edge Large</t>
  </si>
  <si>
    <t>NSX Edge XLarge</t>
  </si>
  <si>
    <t>VNA Small</t>
  </si>
  <si>
    <t>VNA Medium</t>
  </si>
  <si>
    <t>VNA Large</t>
  </si>
  <si>
    <t>VNA XLarge</t>
  </si>
  <si>
    <t>Implementation of Cyber Recovery for VMware Cloud Foundation</t>
  </si>
  <si>
    <t>Deploy the Protection and Recovery Appliance for Cyber Recovery for VMware Cloud Foundation</t>
  </si>
  <si>
    <t>Host Network IP Address Family</t>
  </si>
  <si>
    <t>Host Network Mode</t>
  </si>
  <si>
    <t>10.11.10.1</t>
  </si>
  <si>
    <t>STATIC</t>
  </si>
  <si>
    <t>Create vCenter Single Sign-On User for Registering Protection and Recovery for Cyber Recovery for VMware Cloud Foundation</t>
  </si>
  <si>
    <t>Assign vCenter Single Sign-On User with Group Role for Cyber Recovery for VMware Cloud Foundation</t>
  </si>
  <si>
    <t>vCenter host name</t>
  </si>
  <si>
    <t>Configure the Protection and Recovery Appliance for Cyber Recovery for VMware Cloud Foundation</t>
  </si>
  <si>
    <t>Create a Port Group for vSphere Replication Traffic for Cyber Recovery for VMware Cloud Foundation</t>
  </si>
  <si>
    <t>Select an existing network</t>
  </si>
  <si>
    <t>Create a VMkernel Adapter on the ESX Hosts for vSphere Replication Traffic for Cyber Recovery for VMware Cloud Foundation</t>
  </si>
  <si>
    <t>Create a Virtual Machine Folder for workload VMs for Cyber Recovery for VMware Cloud Foundation</t>
  </si>
  <si>
    <t>Create Site and Cluster Pairing for Cyber Recovery for VMware Cloud Foundation</t>
  </si>
  <si>
    <t>vCenter hostname</t>
  </si>
  <si>
    <t>Pair clusters</t>
  </si>
  <si>
    <t>Cloud region</t>
  </si>
  <si>
    <t>Set Up the Clean Room Orchestrator for Cyber Recovery for VMware Cloud Foundation</t>
  </si>
  <si>
    <t>Apply Protection and Recovery License for Cyber Recovery for VMware Cloud Foundation</t>
  </si>
  <si>
    <t>License key</t>
  </si>
  <si>
    <t>Enabling Ransomware Recovery Services for Cyber Recovery for VMware Cloud Foundation</t>
  </si>
  <si>
    <t>Activate Integrated Analysis - Preference</t>
  </si>
  <si>
    <t>Carbon Black - Country</t>
  </si>
  <si>
    <t>CrowdStrike instance</t>
  </si>
  <si>
    <t>Create and Name the Clean Room for Cyber Recovery for VMware Cloud Foundation</t>
  </si>
  <si>
    <t>Name (isolated clean room)</t>
  </si>
  <si>
    <t>Deploy and Configure the Connector VM for Cyber Recovery for VMware Cloud Foundation</t>
  </si>
  <si>
    <t>Connector appliance OVA URL</t>
  </si>
  <si>
    <t>vSphere client on the recovery site</t>
  </si>
  <si>
    <t>Virtual machine name</t>
  </si>
  <si>
    <t>Register vCenter with Clean Room for Cyber Recovery for VMware Cloud Foundation</t>
  </si>
  <si>
    <t>vCenter administrator user name</t>
  </si>
  <si>
    <t>Select an Isolated Recovery VPC for Cyber Recovery for VMware Cloud Foundation</t>
  </si>
  <si>
    <t>Isolated recovery VPC</t>
  </si>
  <si>
    <t>Deploy Cyber Recovery Sensor Appliance for Cyber Recovery for VMware Cloud Foundation</t>
  </si>
  <si>
    <t>VM name</t>
  </si>
  <si>
    <t>Network segment</t>
  </si>
  <si>
    <t>Network configuration</t>
  </si>
  <si>
    <t>VM folder</t>
  </si>
  <si>
    <t>Compute</t>
  </si>
  <si>
    <t>Content library datastore</t>
  </si>
  <si>
    <t>Network Mapping (Test networks)</t>
  </si>
  <si>
    <t>Network Mapping (Ransomware networks)</t>
  </si>
  <si>
    <t>Create a vSAN Protection Group for Cyber Recovery for VMware Cloud Foundation</t>
  </si>
  <si>
    <t>Protection group name</t>
  </si>
  <si>
    <t>Protection type</t>
  </si>
  <si>
    <t>Site</t>
  </si>
  <si>
    <t>Peer cluster</t>
  </si>
  <si>
    <t xml:space="preserve">Configure Mappings between the Protected and the Recovery Instances for Cyber Recovery for VMware Cloud Foundation			</t>
  </si>
  <si>
    <t>Create a Ransomware Recovery Plan for Cyber Recovery for VMware Cloud Foundation</t>
  </si>
  <si>
    <t>Direction</t>
  </si>
  <si>
    <t>Protection Groups</t>
  </si>
  <si>
    <t xml:space="preserve">Perform a Ransomware Recovery </t>
  </si>
  <si>
    <t>Ransomware recovery plan - Name</t>
  </si>
  <si>
    <t>xxx-xxxx</t>
  </si>
  <si>
    <t>us-west</t>
  </si>
  <si>
    <t>Carbon Black</t>
  </si>
  <si>
    <t>VCF-CR-Clean-Room</t>
  </si>
  <si>
    <t>https://44-229-115-216-us-west-2.console.ds-stg.vmware.com/recovery/vmware-cloud-connector.ova</t>
  </si>
  <si>
    <t>vmware-cloud-connector</t>
  </si>
  <si>
    <t>44-229-115-216-us-west-2.console.ds-stg.vmware.com</t>
  </si>
  <si>
    <t>vcf-cr-ca01</t>
  </si>
  <si>
    <t>xxxx-xxxx-xxxx-xxxx-xxxx</t>
  </si>
  <si>
    <t>RWR-VPC</t>
  </si>
  <si>
    <t>carbon-black-installer</t>
  </si>
  <si>
    <t>Isolated Network (Auto Created)</t>
  </si>
  <si>
    <t>rwr-vsan-pg</t>
  </si>
  <si>
    <t>Replication</t>
  </si>
  <si>
    <t>rwr-rp</t>
  </si>
  <si>
    <t>Cyber Recovery</t>
  </si>
  <si>
    <t xml:space="preserve">         Cyber Recovery for VMware Cloud Foundation Blueprint </t>
  </si>
  <si>
    <t>pnr_fqdn</t>
  </si>
  <si>
    <t>This page contains all user required values used during the deployment of the Cyber Recovery Blueprint.</t>
  </si>
  <si>
    <t xml:space="preserve">vmwarebyBroadcom#1 </t>
  </si>
  <si>
    <t>svc_lax-w01-pnr01_lax-w01-vc01@lax-w01.local</t>
  </si>
  <si>
    <t>VCF-SDDC-Manager-Appliance-9.1.x.0.xxxxxxxx</t>
  </si>
  <si>
    <t>Two Supported Servers - Simple Deployment ( NFS / FC)
Three Supported Servers - Simple Deployment ( vSAN)
Four Supported Servers - High Availability  Deployment</t>
  </si>
  <si>
    <t xml:space="preserve">A host machine in the data center that has access to the ESX management and VM Management Network. </t>
  </si>
  <si>
    <t>ESX hosts
AD domain controllers
Virtual appliances of the management applications</t>
  </si>
  <si>
    <t>An NTP source must be available and accessible from all nodes of the SDDC.
Use the ToR switches in the Management Workload Domain as the NTP servers or the upstream physical router. These switches must synchronize with different upstream NTP servers and provide time synchronization capabilities in the SDDC. As a best practice, make the NTP servers available under a friendly FQDN, e.g. ntp.sfo.rainpole.io.</t>
  </si>
  <si>
    <t>An SFTP server must be used to provide backups for VMware NSX Data Center instances and SDDC Manager which is configured through SDDC Manager.</t>
  </si>
  <si>
    <t>A virtual machine or physical server must be available to that is permitted to route to
- ESXi Management network
- VM Management network
- VCF Management network
- Internet for software downloads</t>
  </si>
  <si>
    <t>vDefend and AVI Licensing Hub</t>
  </si>
  <si>
    <t xml:space="preserve">NSX GM Size calcualtions </t>
  </si>
  <si>
    <t xml:space="preserve">These settings only applies to newly deployed components </t>
  </si>
  <si>
    <t>SLAAC</t>
  </si>
  <si>
    <t>sdfSDFsdfsdfDFFDSFSDF23SDFHJBSVBF</t>
  </si>
  <si>
    <t>Value is set based on Virtual Infrastructure Workload Domain: Deployment options chosen</t>
  </si>
  <si>
    <t>Traffic Type is set based on your Selected VDS Profile</t>
  </si>
  <si>
    <t>mgmt_az1_dtgw_gateway_cidr</t>
  </si>
  <si>
    <t>vCenter Appliance Size</t>
  </si>
  <si>
    <t>vCenter Storage Size</t>
  </si>
  <si>
    <t xml:space="preserve">VCF OPS </t>
  </si>
  <si>
    <t>VCF OPS Collector</t>
  </si>
  <si>
    <t>lstorage</t>
  </si>
  <si>
    <t>Smalllstorage</t>
  </si>
  <si>
    <t>Smallxlstorage</t>
  </si>
  <si>
    <t>XLargelstorage</t>
  </si>
  <si>
    <t>Largelstorage</t>
  </si>
  <si>
    <t>Largexlstorage</t>
  </si>
  <si>
    <t>Xlargexlstorage</t>
  </si>
  <si>
    <t>Mediumlstorage</t>
  </si>
  <si>
    <t>Mediumxlstorage</t>
  </si>
  <si>
    <t>Tinyxlstorage</t>
  </si>
  <si>
    <t>Tinylstorage</t>
  </si>
  <si>
    <t>v1.9.1.002</t>
  </si>
  <si>
    <t>Advanced Management Domain Sizing</t>
  </si>
  <si>
    <t>NSX Manager Model</t>
  </si>
  <si>
    <t>NSX Manager Size</t>
  </si>
  <si>
    <t>Mandatory - Single Node</t>
  </si>
  <si>
    <t>Single Node</t>
  </si>
  <si>
    <t>VCF Operations Model</t>
  </si>
  <si>
    <t>VCF Operations Size</t>
  </si>
  <si>
    <t>w25</t>
  </si>
  <si>
    <t>w26</t>
  </si>
  <si>
    <t>w27</t>
  </si>
  <si>
    <t>w28</t>
  </si>
  <si>
    <t>w29</t>
  </si>
  <si>
    <t>w30</t>
  </si>
  <si>
    <t>w31</t>
  </si>
  <si>
    <t>w32</t>
  </si>
  <si>
    <t>w33</t>
  </si>
  <si>
    <t>w34</t>
  </si>
  <si>
    <t>w35</t>
  </si>
  <si>
    <t>Active Standby</t>
  </si>
  <si>
    <t>Active Standy</t>
  </si>
  <si>
    <t>May-22-2026</t>
  </si>
  <si>
    <t>- Fixed Sizing calculation for Workload Domain 01 NSX Cluster
 Added an advanced Sizer which will allow users select a more granular size for each component in the MGTM WLD.</t>
  </si>
  <si>
    <t>Note: This is a VCF services runtime dedicated for VCFA and is not the same as the VCF services runtime used in the VCF MGMT Services</t>
  </si>
  <si>
    <t xml:space="preserve">Deploy Deferred Components </t>
  </si>
  <si>
    <t>Deploy Deferred Components - Only supported via API. Option is not visible VCF installer UI</t>
  </si>
  <si>
    <t>Port group for Cloud Proxy VM</t>
  </si>
  <si>
    <t>Use VCF.JSONGenerator to generate the JSON File once PnP is complete,Option is not visible VCF installer UI - Sample Values are size based on your Deployment Model and Size choice</t>
  </si>
  <si>
    <t>Define the port group that the traffic from VCF operations and VCF Automation will use</t>
  </si>
  <si>
    <t xml:space="preserve">Customize proxy portgroup and networking  during install. </t>
  </si>
  <si>
    <t xml:space="preserve">Root Password </t>
  </si>
  <si>
    <t xml:space="preserve">Customize appliance password during install. </t>
  </si>
  <si>
    <t>Ops Admin Password</t>
  </si>
  <si>
    <t xml:space="preserve">Ops Proxy Root Password </t>
  </si>
  <si>
    <t xml:space="preserve">Ops Root Password </t>
  </si>
  <si>
    <t>VCFA Admin Password</t>
  </si>
  <si>
    <t>Proxy Cidr</t>
  </si>
  <si>
    <t>Proxy dPG</t>
  </si>
  <si>
    <t>Use VCF.JSONGenerator to generate the JSON File once PnP is complete,Option is not visible VCF installer UI</t>
  </si>
  <si>
    <t xml:space="preserve">Deploy VCF Automation  - Only supported via API. </t>
  </si>
  <si>
    <t>Directory display name</t>
  </si>
  <si>
    <t>Shared Management Network</t>
  </si>
  <si>
    <t>Deployed in WLD</t>
  </si>
  <si>
    <t>wld_az1_rack2_mgmt_vm_gateway_cidr</t>
  </si>
  <si>
    <t>WLD Rack 2 Network Gateways CIDRs (Primary AZ)</t>
  </si>
  <si>
    <t>wld_az1_rack3_mgmt_vm_gateway_cidr</t>
  </si>
  <si>
    <t>wld_az1_rack4_mgmt_vm_gateway_cidr</t>
  </si>
  <si>
    <t>wld_az1_rack8_mgmt_vm_gateway_cidr</t>
  </si>
  <si>
    <t>wld_az1_rack7_mgmt_vm_gateway_cidr</t>
  </si>
  <si>
    <t>wld_az1_rack6_mgmt_vm_gateway_cidr</t>
  </si>
  <si>
    <t>wld_az1_rack5_mgmt_vm_gateway_cidr</t>
  </si>
  <si>
    <t>WLD Rack 6 Network Gateways CIDRs (Primary AZ)</t>
  </si>
  <si>
    <t>WLD Rack 5 Network Gateways CIDRs (Primary AZ)</t>
  </si>
  <si>
    <t>WLD Rack 4 Network Gateways CIDRs (Primary AZ)</t>
  </si>
  <si>
    <t>WLD Rack 3 Network Gateways CIDRs (Primary AZ)</t>
  </si>
  <si>
    <t xml:space="preserve">Internal Cluster Cidr </t>
  </si>
  <si>
    <t xml:space="preserve">Required Values if using API </t>
  </si>
  <si>
    <t>Deploy Log Management {VMware Cloud Foundation Operations}</t>
  </si>
  <si>
    <t>v1.9.1.003</t>
  </si>
  <si>
    <t>Jun-11-2026</t>
  </si>
  <si>
    <t>License Hub for vDefend and Avi</t>
  </si>
  <si>
    <r>
      <rPr>
        <b/>
        <sz val="12"/>
        <color theme="1"/>
        <rFont val="Arial"/>
        <family val="2"/>
      </rPr>
      <t>General Guidance</t>
    </r>
    <r>
      <rPr>
        <sz val="12"/>
        <color theme="1"/>
        <rFont val="Arial"/>
        <family val="2"/>
      </rPr>
      <t xml:space="preserve">
• This sizing sheet is a standalone calculation. Inputs from other tabs within the workbook do not affect the final calculation. Similarly, inputs here do not feed into other tabs within this workbook.
• Deployment Model and Size sets the predefined values as determined by VCF Installer.
• Configure the Assumptions and Host parameters according to your preference.
• The over-subscription ratio maximums of 2:1 are designed to ensure a performant management domain for most deployments. Regardless of the ratios you choose, you should monitor the platform continuously and add hardware if consistent performance bottlenecks are observed
• Appliance sizes are listed per appliance. Totals are calculated in the requirements summary table 
• Select the principle storage as VCF 9.x Supports vSAN and Non-vSAN Storage in the Management Domain
</t>
    </r>
    <r>
      <rPr>
        <b/>
        <sz val="12"/>
        <color theme="1"/>
        <rFont val="Arial"/>
        <family val="2"/>
      </rPr>
      <t>vSphere and NSX Sizing</t>
    </r>
    <r>
      <rPr>
        <sz val="12"/>
        <color theme="1"/>
        <rFont val="Arial"/>
        <family val="2"/>
      </rPr>
      <t xml:space="preserve">
• As each workload domain requires additional vSphere and, optionally, NSX components to be deployed, this tab allows you to correctly calculate the requirements for your management domain by selecting the intended number and profile of workload domains you plan to deploy.
• The management domain is mandatory and cannot be deselected. Its NSX Manager instance is required and dedicated. 
• The NSX instance for the first workload domain is mandatory; subsequent workload domains may share this instance or deploy a dedicated instance.
• A maximum of four NSX Local Manager instances may be federated by a single NSX Global Manager instance. This includes inter-region and intra-region NSX Local Manager instances. Factor in this maximum when deciding whether to include Global Manager resources for a new workload domain.
</t>
    </r>
    <r>
      <rPr>
        <b/>
        <sz val="12"/>
        <color theme="1"/>
        <rFont val="Arial"/>
        <family val="2"/>
      </rPr>
      <t>VCF Operations and Automation Sizing</t>
    </r>
    <r>
      <rPr>
        <sz val="12"/>
        <color theme="1"/>
        <rFont val="Arial"/>
        <family val="2"/>
      </rPr>
      <t xml:space="preserve">
• If VCF Operations already exist, then sizing input is not required for VCF Operations. Similar for VCF Automation.
</t>
    </r>
    <r>
      <rPr>
        <b/>
        <sz val="12"/>
        <color theme="1"/>
        <rFont val="Arial"/>
        <family val="2"/>
      </rPr>
      <t>VCF services runtime</t>
    </r>
    <r>
      <rPr>
        <sz val="12"/>
        <color theme="1"/>
        <rFont val="Arial"/>
        <family val="2"/>
      </rPr>
      <t xml:space="preserve">
• Components such as Software depot , LCM, Identity broker, SALT are enabled by default when deploying VCF service runtime on the first VCF Instance.
• Components Realtime Data, Software depot and Identity broker are configured within the VCFMS instance. No additional appliances are deployed. 
• Realtime Data, Log management, and software depot are enabled as part of day 2 deployment and are deployed within the VCFMS instance. 
• Log management size should not be larger and Instance Profile. The VCFMS Cluster will scale to accomodate the Log Managment Deployment.
• Log management, for size Large 2 Worker Nodes are required per replica. For Medium and Small, each replica requires 1 Worker Node.
• Software depot and Identity broker are deployed, sized by default in the First VCF Instance. Optional Software depots and Identity broker deployments can be sized for additional VCF Instances. vCPU and RAM requirements for these compontent are allocated from the exisitng VCFMS cluster.
</t>
    </r>
    <r>
      <rPr>
        <b/>
        <sz val="12"/>
        <color theme="1"/>
        <rFont val="Arial"/>
        <family val="2"/>
      </rPr>
      <t xml:space="preserve">Security Service Platform:
</t>
    </r>
    <r>
      <rPr>
        <sz val="12"/>
        <color theme="1"/>
        <rFont val="Arial"/>
        <family val="2"/>
      </rPr>
      <t>License Hub for vDefend and Avi is required if deploying Avi Load Balancers or Security Service Platform. A single License Hub is required per VCF Fleet.
SSPI = Security Services Platform Installer; SSP = Security Services Platform
The selected SSP instance covers production deployment with core security features, Security Intelligence, Rule Analysis, and Metrics: 1 SSPI + 3 Controller Nodes + 4 Worker Nodes
To activate the vDefend Advanced Threat Prevention capabilities, including Malware Prevention Service, Network Traffic Analysis, NDR Sensor, and Network Detection and Response, you must add one additional worker node VM (16 vCPU, 64 GB memory, 155 GB storage).</t>
    </r>
  </si>
  <si>
    <t xml:space="preserve">Not Required for bring up. </t>
  </si>
  <si>
    <t>- Added API only deployment options for Deploy Deferred Components.
Added API only deployment options for VCF Automation.
Added option to size the Log Management Cluster smaller than the VCFMS cluster size.
Added option to size the VCF Operations Network Proxy for additional instances.
Updated SSPI sizing guidance based on ANS Division requirements.
Updated vCenter storage sizes.
Removed the option to deploy VCF Operations and Automation via SDDC Manager.</t>
  </si>
  <si>
    <t>Jun-15-2026</t>
  </si>
  <si>
    <t>v1.9.1.004</t>
  </si>
  <si>
    <t>- Added support for VCF JSON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</si>
</sst>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4" x14ac:knownFonts="1">
    <font>
      <sz val="12"/>
      <color theme="1"/>
      <name val="Calibri"/>
      <family val="2"/>
      <scheme val="minor"/>
    </font>
    <font>
      <sz val="12"/>
      <color theme="1"/>
      <name val="Calibri"/>
      <family val="2"/>
      <scheme val="minor"/>
    </font>
    <font>
      <sz val="12"/>
      <color theme="0"/>
      <name val="Calibri"/>
      <family val="2"/>
      <scheme val="minor"/>
    </font>
    <font>
      <sz val="11"/>
      <color theme="1"/>
      <name val="Calibri"/>
      <family val="2"/>
      <scheme val="minor"/>
    </font>
    <font>
      <b/>
      <sz val="12"/>
      <color theme="1"/>
      <name val="Helvetica"/>
      <family val="2"/>
    </font>
    <font>
      <u/>
      <sz val="10"/>
      <color indexed="12"/>
      <name val="Verdana"/>
      <family val="2"/>
    </font>
    <font>
      <u/>
      <sz val="12"/>
      <color theme="10"/>
      <name val="Calibri"/>
      <family val="2"/>
      <scheme val="minor"/>
    </font>
    <font>
      <sz val="12"/>
      <color rgb="FF006100"/>
      <name val="Calibri"/>
      <family val="2"/>
      <scheme val="minor"/>
    </font>
    <font>
      <sz val="12"/>
      <color theme="1"/>
      <name val="Arial"/>
      <family val="2"/>
    </font>
    <font>
      <sz val="12"/>
      <color rgb="FF000000"/>
      <name val="Arial"/>
      <family val="2"/>
    </font>
    <font>
      <b/>
      <sz val="12"/>
      <color theme="0"/>
      <name val="Arial"/>
      <family val="2"/>
    </font>
    <font>
      <b/>
      <sz val="12"/>
      <color theme="1"/>
      <name val="Arial"/>
      <family val="2"/>
    </font>
    <font>
      <b/>
      <sz val="12"/>
      <color rgb="FFFF0000"/>
      <name val="Arial"/>
      <family val="2"/>
    </font>
    <font>
      <sz val="12"/>
      <color theme="0"/>
      <name val="Arial"/>
      <family val="2"/>
    </font>
    <font>
      <b/>
      <sz val="24"/>
      <color theme="0"/>
      <name val="Arial"/>
      <family val="2"/>
    </font>
    <font>
      <b/>
      <sz val="12"/>
      <color rgb="FF000000"/>
      <name val="Arial"/>
      <family val="2"/>
    </font>
    <font>
      <b/>
      <sz val="12"/>
      <color rgb="FF002439"/>
      <name val="Arial"/>
      <family val="2"/>
    </font>
    <font>
      <sz val="12"/>
      <color rgb="FFFF0000"/>
      <name val="Arial"/>
      <family val="2"/>
    </font>
    <font>
      <sz val="12"/>
      <color rgb="FF006100"/>
      <name val="Arial"/>
      <family val="2"/>
    </font>
    <font>
      <b/>
      <sz val="12"/>
      <color rgb="FFFFFFFF"/>
      <name val="Arial"/>
      <family val="2"/>
    </font>
    <font>
      <b/>
      <sz val="14"/>
      <color theme="0"/>
      <name val="Arial"/>
      <family val="2"/>
    </font>
    <font>
      <b/>
      <sz val="12"/>
      <color rgb="FF808080"/>
      <name val="Arial"/>
      <family val="2"/>
    </font>
    <font>
      <u/>
      <sz val="12"/>
      <color theme="10"/>
      <name val="Arial"/>
      <family val="2"/>
    </font>
    <font>
      <sz val="11.5"/>
      <color theme="1"/>
      <name val="Arial"/>
      <family val="2"/>
    </font>
    <font>
      <sz val="12"/>
      <color rgb="FF505E69"/>
      <name val="Arial"/>
      <family val="2"/>
    </font>
    <font>
      <sz val="11"/>
      <color theme="1"/>
      <name val="Arial"/>
      <family val="2"/>
    </font>
    <font>
      <b/>
      <sz val="12"/>
      <name val="Arial"/>
      <family val="2"/>
    </font>
    <font>
      <sz val="12"/>
      <color rgb="FF4F5F69"/>
      <name val="Arial"/>
      <family val="2"/>
    </font>
    <font>
      <b/>
      <sz val="28"/>
      <color theme="0"/>
      <name val="Arial"/>
      <family val="2"/>
    </font>
    <font>
      <sz val="14"/>
      <color theme="1"/>
      <name val="Arial"/>
      <family val="2"/>
    </font>
    <font>
      <u/>
      <sz val="12"/>
      <color theme="1"/>
      <name val="Arial"/>
      <family val="2"/>
    </font>
    <font>
      <b/>
      <sz val="26"/>
      <color theme="0"/>
      <name val="Arial"/>
      <family val="2"/>
    </font>
    <font>
      <b/>
      <sz val="13"/>
      <color theme="0"/>
      <name val="Arial"/>
      <family val="2"/>
    </font>
    <font>
      <b/>
      <sz val="24"/>
      <color theme="1"/>
      <name val="Arial"/>
      <family val="2"/>
    </font>
    <font>
      <u/>
      <sz val="12"/>
      <color theme="0"/>
      <name val="Arial"/>
      <family val="2"/>
    </font>
    <font>
      <sz val="12"/>
      <color rgb="FFFFFFFF"/>
      <name val="Arial"/>
      <family val="2"/>
    </font>
    <font>
      <i/>
      <sz val="12"/>
      <color theme="1"/>
      <name val="Arial"/>
      <family val="2"/>
    </font>
    <font>
      <sz val="12"/>
      <name val="Arial"/>
      <family val="2"/>
    </font>
    <font>
      <b/>
      <sz val="14"/>
      <color rgb="FFFFFFFF"/>
      <name val="Arial"/>
      <family val="2"/>
    </font>
    <font>
      <sz val="12"/>
      <color rgb="FF506069"/>
      <name val="Arial"/>
      <family val="2"/>
    </font>
    <font>
      <sz val="12"/>
      <color rgb="FF9CDCFE"/>
      <name val="Arial"/>
      <family val="2"/>
    </font>
    <font>
      <sz val="12"/>
      <color rgb="FF9C0006"/>
      <name val="Arial"/>
      <family val="2"/>
    </font>
    <font>
      <sz val="12"/>
      <color theme="9" tint="-0.249977111117893"/>
      <name val="Arial"/>
      <family val="2"/>
    </font>
    <font>
      <b/>
      <sz val="18"/>
      <color theme="0"/>
      <name val="Arial"/>
      <family val="2"/>
    </font>
    <font>
      <b/>
      <u/>
      <sz val="12"/>
      <color theme="0"/>
      <name val="Arial"/>
      <family val="2"/>
    </font>
    <font>
      <b/>
      <sz val="20"/>
      <color theme="0"/>
      <name val="Arial"/>
      <family val="2"/>
    </font>
    <font>
      <b/>
      <sz val="26"/>
      <color rgb="FFFFFFFF"/>
      <name val="Arial"/>
      <family val="2"/>
    </font>
    <font>
      <b/>
      <u/>
      <sz val="14"/>
      <color theme="0"/>
      <name val="Arial"/>
      <family val="2"/>
    </font>
    <font>
      <b/>
      <u/>
      <sz val="14"/>
      <color theme="10"/>
      <name val="Arial"/>
      <family val="2"/>
    </font>
    <font>
      <sz val="12"/>
      <color theme="9"/>
      <name val="Arial"/>
      <family val="2"/>
    </font>
    <font>
      <b/>
      <sz val="11"/>
      <color theme="1"/>
      <name val="Arial"/>
      <family val="2"/>
    </font>
    <font>
      <sz val="12"/>
      <color rgb="FF0E223A"/>
      <name val="Arial"/>
      <family val="2"/>
    </font>
    <font>
      <b/>
      <sz val="24"/>
      <color rgb="FFFFFFFF"/>
      <name val="Arial"/>
      <family val="2"/>
    </font>
    <font>
      <b/>
      <sz val="12"/>
      <color rgb="FF000000"/>
      <name val="Helvetica"/>
      <family val="2"/>
    </font>
    <font>
      <b/>
      <sz val="12"/>
      <color rgb="FF0E223A"/>
      <name val="Arial"/>
      <family val="2"/>
    </font>
    <font>
      <sz val="14"/>
      <color theme="0"/>
      <name val="Arial"/>
      <family val="2"/>
    </font>
    <font>
      <sz val="12"/>
      <color rgb="FF000000"/>
      <name val="Calibri"/>
      <family val="2"/>
      <scheme val="minor"/>
    </font>
    <font>
      <i/>
      <sz val="12"/>
      <color rgb="FF000000"/>
      <name val="Arial"/>
      <family val="2"/>
    </font>
    <font>
      <sz val="12"/>
      <color theme="1"/>
      <name val="Helvetica"/>
      <family val="2"/>
    </font>
    <font>
      <sz val="8"/>
      <name val="Calibri"/>
      <family val="2"/>
      <scheme val="minor"/>
    </font>
    <font>
      <b/>
      <sz val="14"/>
      <color rgb="FF0E223A"/>
      <name val="Arial"/>
      <family val="2"/>
    </font>
    <font>
      <sz val="12"/>
      <color rgb="FFCC082E"/>
      <name val="Arial"/>
      <family val="2"/>
    </font>
    <font>
      <sz val="12"/>
      <color theme="10"/>
      <name val="Arial"/>
      <family val="2"/>
    </font>
    <font>
      <b/>
      <sz val="12"/>
      <color theme="1"/>
      <name val="Helvetica Neue"/>
      <family val="2"/>
    </font>
  </fonts>
  <fills count="57">
    <fill>
      <patternFill patternType="none"/>
    </fill>
    <fill>
      <patternFill patternType="gray125"/>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rgb="FF9BC2E6"/>
        <bgColor rgb="FF000000"/>
      </patternFill>
    </fill>
    <fill>
      <patternFill patternType="solid">
        <fgColor theme="0" tint="-0.249977111117893"/>
        <bgColor indexed="64"/>
      </patternFill>
    </fill>
    <fill>
      <patternFill patternType="solid">
        <fgColor theme="9" tint="-0.249977111117893"/>
        <bgColor indexed="64"/>
      </patternFill>
    </fill>
    <fill>
      <patternFill patternType="solid">
        <fgColor theme="1" tint="0.34998626667073579"/>
        <bgColor indexed="64"/>
      </patternFill>
    </fill>
    <fill>
      <patternFill patternType="solid">
        <fgColor rgb="FF595959"/>
        <bgColor rgb="FF000000"/>
      </patternFill>
    </fill>
    <fill>
      <patternFill patternType="solid">
        <fgColor theme="1" tint="0.499984740745262"/>
        <bgColor indexed="64"/>
      </patternFill>
    </fill>
    <fill>
      <patternFill patternType="solid">
        <fgColor theme="7" tint="0.79998168889431442"/>
        <bgColor indexed="64"/>
      </patternFill>
    </fill>
    <fill>
      <patternFill patternType="solid">
        <fgColor rgb="FFC6EFCE"/>
      </patternFill>
    </fill>
    <fill>
      <patternFill patternType="solid">
        <fgColor theme="8"/>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rgb="FFFFC7CE"/>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C6EFCE"/>
        <bgColor rgb="FF000000"/>
      </patternFill>
    </fill>
    <fill>
      <patternFill patternType="solid">
        <fgColor rgb="FF9BC2E6"/>
      </patternFill>
    </fill>
    <fill>
      <patternFill patternType="solid">
        <fgColor rgb="FFF8CBAD"/>
        <bgColor indexed="64"/>
      </patternFill>
    </fill>
    <fill>
      <patternFill patternType="solid">
        <fgColor rgb="FF808080"/>
        <bgColor rgb="FF000000"/>
      </patternFill>
    </fill>
    <fill>
      <patternFill patternType="solid">
        <fgColor rgb="FF808080"/>
        <bgColor indexed="64"/>
      </patternFill>
    </fill>
    <fill>
      <patternFill patternType="solid">
        <fgColor theme="0" tint="-4.9989318521683403E-2"/>
        <bgColor indexed="64"/>
      </patternFill>
    </fill>
    <fill>
      <patternFill patternType="solid">
        <fgColor rgb="FFEFFDE3"/>
        <bgColor indexed="64"/>
      </patternFill>
    </fill>
    <fill>
      <patternFill patternType="solid">
        <fgColor rgb="FFE5F7FF"/>
        <bgColor indexed="64"/>
      </patternFill>
    </fill>
    <fill>
      <patternFill patternType="solid">
        <fgColor rgb="FF0E223A"/>
        <bgColor indexed="64"/>
      </patternFill>
    </fill>
    <fill>
      <patternFill patternType="solid">
        <fgColor rgb="FF506069"/>
        <bgColor indexed="64"/>
      </patternFill>
    </fill>
    <fill>
      <patternFill patternType="solid">
        <fgColor rgb="FFF2F7F9"/>
        <bgColor indexed="64"/>
      </patternFill>
    </fill>
    <fill>
      <patternFill patternType="solid">
        <fgColor rgb="FFC65600"/>
        <bgColor indexed="64"/>
      </patternFill>
    </fill>
    <fill>
      <patternFill patternType="solid">
        <fgColor rgb="FF002439"/>
        <bgColor indexed="64"/>
      </patternFill>
    </fill>
    <fill>
      <patternFill patternType="solid">
        <fgColor rgb="FFE5F7FF"/>
      </patternFill>
    </fill>
    <fill>
      <patternFill patternType="solid">
        <fgColor rgb="FFE5F7FF"/>
        <bgColor rgb="FF000000"/>
      </patternFill>
    </fill>
    <fill>
      <patternFill patternType="solid">
        <fgColor rgb="FFF2F7F9"/>
        <bgColor rgb="FF000000"/>
      </patternFill>
    </fill>
    <fill>
      <patternFill patternType="solid">
        <fgColor rgb="FF4F5F69"/>
        <bgColor indexed="64"/>
      </patternFill>
    </fill>
    <fill>
      <patternFill patternType="solid">
        <fgColor rgb="FF0E223A"/>
        <bgColor rgb="FF000000"/>
      </patternFill>
    </fill>
    <fill>
      <patternFill patternType="solid">
        <fgColor rgb="FFE5F8FF"/>
        <bgColor indexed="64"/>
      </patternFill>
    </fill>
    <fill>
      <patternFill patternType="solid">
        <fgColor rgb="FFF2F8F9"/>
        <bgColor indexed="64"/>
      </patternFill>
    </fill>
    <fill>
      <patternFill patternType="solid">
        <fgColor rgb="FF505E69"/>
        <bgColor indexed="64"/>
      </patternFill>
    </fill>
    <fill>
      <patternFill patternType="solid">
        <fgColor rgb="FFEFFDE3"/>
        <bgColor rgb="FF000000"/>
      </patternFill>
    </fill>
    <fill>
      <patternFill patternType="solid">
        <fgColor rgb="FFF2F8F9"/>
        <bgColor rgb="FF000000"/>
      </patternFill>
    </fill>
    <fill>
      <patternFill patternType="solid">
        <fgColor rgb="FFF9CBAD"/>
        <bgColor rgb="FF000000"/>
      </patternFill>
    </fill>
    <fill>
      <patternFill patternType="solid">
        <fgColor rgb="FF454545"/>
        <bgColor indexed="64"/>
      </patternFill>
    </fill>
    <fill>
      <patternFill patternType="solid">
        <fgColor rgb="FF0E223A"/>
      </patternFill>
    </fill>
    <fill>
      <patternFill patternType="solid">
        <fgColor rgb="FF595959"/>
        <bgColor indexed="64"/>
      </patternFill>
    </fill>
    <fill>
      <patternFill patternType="solid">
        <fgColor rgb="FF505F69"/>
        <bgColor indexed="64"/>
      </patternFill>
    </fill>
    <fill>
      <patternFill patternType="solid">
        <fgColor rgb="FFFFBE29"/>
        <bgColor indexed="64"/>
      </patternFill>
    </fill>
    <fill>
      <patternFill patternType="solid">
        <fgColor rgb="FF808080"/>
      </patternFill>
    </fill>
    <fill>
      <patternFill patternType="solid">
        <fgColor rgb="FF506069"/>
        <bgColor rgb="FF000000"/>
      </patternFill>
    </fill>
    <fill>
      <patternFill patternType="solid">
        <fgColor rgb="FFF8CBAD"/>
        <bgColor rgb="FF000000"/>
      </patternFill>
    </fill>
    <fill>
      <patternFill patternType="solid">
        <fgColor rgb="FFA6A6A6"/>
        <bgColor rgb="FF000000"/>
      </patternFill>
    </fill>
    <fill>
      <patternFill patternType="solid">
        <fgColor rgb="FFEFFEE3"/>
        <bgColor indexed="64"/>
      </patternFill>
    </fill>
    <fill>
      <patternFill patternType="solid">
        <fgColor rgb="FFFFBD29"/>
        <bgColor rgb="FF000000"/>
      </patternFill>
    </fill>
    <fill>
      <patternFill patternType="solid">
        <fgColor rgb="FFFFBD29"/>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70A8"/>
      </left>
      <right style="thin">
        <color rgb="FF0070A8"/>
      </right>
      <top style="thin">
        <color rgb="FF0070A8"/>
      </top>
      <bottom style="thin">
        <color rgb="FF0070A8"/>
      </bottom>
      <diagonal/>
    </border>
    <border>
      <left style="thick">
        <color theme="5" tint="-0.249977111117893"/>
      </left>
      <right/>
      <top/>
      <bottom/>
      <diagonal/>
    </border>
    <border>
      <left/>
      <right style="thick">
        <color theme="5" tint="-0.249977111117893"/>
      </right>
      <top/>
      <bottom/>
      <diagonal/>
    </border>
    <border>
      <left/>
      <right/>
      <top/>
      <bottom style="thick">
        <color theme="9" tint="-0.249977111117893"/>
      </bottom>
      <diagonal/>
    </border>
    <border>
      <left style="thick">
        <color theme="9" tint="-0.249977111117893"/>
      </left>
      <right/>
      <top/>
      <bottom/>
      <diagonal/>
    </border>
    <border>
      <left/>
      <right style="thick">
        <color theme="9" tint="-0.249977111117893"/>
      </right>
      <top/>
      <bottom/>
      <diagonal/>
    </border>
    <border>
      <left style="thick">
        <color theme="9" tint="-0.249977111117893"/>
      </left>
      <right/>
      <top/>
      <bottom style="thick">
        <color theme="9" tint="-0.249977111117893"/>
      </bottom>
      <diagonal/>
    </border>
    <border>
      <left/>
      <right style="thick">
        <color theme="9" tint="-0.249977111117893"/>
      </right>
      <top/>
      <bottom style="thick">
        <color theme="9" tint="-0.249977111117893"/>
      </bottom>
      <diagonal/>
    </border>
    <border>
      <left style="thick">
        <color theme="5" tint="-0.249977111117893"/>
      </left>
      <right/>
      <top/>
      <bottom style="thick">
        <color theme="5" tint="-0.249977111117893"/>
      </bottom>
      <diagonal/>
    </border>
    <border>
      <left/>
      <right/>
      <top/>
      <bottom style="thick">
        <color theme="5" tint="-0.249977111117893"/>
      </bottom>
      <diagonal/>
    </border>
    <border>
      <left/>
      <right style="thick">
        <color theme="5" tint="-0.249977111117893"/>
      </right>
      <top/>
      <bottom style="thick">
        <color theme="5" tint="-0.249977111117893"/>
      </bottom>
      <diagonal/>
    </border>
    <border>
      <left/>
      <right style="thick">
        <color rgb="FF0070A8"/>
      </right>
      <top/>
      <bottom/>
      <diagonal/>
    </border>
    <border>
      <left/>
      <right/>
      <top/>
      <bottom style="thick">
        <color rgb="FF0070A8"/>
      </bottom>
      <diagonal/>
    </border>
    <border>
      <left/>
      <right style="thick">
        <color rgb="FF0070A8"/>
      </right>
      <top style="thick">
        <color rgb="FF0070A8"/>
      </top>
      <bottom style="thick">
        <color rgb="FF0070A8"/>
      </bottom>
      <diagonal/>
    </border>
    <border>
      <left/>
      <right style="thick">
        <color rgb="FF0070A8"/>
      </right>
      <top style="thick">
        <color rgb="FF0070A8"/>
      </top>
      <bottom/>
      <diagonal/>
    </border>
    <border>
      <left/>
      <right style="thick">
        <color rgb="FF0070A8"/>
      </right>
      <top/>
      <bottom style="thick">
        <color rgb="FF0070A8"/>
      </bottom>
      <diagonal/>
    </border>
    <border>
      <left style="thick">
        <color theme="9" tint="-0.249977111117893"/>
      </left>
      <right style="thick">
        <color rgb="FF0070A8"/>
      </right>
      <top/>
      <bottom/>
      <diagonal/>
    </border>
    <border>
      <left style="thick">
        <color rgb="FF0070A8"/>
      </left>
      <right style="thick">
        <color rgb="FF0070A8"/>
      </right>
      <top style="thick">
        <color theme="3" tint="0.249977111117893"/>
      </top>
      <bottom style="thick">
        <color rgb="FF0070A8"/>
      </bottom>
      <diagonal/>
    </border>
    <border>
      <left style="thick">
        <color rgb="FF0070A8"/>
      </left>
      <right style="thick">
        <color rgb="FF0070A8"/>
      </right>
      <top style="thick">
        <color rgb="FF0070A8"/>
      </top>
      <bottom style="thick">
        <color rgb="FF0070A8"/>
      </bottom>
      <diagonal/>
    </border>
    <border>
      <left style="thick">
        <color rgb="FF0070A8"/>
      </left>
      <right style="thick">
        <color rgb="FF0070A8"/>
      </right>
      <top/>
      <bottom style="thick">
        <color theme="3" tint="0.249977111117893"/>
      </bottom>
      <diagonal/>
    </border>
    <border>
      <left style="thick">
        <color rgb="FF0070A8"/>
      </left>
      <right/>
      <top style="thick">
        <color rgb="FF0070A8"/>
      </top>
      <bottom style="thick">
        <color rgb="FF0070A8"/>
      </bottom>
      <diagonal/>
    </border>
    <border>
      <left/>
      <right/>
      <top style="thick">
        <color rgb="FF0070A8"/>
      </top>
      <bottom style="thick">
        <color rgb="FF0070A8"/>
      </bottom>
      <diagonal/>
    </border>
    <border>
      <left style="thin">
        <color theme="1"/>
      </left>
      <right style="thin">
        <color theme="1"/>
      </right>
      <top style="thin">
        <color theme="1"/>
      </top>
      <bottom style="thin">
        <color theme="1"/>
      </bottom>
      <diagonal/>
    </border>
    <border>
      <left style="thin">
        <color rgb="FF0070A8"/>
      </left>
      <right style="thin">
        <color rgb="FF0070A8"/>
      </right>
      <top style="thin">
        <color rgb="FF0070A8"/>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1"/>
      </left>
      <right style="thin">
        <color theme="1"/>
      </right>
      <top style="thin">
        <color theme="1"/>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2" borderId="0"/>
    <xf numFmtId="0" fontId="1" fillId="2" borderId="0"/>
    <xf numFmtId="0" fontId="1" fillId="3" borderId="0"/>
    <xf numFmtId="0" fontId="1" fillId="3" borderId="0"/>
    <xf numFmtId="0" fontId="2" fillId="4" borderId="0"/>
    <xf numFmtId="0" fontId="2" fillId="4" borderId="0"/>
    <xf numFmtId="0" fontId="7" fillId="12" borderId="0"/>
    <xf numFmtId="0" fontId="7" fillId="12" borderId="0"/>
    <xf numFmtId="0" fontId="6" fillId="0" borderId="0"/>
    <xf numFmtId="0" fontId="5" fillId="0" borderId="0">
      <alignment vertical="top"/>
      <protection locked="0"/>
    </xf>
    <xf numFmtId="0" fontId="3" fillId="0" borderId="0"/>
    <xf numFmtId="0" fontId="1" fillId="0" borderId="0"/>
    <xf numFmtId="0" fontId="1" fillId="0" borderId="0"/>
    <xf numFmtId="0" fontId="4" fillId="22" borderId="1">
      <alignment horizontal="left" vertical="center" wrapText="1" indent="1"/>
    </xf>
  </cellStyleXfs>
  <cellXfs count="705">
    <xf numFmtId="0" fontId="0" fillId="0" borderId="0" xfId="0"/>
    <xf numFmtId="0" fontId="8" fillId="0" borderId="0" xfId="0" applyFont="1" applyAlignment="1" applyProtection="1">
      <alignment horizontal="left" vertical="center" indent="1"/>
      <protection locked="0"/>
    </xf>
    <xf numFmtId="0" fontId="8" fillId="0" borderId="0" xfId="0" applyFont="1" applyAlignment="1">
      <alignment horizontal="left" vertical="center" indent="1"/>
    </xf>
    <xf numFmtId="0" fontId="8" fillId="0" borderId="0" xfId="0" applyFont="1" applyAlignment="1">
      <alignment horizontal="left" vertical="center" wrapText="1" indent="1"/>
    </xf>
    <xf numFmtId="0" fontId="11" fillId="0" borderId="1" xfId="0" applyFont="1" applyBorder="1" applyAlignment="1">
      <alignment horizontal="left" vertical="center" indent="1"/>
    </xf>
    <xf numFmtId="0" fontId="12" fillId="0" borderId="1" xfId="0" applyFont="1" applyBorder="1" applyAlignment="1">
      <alignment horizontal="left" vertical="center" indent="1"/>
    </xf>
    <xf numFmtId="0" fontId="11" fillId="0" borderId="0" xfId="0" applyFont="1" applyAlignment="1">
      <alignment horizontal="left" vertical="center" indent="1"/>
    </xf>
    <xf numFmtId="0" fontId="8" fillId="18" borderId="0" xfId="0" applyFont="1" applyFill="1" applyAlignment="1">
      <alignment horizontal="left" vertical="center" indent="1"/>
    </xf>
    <xf numFmtId="0" fontId="8" fillId="0" borderId="1" xfId="0" applyFont="1" applyBorder="1" applyAlignment="1">
      <alignment horizontal="left" vertical="center" indent="1"/>
    </xf>
    <xf numFmtId="0" fontId="8" fillId="0" borderId="0" xfId="0" applyFont="1"/>
    <xf numFmtId="0" fontId="8" fillId="6" borderId="1" xfId="0" applyFont="1" applyFill="1" applyBorder="1" applyAlignment="1">
      <alignment horizontal="left" vertical="center" indent="1"/>
    </xf>
    <xf numFmtId="49" fontId="8" fillId="0" borderId="0" xfId="0" applyNumberFormat="1" applyFont="1" applyAlignment="1">
      <alignment horizontal="left" vertical="center" indent="1"/>
    </xf>
    <xf numFmtId="0" fontId="10" fillId="29" borderId="7" xfId="6" applyFont="1" applyFill="1" applyBorder="1" applyAlignment="1">
      <alignment horizontal="left" vertical="center" indent="1"/>
    </xf>
    <xf numFmtId="0" fontId="10" fillId="29" borderId="9" xfId="6" applyFont="1" applyFill="1" applyBorder="1" applyAlignment="1">
      <alignment horizontal="left" vertical="center" indent="1"/>
    </xf>
    <xf numFmtId="0" fontId="10" fillId="33" borderId="7" xfId="6" applyFont="1" applyFill="1" applyBorder="1" applyAlignment="1">
      <alignment horizontal="left" vertical="center" indent="1"/>
    </xf>
    <xf numFmtId="0" fontId="10" fillId="33" borderId="9" xfId="6" applyFont="1" applyFill="1" applyBorder="1" applyAlignment="1">
      <alignment horizontal="left" vertical="center" indent="1"/>
    </xf>
    <xf numFmtId="0" fontId="10" fillId="33" borderId="8" xfId="6" applyFont="1" applyFill="1" applyBorder="1" applyAlignment="1">
      <alignment horizontal="left" vertical="center" indent="1"/>
    </xf>
    <xf numFmtId="0" fontId="10" fillId="25" borderId="1" xfId="2" applyFont="1" applyFill="1" applyBorder="1" applyAlignment="1">
      <alignment horizontal="left" vertical="center" wrapText="1" indent="1"/>
    </xf>
    <xf numFmtId="0" fontId="10" fillId="25" borderId="1" xfId="4" applyFont="1" applyFill="1" applyBorder="1" applyAlignment="1">
      <alignment horizontal="left" vertical="center" wrapText="1" indent="1"/>
    </xf>
    <xf numFmtId="0" fontId="10" fillId="25" borderId="1" xfId="2" applyFont="1" applyFill="1" applyBorder="1" applyAlignment="1">
      <alignment horizontal="left" vertical="center" wrapText="1"/>
    </xf>
    <xf numFmtId="0" fontId="10" fillId="25" borderId="1" xfId="4" applyFont="1" applyFill="1" applyBorder="1" applyAlignment="1">
      <alignment horizontal="left" vertical="center" wrapText="1"/>
    </xf>
    <xf numFmtId="0" fontId="13" fillId="0" borderId="0" xfId="0" applyFont="1" applyAlignment="1">
      <alignment horizontal="left" vertical="center" indent="1"/>
    </xf>
    <xf numFmtId="0" fontId="11" fillId="17" borderId="1" xfId="0" applyFont="1" applyFill="1" applyBorder="1" applyAlignment="1">
      <alignment horizontal="left" vertical="center" indent="1"/>
    </xf>
    <xf numFmtId="0" fontId="15" fillId="0" borderId="1" xfId="0" applyFont="1" applyBorder="1" applyAlignment="1">
      <alignment horizontal="left" vertical="center" indent="1"/>
    </xf>
    <xf numFmtId="0" fontId="16" fillId="0" borderId="1" xfId="0" applyFont="1" applyBorder="1" applyAlignment="1">
      <alignment horizontal="left" vertical="center" indent="1"/>
    </xf>
    <xf numFmtId="0" fontId="8" fillId="18" borderId="0" xfId="0" applyFont="1" applyFill="1"/>
    <xf numFmtId="0" fontId="8" fillId="0" borderId="1" xfId="0" applyFont="1" applyBorder="1" applyAlignment="1">
      <alignment horizontal="left" vertical="center" wrapText="1" indent="1"/>
    </xf>
    <xf numFmtId="0" fontId="10" fillId="33" borderId="1" xfId="6" applyFont="1" applyFill="1" applyBorder="1" applyAlignment="1">
      <alignment horizontal="left" vertical="center" indent="1"/>
    </xf>
    <xf numFmtId="0" fontId="11" fillId="0" borderId="1" xfId="0" applyFont="1" applyBorder="1" applyAlignment="1">
      <alignment horizontal="left" vertical="center" wrapText="1" indent="1"/>
    </xf>
    <xf numFmtId="0" fontId="12" fillId="0" borderId="13" xfId="0" applyFont="1" applyBorder="1" applyAlignment="1">
      <alignment horizontal="left" vertical="center" indent="1"/>
    </xf>
    <xf numFmtId="0" fontId="15" fillId="0" borderId="13" xfId="0" applyFont="1" applyBorder="1" applyAlignment="1">
      <alignment horizontal="left" vertical="center" indent="1"/>
    </xf>
    <xf numFmtId="0" fontId="11" fillId="0" borderId="7" xfId="0" applyFont="1" applyBorder="1" applyAlignment="1">
      <alignment horizontal="left" vertical="center" wrapText="1" indent="1"/>
    </xf>
    <xf numFmtId="0" fontId="11" fillId="0" borderId="0" xfId="0" applyFont="1" applyAlignment="1">
      <alignment horizontal="left" vertical="center" wrapText="1" indent="1"/>
    </xf>
    <xf numFmtId="0" fontId="13" fillId="0" borderId="0" xfId="0" applyFont="1"/>
    <xf numFmtId="0" fontId="17" fillId="0" borderId="1" xfId="0" applyFont="1" applyBorder="1" applyAlignment="1">
      <alignment horizontal="left" vertical="center" indent="1"/>
    </xf>
    <xf numFmtId="0" fontId="17" fillId="0" borderId="0" xfId="0" applyFont="1" applyAlignment="1">
      <alignment horizontal="left" vertical="center" indent="1"/>
    </xf>
    <xf numFmtId="0" fontId="17" fillId="0" borderId="0" xfId="0" applyFont="1"/>
    <xf numFmtId="0" fontId="15" fillId="0" borderId="1" xfId="0" applyFont="1" applyBorder="1" applyAlignment="1">
      <alignment horizontal="left" vertical="center" wrapText="1" indent="1"/>
    </xf>
    <xf numFmtId="0" fontId="11" fillId="18" borderId="0" xfId="0" applyFont="1" applyFill="1" applyAlignment="1">
      <alignment horizontal="left" vertical="center" wrapText="1" indent="1"/>
    </xf>
    <xf numFmtId="0" fontId="13" fillId="0" borderId="1" xfId="0" applyFont="1" applyBorder="1" applyAlignment="1">
      <alignment horizontal="left" vertical="center" indent="1"/>
    </xf>
    <xf numFmtId="0" fontId="11" fillId="18" borderId="1" xfId="0" applyFont="1" applyFill="1" applyBorder="1" applyAlignment="1">
      <alignment horizontal="left" vertical="center" indent="1"/>
    </xf>
    <xf numFmtId="0" fontId="18" fillId="21" borderId="1" xfId="0" applyFont="1" applyFill="1" applyBorder="1" applyAlignment="1">
      <alignment horizontal="left" vertical="center" indent="1"/>
    </xf>
    <xf numFmtId="0" fontId="8" fillId="0" borderId="1" xfId="0" applyFont="1" applyBorder="1"/>
    <xf numFmtId="0" fontId="8" fillId="0" borderId="1" xfId="0" applyFont="1" applyBorder="1" applyAlignment="1">
      <alignment horizontal="left" indent="1"/>
    </xf>
    <xf numFmtId="0" fontId="11" fillId="18" borderId="0" xfId="0" applyFont="1" applyFill="1" applyAlignment="1">
      <alignment horizontal="left" vertical="center" indent="1"/>
    </xf>
    <xf numFmtId="0" fontId="19" fillId="38" borderId="7" xfId="0" applyFont="1" applyFill="1" applyBorder="1" applyAlignment="1">
      <alignment horizontal="left" vertical="center" indent="1"/>
    </xf>
    <xf numFmtId="0" fontId="19" fillId="38" borderId="9" xfId="0" applyFont="1" applyFill="1" applyBorder="1" applyAlignment="1">
      <alignment horizontal="left" vertical="center" indent="1"/>
    </xf>
    <xf numFmtId="0" fontId="9" fillId="0" borderId="0" xfId="0" applyFont="1" applyAlignment="1">
      <alignment horizontal="left" vertical="center" indent="1"/>
    </xf>
    <xf numFmtId="0" fontId="19" fillId="24" borderId="13" xfId="0" applyFont="1" applyFill="1" applyBorder="1" applyAlignment="1">
      <alignment horizontal="left" vertical="center" wrapText="1" indent="1"/>
    </xf>
    <xf numFmtId="0" fontId="19" fillId="24" borderId="4" xfId="0" applyFont="1" applyFill="1" applyBorder="1" applyAlignment="1">
      <alignment horizontal="left" vertical="center" wrapText="1" indent="1"/>
    </xf>
    <xf numFmtId="0" fontId="16" fillId="0" borderId="13" xfId="0" applyFont="1" applyBorder="1" applyAlignment="1">
      <alignment horizontal="left" vertical="center" indent="1"/>
    </xf>
    <xf numFmtId="0" fontId="10" fillId="8" borderId="0" xfId="0" applyFont="1" applyFill="1" applyAlignment="1">
      <alignment horizontal="left" vertical="center" indent="1"/>
    </xf>
    <xf numFmtId="0" fontId="8" fillId="18" borderId="0" xfId="0" applyFont="1" applyFill="1" applyAlignment="1" applyProtection="1">
      <alignment horizontal="left" vertical="center" indent="1"/>
      <protection locked="0"/>
    </xf>
    <xf numFmtId="0" fontId="8" fillId="18" borderId="0" xfId="0" applyFont="1" applyFill="1" applyAlignment="1">
      <alignment horizontal="left" vertical="center" wrapText="1" indent="1"/>
    </xf>
    <xf numFmtId="0" fontId="20" fillId="29" borderId="7" xfId="5" applyFont="1" applyFill="1" applyBorder="1" applyAlignment="1">
      <alignment horizontal="left" vertical="center" indent="1"/>
    </xf>
    <xf numFmtId="0" fontId="20" fillId="29" borderId="9" xfId="5" applyFont="1" applyFill="1" applyBorder="1" applyAlignment="1">
      <alignment horizontal="left" vertical="center" indent="1"/>
    </xf>
    <xf numFmtId="0" fontId="20" fillId="29" borderId="8" xfId="5" applyFont="1" applyFill="1" applyBorder="1" applyAlignment="1">
      <alignment horizontal="left" vertical="center" indent="1"/>
    </xf>
    <xf numFmtId="0" fontId="10" fillId="18" borderId="0" xfId="5" applyFont="1" applyFill="1" applyAlignment="1">
      <alignment horizontal="left" vertical="center" indent="1"/>
    </xf>
    <xf numFmtId="0" fontId="10" fillId="25" borderId="7" xfId="0" applyFont="1" applyFill="1" applyBorder="1" applyAlignment="1">
      <alignment horizontal="left" vertical="center" indent="1"/>
    </xf>
    <xf numFmtId="0" fontId="10" fillId="25" borderId="9" xfId="0" applyFont="1" applyFill="1" applyBorder="1" applyAlignment="1">
      <alignment horizontal="left" vertical="center" indent="1"/>
    </xf>
    <xf numFmtId="0" fontId="10" fillId="25" borderId="8" xfId="0" applyFont="1" applyFill="1" applyBorder="1" applyAlignment="1">
      <alignment horizontal="left" vertical="center" indent="1"/>
    </xf>
    <xf numFmtId="0" fontId="10" fillId="18" borderId="0" xfId="0" applyFont="1" applyFill="1" applyAlignment="1">
      <alignment horizontal="left" vertical="center" indent="1"/>
    </xf>
    <xf numFmtId="0" fontId="11" fillId="39" borderId="1" xfId="1" applyFont="1" applyFill="1" applyBorder="1" applyAlignment="1">
      <alignment horizontal="left" vertical="center" wrapText="1" indent="1"/>
    </xf>
    <xf numFmtId="0" fontId="11" fillId="28" borderId="1" xfId="1" applyFont="1" applyFill="1" applyBorder="1" applyAlignment="1">
      <alignment horizontal="left" vertical="center" wrapText="1" indent="1"/>
    </xf>
    <xf numFmtId="0" fontId="11" fillId="18" borderId="7" xfId="1" applyFont="1" applyFill="1" applyBorder="1" applyAlignment="1">
      <alignment horizontal="left" vertical="center" wrapText="1" indent="1"/>
    </xf>
    <xf numFmtId="0" fontId="8" fillId="40" borderId="1" xfId="0" applyFont="1" applyFill="1" applyBorder="1" applyAlignment="1">
      <alignment horizontal="left" vertical="center" indent="1"/>
    </xf>
    <xf numFmtId="0" fontId="8" fillId="0" borderId="1" xfId="0" applyFont="1" applyBorder="1" applyAlignment="1" applyProtection="1">
      <alignment horizontal="left" vertical="center" indent="1"/>
      <protection locked="0"/>
    </xf>
    <xf numFmtId="0" fontId="11" fillId="0" borderId="7" xfId="0" applyFont="1" applyBorder="1" applyAlignment="1">
      <alignment horizontal="left" vertical="center" indent="1"/>
    </xf>
    <xf numFmtId="0" fontId="8" fillId="0" borderId="8" xfId="0" applyFont="1" applyBorder="1" applyAlignment="1" applyProtection="1">
      <alignment horizontal="left" vertical="center" indent="1"/>
      <protection locked="0"/>
    </xf>
    <xf numFmtId="0" fontId="8" fillId="18" borderId="29" xfId="0" applyFont="1" applyFill="1" applyBorder="1" applyAlignment="1">
      <alignment horizontal="left" vertical="center" indent="1"/>
    </xf>
    <xf numFmtId="0" fontId="8" fillId="18" borderId="28" xfId="0" applyFont="1" applyFill="1" applyBorder="1" applyAlignment="1">
      <alignment horizontal="left" vertical="center" indent="1"/>
    </xf>
    <xf numFmtId="0" fontId="11" fillId="18" borderId="0" xfId="0" applyFont="1" applyFill="1"/>
    <xf numFmtId="0" fontId="8" fillId="18" borderId="31" xfId="0" applyFont="1" applyFill="1" applyBorder="1"/>
    <xf numFmtId="0" fontId="11" fillId="18" borderId="29" xfId="0" applyFont="1" applyFill="1" applyBorder="1"/>
    <xf numFmtId="0" fontId="8" fillId="18" borderId="29" xfId="0" applyFont="1" applyFill="1" applyBorder="1"/>
    <xf numFmtId="0" fontId="8" fillId="18" borderId="28" xfId="0" applyFont="1" applyFill="1" applyBorder="1"/>
    <xf numFmtId="0" fontId="11" fillId="18" borderId="28" xfId="0" applyFont="1" applyFill="1" applyBorder="1"/>
    <xf numFmtId="0" fontId="8" fillId="18" borderId="38" xfId="0" applyFont="1" applyFill="1" applyBorder="1" applyAlignment="1">
      <alignment horizontal="left" indent="2"/>
    </xf>
    <xf numFmtId="0" fontId="8" fillId="18" borderId="30" xfId="0" applyFont="1" applyFill="1" applyBorder="1" applyAlignment="1">
      <alignment horizontal="left" indent="2"/>
    </xf>
    <xf numFmtId="0" fontId="8" fillId="18" borderId="26" xfId="0" applyFont="1" applyFill="1" applyBorder="1"/>
    <xf numFmtId="0" fontId="8" fillId="0" borderId="8" xfId="0" applyFont="1" applyBorder="1"/>
    <xf numFmtId="0" fontId="8" fillId="18" borderId="19" xfId="0" applyFont="1" applyFill="1" applyBorder="1"/>
    <xf numFmtId="0" fontId="8" fillId="18" borderId="18" xfId="0" applyFont="1" applyFill="1" applyBorder="1"/>
    <xf numFmtId="0" fontId="8" fillId="18" borderId="20" xfId="0" applyFont="1" applyFill="1" applyBorder="1"/>
    <xf numFmtId="0" fontId="8" fillId="18" borderId="21" xfId="0" applyFont="1" applyFill="1" applyBorder="1"/>
    <xf numFmtId="0" fontId="8" fillId="18" borderId="22" xfId="0" applyFont="1" applyFill="1" applyBorder="1"/>
    <xf numFmtId="0" fontId="8" fillId="18" borderId="33" xfId="0" applyFont="1" applyFill="1" applyBorder="1"/>
    <xf numFmtId="0" fontId="22" fillId="0" borderId="1" xfId="9" applyFont="1" applyBorder="1" applyAlignment="1">
      <alignment horizontal="left" vertical="center" indent="1"/>
    </xf>
    <xf numFmtId="0" fontId="8" fillId="18" borderId="23" xfId="0" applyFont="1" applyFill="1" applyBorder="1"/>
    <xf numFmtId="0" fontId="8" fillId="18" borderId="24" xfId="0" applyFont="1" applyFill="1" applyBorder="1"/>
    <xf numFmtId="0" fontId="11" fillId="0" borderId="3" xfId="0" applyFont="1" applyBorder="1" applyAlignment="1">
      <alignment horizontal="left" vertical="center" indent="1"/>
    </xf>
    <xf numFmtId="0" fontId="8" fillId="18" borderId="25" xfId="0" applyFont="1" applyFill="1" applyBorder="1"/>
    <xf numFmtId="0" fontId="8" fillId="18" borderId="27" xfId="0" applyFont="1" applyFill="1" applyBorder="1"/>
    <xf numFmtId="0" fontId="8" fillId="18" borderId="32" xfId="0" applyFont="1" applyFill="1" applyBorder="1"/>
    <xf numFmtId="49" fontId="23" fillId="18" borderId="0" xfId="0" applyNumberFormat="1" applyFont="1" applyFill="1" applyAlignment="1">
      <alignment horizontal="left" vertical="top" wrapText="1"/>
    </xf>
    <xf numFmtId="0" fontId="11" fillId="0" borderId="15" xfId="0" applyFont="1" applyBorder="1" applyAlignment="1">
      <alignment horizontal="left" vertical="center" indent="1"/>
    </xf>
    <xf numFmtId="0" fontId="24" fillId="41" borderId="1" xfId="0" applyFont="1" applyFill="1" applyBorder="1" applyAlignment="1" applyProtection="1">
      <alignment horizontal="left" vertical="center" indent="1"/>
      <protection locked="0"/>
    </xf>
    <xf numFmtId="0" fontId="11" fillId="0" borderId="9" xfId="0" applyFont="1" applyBorder="1" applyAlignment="1">
      <alignment horizontal="left" vertical="center" indent="1"/>
    </xf>
    <xf numFmtId="0" fontId="8" fillId="0" borderId="9" xfId="0" applyFont="1" applyBorder="1"/>
    <xf numFmtId="0" fontId="9" fillId="42" borderId="1" xfId="0" applyFont="1" applyFill="1" applyBorder="1" applyAlignment="1">
      <alignment horizontal="left" vertical="center" indent="1"/>
    </xf>
    <xf numFmtId="0" fontId="9" fillId="40" borderId="1" xfId="0" applyFont="1" applyFill="1" applyBorder="1" applyAlignment="1">
      <alignment horizontal="left" vertical="center" indent="1"/>
    </xf>
    <xf numFmtId="0" fontId="9" fillId="42" borderId="1" xfId="0" applyFont="1" applyFill="1" applyBorder="1" applyAlignment="1" applyProtection="1">
      <alignment horizontal="left" vertical="center" indent="1"/>
      <protection locked="0"/>
    </xf>
    <xf numFmtId="0" fontId="8" fillId="0" borderId="9" xfId="0" applyFont="1" applyBorder="1" applyAlignment="1">
      <alignment horizontal="left" vertical="center" indent="1"/>
    </xf>
    <xf numFmtId="0" fontId="8" fillId="31" borderId="1" xfId="0" applyFont="1" applyFill="1" applyBorder="1" applyAlignment="1">
      <alignment horizontal="left" vertical="center" indent="1"/>
    </xf>
    <xf numFmtId="0" fontId="8" fillId="40" borderId="15" xfId="0" applyFont="1" applyFill="1" applyBorder="1" applyAlignment="1">
      <alignment horizontal="left" vertical="center" indent="1"/>
    </xf>
    <xf numFmtId="0" fontId="9" fillId="43" borderId="1" xfId="0" applyFont="1" applyFill="1" applyBorder="1" applyAlignment="1">
      <alignment horizontal="left" vertical="center" indent="1"/>
    </xf>
    <xf numFmtId="0" fontId="8" fillId="40" borderId="7" xfId="0" applyFont="1" applyFill="1" applyBorder="1" applyAlignment="1">
      <alignment horizontal="left" vertical="center" indent="1"/>
    </xf>
    <xf numFmtId="0" fontId="8" fillId="0" borderId="15" xfId="0" applyFont="1" applyBorder="1" applyAlignment="1" applyProtection="1">
      <alignment horizontal="left" vertical="center" indent="1"/>
      <protection locked="0"/>
    </xf>
    <xf numFmtId="0" fontId="8" fillId="31" borderId="46" xfId="0" applyFont="1" applyFill="1" applyBorder="1" applyAlignment="1">
      <alignment horizontal="left" vertical="center" indent="1"/>
    </xf>
    <xf numFmtId="0" fontId="8" fillId="31" borderId="1" xfId="0" applyFont="1" applyFill="1" applyBorder="1" applyAlignment="1">
      <alignment horizontal="left" vertical="center" wrapText="1" indent="1"/>
    </xf>
    <xf numFmtId="0" fontId="11" fillId="0" borderId="12" xfId="0" applyFont="1" applyBorder="1" applyAlignment="1">
      <alignment horizontal="left" vertical="center" indent="1"/>
    </xf>
    <xf numFmtId="0" fontId="11" fillId="0" borderId="15" xfId="0" applyFont="1" applyBorder="1" applyAlignment="1" applyProtection="1">
      <alignment horizontal="left" vertical="center" indent="1"/>
      <protection locked="0"/>
    </xf>
    <xf numFmtId="0" fontId="8" fillId="0" borderId="0" xfId="0" applyFont="1" applyAlignment="1">
      <alignment horizontal="left" indent="1"/>
    </xf>
    <xf numFmtId="0" fontId="26" fillId="0" borderId="1" xfId="0" applyFont="1" applyBorder="1" applyAlignment="1">
      <alignment horizontal="left" vertical="center" indent="1"/>
    </xf>
    <xf numFmtId="0" fontId="8" fillId="0" borderId="7" xfId="0" applyFont="1" applyBorder="1" applyAlignment="1" applyProtection="1">
      <alignment horizontal="left" vertical="center" indent="1"/>
      <protection locked="0"/>
    </xf>
    <xf numFmtId="0" fontId="8" fillId="15" borderId="1" xfId="0" applyFont="1" applyFill="1" applyBorder="1" applyAlignment="1" applyProtection="1">
      <alignment horizontal="left" vertical="center" indent="1"/>
      <protection locked="0"/>
    </xf>
    <xf numFmtId="0" fontId="8" fillId="0" borderId="1" xfId="11" applyFont="1" applyBorder="1" applyAlignment="1" applyProtection="1">
      <alignment horizontal="left" vertical="center" indent="1"/>
      <protection locked="0"/>
    </xf>
    <xf numFmtId="0" fontId="20" fillId="29" borderId="1" xfId="5" applyFont="1" applyFill="1" applyBorder="1" applyAlignment="1">
      <alignment horizontal="left" vertical="center" indent="1"/>
    </xf>
    <xf numFmtId="0" fontId="11" fillId="28" borderId="1" xfId="0" applyFont="1" applyFill="1" applyBorder="1" applyAlignment="1">
      <alignment horizontal="left" vertical="center" indent="1"/>
    </xf>
    <xf numFmtId="0" fontId="11" fillId="28" borderId="1" xfId="3" applyFont="1" applyFill="1" applyBorder="1" applyAlignment="1">
      <alignment horizontal="left" vertical="center" wrapText="1" indent="1"/>
    </xf>
    <xf numFmtId="0" fontId="8" fillId="18" borderId="1" xfId="0" applyFont="1" applyFill="1" applyBorder="1" applyAlignment="1">
      <alignment horizontal="left" vertical="center" indent="1"/>
    </xf>
    <xf numFmtId="0" fontId="8" fillId="18" borderId="1" xfId="0" applyFont="1" applyFill="1" applyBorder="1" applyAlignment="1">
      <alignment horizontal="left" vertical="center" wrapText="1" indent="1"/>
    </xf>
    <xf numFmtId="0" fontId="8" fillId="31" borderId="39" xfId="0" applyFont="1" applyFill="1" applyBorder="1" applyAlignment="1">
      <alignment horizontal="left" vertical="center" indent="1"/>
    </xf>
    <xf numFmtId="0" fontId="8" fillId="0" borderId="1" xfId="0" applyFont="1" applyBorder="1" applyAlignment="1" applyProtection="1">
      <alignment horizontal="left" vertical="center" wrapText="1" indent="1"/>
      <protection locked="0"/>
    </xf>
    <xf numFmtId="0" fontId="11" fillId="28" borderId="1" xfId="0" applyFont="1" applyFill="1" applyBorder="1" applyAlignment="1">
      <alignment horizontal="left" vertical="center" wrapText="1" indent="1"/>
    </xf>
    <xf numFmtId="0" fontId="29" fillId="0" borderId="0" xfId="0" applyFont="1" applyAlignment="1">
      <alignment horizontal="left" vertical="center" indent="1"/>
    </xf>
    <xf numFmtId="0" fontId="20" fillId="29" borderId="5" xfId="5" applyFont="1" applyFill="1" applyBorder="1" applyAlignment="1">
      <alignment horizontal="left" vertical="center" indent="1"/>
    </xf>
    <xf numFmtId="0" fontId="20" fillId="29" borderId="0" xfId="5" applyFont="1" applyFill="1" applyAlignment="1">
      <alignment horizontal="left" vertical="center" indent="1"/>
    </xf>
    <xf numFmtId="0" fontId="8" fillId="0" borderId="0" xfId="0" applyFont="1" applyAlignment="1">
      <alignment vertical="top" wrapText="1"/>
    </xf>
    <xf numFmtId="0" fontId="11" fillId="28" borderId="8" xfId="1" applyFont="1" applyFill="1" applyBorder="1" applyAlignment="1">
      <alignment horizontal="left" vertical="center" wrapText="1" indent="1"/>
    </xf>
    <xf numFmtId="0" fontId="11" fillId="34" borderId="1" xfId="1" applyFont="1" applyFill="1" applyBorder="1" applyAlignment="1">
      <alignment horizontal="left" vertical="center" wrapText="1" indent="1"/>
    </xf>
    <xf numFmtId="0" fontId="11" fillId="34" borderId="7" xfId="1" applyFont="1" applyFill="1" applyBorder="1" applyAlignment="1">
      <alignment horizontal="left" vertical="center" wrapText="1" indent="1"/>
    </xf>
    <xf numFmtId="0" fontId="11" fillId="34" borderId="9" xfId="1" applyFont="1" applyFill="1" applyBorder="1" applyAlignment="1">
      <alignment horizontal="left" vertical="center" wrapText="1" indent="1"/>
    </xf>
    <xf numFmtId="0" fontId="8" fillId="27" borderId="8" xfId="0" applyFont="1" applyFill="1" applyBorder="1" applyAlignment="1" applyProtection="1">
      <alignment horizontal="left" vertical="center" indent="1"/>
      <protection locked="0"/>
    </xf>
    <xf numFmtId="0" fontId="8" fillId="0" borderId="7" xfId="0" applyFont="1" applyBorder="1" applyAlignment="1">
      <alignment horizontal="left" vertical="center" indent="1"/>
    </xf>
    <xf numFmtId="0" fontId="20" fillId="29" borderId="12" xfId="5" applyFont="1" applyFill="1" applyBorder="1" applyAlignment="1">
      <alignment horizontal="left" vertical="center" indent="1"/>
    </xf>
    <xf numFmtId="0" fontId="13" fillId="48" borderId="1" xfId="0" applyFont="1" applyFill="1" applyBorder="1" applyAlignment="1" applyProtection="1">
      <alignment horizontal="left" vertical="center" wrapText="1" indent="1"/>
      <protection locked="0"/>
    </xf>
    <xf numFmtId="0" fontId="8" fillId="18" borderId="1" xfId="0" applyFont="1" applyFill="1" applyBorder="1" applyAlignment="1" applyProtection="1">
      <alignment horizontal="left" vertical="center" wrapText="1" indent="1"/>
      <protection locked="0"/>
    </xf>
    <xf numFmtId="0" fontId="8" fillId="0" borderId="7" xfId="0" applyFont="1" applyBorder="1" applyAlignment="1" applyProtection="1">
      <alignment horizontal="left" vertical="center" wrapText="1" indent="1"/>
      <protection locked="0"/>
    </xf>
    <xf numFmtId="0" fontId="13" fillId="37" borderId="1" xfId="0" applyFont="1" applyFill="1" applyBorder="1" applyAlignment="1" applyProtection="1">
      <alignment horizontal="left" vertical="center" wrapText="1" indent="1"/>
      <protection locked="0"/>
    </xf>
    <xf numFmtId="0" fontId="8" fillId="0" borderId="1" xfId="11" applyFont="1" applyBorder="1" applyAlignment="1">
      <alignment horizontal="left" vertical="center" indent="1"/>
    </xf>
    <xf numFmtId="49" fontId="8" fillId="0" borderId="1" xfId="0" applyNumberFormat="1" applyFont="1" applyBorder="1" applyAlignment="1" applyProtection="1">
      <alignment horizontal="left" vertical="center" indent="1"/>
      <protection locked="0"/>
    </xf>
    <xf numFmtId="0" fontId="18" fillId="32" borderId="1" xfId="7" applyFont="1" applyFill="1" applyBorder="1" applyAlignment="1" applyProtection="1">
      <alignment horizontal="left" vertical="center" indent="1"/>
      <protection locked="0"/>
    </xf>
    <xf numFmtId="0" fontId="13" fillId="48" borderId="1" xfId="7" applyFont="1" applyFill="1" applyBorder="1" applyAlignment="1" applyProtection="1">
      <alignment horizontal="left" vertical="center" indent="1"/>
      <protection locked="0"/>
    </xf>
    <xf numFmtId="0" fontId="13" fillId="48" borderId="1" xfId="11" applyFont="1" applyFill="1" applyBorder="1" applyAlignment="1" applyProtection="1">
      <alignment horizontal="left" vertical="center" indent="1"/>
      <protection locked="0"/>
    </xf>
    <xf numFmtId="11" fontId="13" fillId="48" borderId="1" xfId="7" applyNumberFormat="1" applyFont="1" applyFill="1" applyBorder="1" applyAlignment="1" applyProtection="1">
      <alignment horizontal="left" vertical="center" indent="1"/>
      <protection locked="0"/>
    </xf>
    <xf numFmtId="0" fontId="8" fillId="0" borderId="0" xfId="0" applyFont="1" applyProtection="1">
      <protection locked="0"/>
    </xf>
    <xf numFmtId="0" fontId="30" fillId="0" borderId="0" xfId="9" applyFont="1"/>
    <xf numFmtId="0" fontId="9" fillId="0" borderId="0" xfId="0" applyFont="1"/>
    <xf numFmtId="0" fontId="14" fillId="18" borderId="5" xfId="0" applyFont="1" applyFill="1" applyBorder="1" applyAlignment="1">
      <alignment horizontal="left" vertical="center" indent="1"/>
    </xf>
    <xf numFmtId="0" fontId="34" fillId="37" borderId="41" xfId="9" applyFont="1" applyFill="1" applyBorder="1" applyAlignment="1" applyProtection="1">
      <alignment horizontal="left" vertical="center" indent="1"/>
      <protection locked="0"/>
    </xf>
    <xf numFmtId="0" fontId="34" fillId="18" borderId="0" xfId="9" applyFont="1" applyFill="1" applyAlignment="1" applyProtection="1">
      <alignment horizontal="left" vertical="center" indent="1"/>
      <protection locked="0"/>
    </xf>
    <xf numFmtId="0" fontId="34" fillId="18" borderId="44" xfId="9" applyFont="1" applyFill="1" applyBorder="1" applyAlignment="1" applyProtection="1">
      <alignment horizontal="left" vertical="center" indent="1"/>
      <protection locked="0"/>
    </xf>
    <xf numFmtId="0" fontId="35" fillId="24" borderId="1" xfId="0" applyFont="1" applyFill="1" applyBorder="1" applyAlignment="1" applyProtection="1">
      <alignment horizontal="left" vertical="center" indent="1"/>
      <protection locked="0"/>
    </xf>
    <xf numFmtId="0" fontId="8" fillId="40" borderId="1" xfId="0" applyFont="1" applyFill="1" applyBorder="1" applyAlignment="1">
      <alignment horizontal="left" vertical="center" wrapText="1" indent="1"/>
    </xf>
    <xf numFmtId="0" fontId="8" fillId="31" borderId="1" xfId="0" applyFont="1" applyFill="1" applyBorder="1" applyAlignment="1" applyProtection="1">
      <alignment horizontal="left" vertical="center" indent="1"/>
      <protection locked="0"/>
    </xf>
    <xf numFmtId="0" fontId="11" fillId="0" borderId="1" xfId="0" applyFont="1" applyBorder="1" applyAlignment="1">
      <alignment horizontal="left" indent="1"/>
    </xf>
    <xf numFmtId="0" fontId="8" fillId="6" borderId="1" xfId="0" applyFont="1" applyFill="1" applyBorder="1" applyAlignment="1" applyProtection="1">
      <alignment horizontal="left" vertical="center" indent="1"/>
      <protection locked="0"/>
    </xf>
    <xf numFmtId="0" fontId="10" fillId="29" borderId="7" xfId="5" applyFont="1" applyFill="1" applyBorder="1" applyAlignment="1">
      <alignment horizontal="left" vertical="center" indent="1"/>
    </xf>
    <xf numFmtId="0" fontId="10" fillId="29" borderId="9" xfId="5" applyFont="1" applyFill="1" applyBorder="1" applyAlignment="1">
      <alignment horizontal="left" vertical="center" indent="1"/>
    </xf>
    <xf numFmtId="0" fontId="10" fillId="29" borderId="8" xfId="5" applyFont="1" applyFill="1" applyBorder="1" applyAlignment="1">
      <alignment horizontal="left" vertical="center" indent="1"/>
    </xf>
    <xf numFmtId="0" fontId="11" fillId="39" borderId="1" xfId="3" applyFont="1" applyFill="1" applyBorder="1" applyAlignment="1">
      <alignment horizontal="left" vertical="center" wrapText="1" indent="1"/>
    </xf>
    <xf numFmtId="0" fontId="9" fillId="36" borderId="4" xfId="0" applyFont="1" applyFill="1" applyBorder="1" applyAlignment="1">
      <alignment horizontal="left" vertical="center" wrapText="1" indent="1"/>
    </xf>
    <xf numFmtId="0" fontId="9" fillId="20" borderId="4" xfId="0" applyFont="1" applyFill="1" applyBorder="1" applyAlignment="1">
      <alignment horizontal="left" vertical="center" wrapText="1" indent="1"/>
    </xf>
    <xf numFmtId="0" fontId="8" fillId="31" borderId="1" xfId="5" applyFont="1" applyFill="1" applyBorder="1" applyAlignment="1">
      <alignment horizontal="left" vertical="center" indent="1"/>
    </xf>
    <xf numFmtId="0" fontId="13" fillId="14" borderId="1" xfId="5" applyFont="1" applyFill="1" applyBorder="1" applyAlignment="1" applyProtection="1">
      <alignment horizontal="left" vertical="center" indent="1"/>
      <protection locked="0"/>
    </xf>
    <xf numFmtId="0" fontId="9" fillId="36" borderId="1" xfId="0" applyFont="1" applyFill="1" applyBorder="1" applyAlignment="1">
      <alignment horizontal="left" vertical="center" indent="1"/>
    </xf>
    <xf numFmtId="0" fontId="9" fillId="36" borderId="13" xfId="0" applyFont="1" applyFill="1" applyBorder="1" applyAlignment="1">
      <alignment horizontal="left" vertical="center" indent="1"/>
    </xf>
    <xf numFmtId="0" fontId="9" fillId="43" borderId="13" xfId="0" applyFont="1" applyFill="1" applyBorder="1" applyAlignment="1">
      <alignment horizontal="left" vertical="center" indent="1"/>
    </xf>
    <xf numFmtId="0" fontId="9" fillId="40" borderId="13" xfId="0" applyFont="1" applyFill="1" applyBorder="1" applyAlignment="1">
      <alignment horizontal="left" vertical="center" indent="1"/>
    </xf>
    <xf numFmtId="0" fontId="8" fillId="40" borderId="1" xfId="5" applyFont="1" applyFill="1" applyBorder="1" applyAlignment="1">
      <alignment horizontal="left" vertical="center" indent="1"/>
    </xf>
    <xf numFmtId="0" fontId="8" fillId="18" borderId="1" xfId="0" applyFont="1" applyFill="1" applyBorder="1" applyAlignment="1" applyProtection="1">
      <alignment horizontal="left" vertical="center" indent="1"/>
      <protection locked="0"/>
    </xf>
    <xf numFmtId="0" fontId="8" fillId="40" borderId="7" xfId="0" applyFont="1" applyFill="1" applyBorder="1" applyAlignment="1">
      <alignment horizontal="left" vertical="center" wrapText="1" indent="1"/>
    </xf>
    <xf numFmtId="0" fontId="8" fillId="40" borderId="0" xfId="0" applyFont="1" applyFill="1" applyAlignment="1">
      <alignment horizontal="left" vertical="center" indent="1"/>
    </xf>
    <xf numFmtId="0" fontId="37" fillId="0" borderId="1" xfId="0" applyFont="1" applyBorder="1" applyAlignment="1">
      <alignment horizontal="left" vertical="center" indent="1"/>
    </xf>
    <xf numFmtId="0" fontId="8" fillId="40" borderId="1" xfId="0" applyFont="1" applyFill="1" applyBorder="1" applyAlignment="1">
      <alignment horizontal="left" indent="1"/>
    </xf>
    <xf numFmtId="0" fontId="8" fillId="27" borderId="1" xfId="11" applyFont="1" applyFill="1" applyBorder="1" applyAlignment="1" applyProtection="1">
      <alignment horizontal="left" vertical="center" indent="1"/>
      <protection locked="0"/>
    </xf>
    <xf numFmtId="0" fontId="8" fillId="18" borderId="1" xfId="11" applyFont="1" applyFill="1" applyBorder="1" applyAlignment="1" applyProtection="1">
      <alignment horizontal="left" vertical="center" indent="1"/>
      <protection locked="0"/>
    </xf>
    <xf numFmtId="0" fontId="8" fillId="0" borderId="1" xfId="0" applyFont="1" applyBorder="1" applyAlignment="1">
      <alignment vertical="center"/>
    </xf>
    <xf numFmtId="0" fontId="8" fillId="23" borderId="1" xfId="0" applyFont="1" applyFill="1" applyBorder="1" applyAlignment="1" applyProtection="1">
      <alignment horizontal="left" vertical="center" indent="1"/>
      <protection locked="0"/>
    </xf>
    <xf numFmtId="0" fontId="9" fillId="36" borderId="1" xfId="0" applyFont="1" applyFill="1" applyBorder="1" applyAlignment="1">
      <alignment horizontal="left" vertical="center" wrapText="1" indent="1"/>
    </xf>
    <xf numFmtId="0" fontId="11" fillId="18" borderId="1" xfId="1" applyFont="1" applyFill="1" applyBorder="1" applyAlignment="1">
      <alignment horizontal="left" vertical="center" wrapText="1" indent="1"/>
    </xf>
    <xf numFmtId="0" fontId="8" fillId="6" borderId="1" xfId="0" applyFont="1" applyFill="1" applyBorder="1" applyAlignment="1" applyProtection="1">
      <alignment horizontal="left" vertical="center" wrapText="1" indent="1"/>
      <protection locked="0"/>
    </xf>
    <xf numFmtId="0" fontId="11" fillId="0" borderId="13" xfId="0" applyFont="1" applyBorder="1" applyAlignment="1">
      <alignment horizontal="left" vertical="center" indent="1"/>
    </xf>
    <xf numFmtId="0" fontId="9" fillId="0" borderId="1" xfId="0" applyFont="1" applyBorder="1" applyAlignment="1">
      <alignment horizontal="left" vertical="center" indent="1"/>
    </xf>
    <xf numFmtId="0" fontId="38" fillId="38" borderId="7" xfId="0" applyFont="1" applyFill="1" applyBorder="1" applyAlignment="1">
      <alignment horizontal="left" vertical="center" indent="1"/>
    </xf>
    <xf numFmtId="0" fontId="38" fillId="38" borderId="9" xfId="0" applyFont="1" applyFill="1" applyBorder="1" applyAlignment="1">
      <alignment horizontal="left" vertical="center" indent="1"/>
    </xf>
    <xf numFmtId="0" fontId="38" fillId="38" borderId="8" xfId="0" applyFont="1" applyFill="1" applyBorder="1" applyAlignment="1">
      <alignment horizontal="left" vertical="center" indent="1"/>
    </xf>
    <xf numFmtId="0" fontId="19" fillId="24" borderId="2" xfId="0" applyFont="1" applyFill="1" applyBorder="1" applyAlignment="1">
      <alignment horizontal="left" vertical="center" indent="1"/>
    </xf>
    <xf numFmtId="0" fontId="19" fillId="24" borderId="3" xfId="0" applyFont="1" applyFill="1" applyBorder="1" applyAlignment="1">
      <alignment horizontal="left" vertical="center" indent="1"/>
    </xf>
    <xf numFmtId="0" fontId="19" fillId="24" borderId="4" xfId="0" applyFont="1" applyFill="1" applyBorder="1" applyAlignment="1">
      <alignment horizontal="left" vertical="center" indent="1"/>
    </xf>
    <xf numFmtId="0" fontId="15" fillId="35" borderId="13" xfId="0" applyFont="1" applyFill="1" applyBorder="1" applyAlignment="1">
      <alignment horizontal="left" vertical="center" wrapText="1" indent="1"/>
    </xf>
    <xf numFmtId="0" fontId="15" fillId="35" borderId="4" xfId="0" applyFont="1" applyFill="1" applyBorder="1" applyAlignment="1">
      <alignment horizontal="left" vertical="center" wrapText="1" indent="1"/>
    </xf>
    <xf numFmtId="0" fontId="9" fillId="43" borderId="4" xfId="0" applyFont="1" applyFill="1" applyBorder="1" applyAlignment="1">
      <alignment horizontal="left" vertical="center" indent="1"/>
    </xf>
    <xf numFmtId="0" fontId="9" fillId="0" borderId="4" xfId="0" applyFont="1" applyBorder="1"/>
    <xf numFmtId="0" fontId="9" fillId="0" borderId="4" xfId="0" applyFont="1" applyBorder="1" applyAlignment="1">
      <alignment horizontal="left" vertical="center" indent="1"/>
    </xf>
    <xf numFmtId="0" fontId="38" fillId="38" borderId="1" xfId="0" applyFont="1" applyFill="1" applyBorder="1" applyAlignment="1">
      <alignment horizontal="left" vertical="center" indent="1"/>
    </xf>
    <xf numFmtId="0" fontId="9" fillId="44" borderId="1" xfId="0" applyFont="1" applyFill="1" applyBorder="1" applyAlignment="1">
      <alignment horizontal="left" vertical="center" indent="1"/>
    </xf>
    <xf numFmtId="0" fontId="9" fillId="44" borderId="1" xfId="0" applyFont="1" applyFill="1" applyBorder="1" applyAlignment="1" applyProtection="1">
      <alignment horizontal="left" vertical="center" indent="1"/>
      <protection locked="0"/>
    </xf>
    <xf numFmtId="0" fontId="9" fillId="42" borderId="1" xfId="0" applyFont="1" applyFill="1" applyBorder="1" applyAlignment="1">
      <alignment horizontal="left" vertical="center" wrapText="1" indent="1"/>
    </xf>
    <xf numFmtId="0" fontId="11" fillId="2" borderId="1" xfId="1" applyFont="1" applyBorder="1" applyAlignment="1">
      <alignment horizontal="left" vertical="center" wrapText="1" indent="1"/>
    </xf>
    <xf numFmtId="0" fontId="11" fillId="3" borderId="1" xfId="3" applyFont="1" applyBorder="1" applyAlignment="1">
      <alignment horizontal="left" vertical="center" wrapText="1" indent="1"/>
    </xf>
    <xf numFmtId="0" fontId="15" fillId="0" borderId="0" xfId="0" applyFont="1" applyAlignment="1">
      <alignment horizontal="left" vertical="center" indent="1"/>
    </xf>
    <xf numFmtId="0" fontId="34" fillId="37" borderId="45" xfId="9" applyFont="1" applyFill="1" applyBorder="1" applyAlignment="1" applyProtection="1">
      <alignment horizontal="left" vertical="center" indent="1"/>
      <protection locked="0"/>
    </xf>
    <xf numFmtId="0" fontId="34" fillId="18" borderId="0" xfId="9" applyFont="1" applyFill="1" applyAlignment="1">
      <alignment horizontal="left" vertical="center" indent="1"/>
    </xf>
    <xf numFmtId="0" fontId="8" fillId="0" borderId="1" xfId="11" applyFont="1" applyBorder="1" applyAlignment="1">
      <alignment horizontal="left" vertical="center" wrapText="1" indent="1"/>
    </xf>
    <xf numFmtId="0" fontId="8" fillId="40" borderId="13" xfId="0" applyFont="1" applyFill="1" applyBorder="1" applyAlignment="1">
      <alignment horizontal="left" vertical="center" wrapText="1" indent="1"/>
    </xf>
    <xf numFmtId="0" fontId="8" fillId="0" borderId="13" xfId="0" applyFont="1" applyBorder="1" applyAlignment="1" applyProtection="1">
      <alignment horizontal="left" vertical="center" indent="1"/>
      <protection locked="0"/>
    </xf>
    <xf numFmtId="0" fontId="8" fillId="31" borderId="13" xfId="0" applyFont="1" applyFill="1" applyBorder="1" applyAlignment="1">
      <alignment horizontal="left" vertical="center" wrapText="1" indent="1"/>
    </xf>
    <xf numFmtId="0" fontId="8" fillId="49" borderId="1" xfId="0" applyFont="1" applyFill="1" applyBorder="1" applyAlignment="1" applyProtection="1">
      <alignment horizontal="left" vertical="center" indent="1"/>
      <protection locked="0"/>
    </xf>
    <xf numFmtId="0" fontId="9" fillId="36" borderId="13" xfId="0" applyFont="1" applyFill="1" applyBorder="1" applyAlignment="1">
      <alignment horizontal="left" vertical="center" wrapText="1" indent="1"/>
    </xf>
    <xf numFmtId="0" fontId="8" fillId="49" borderId="1" xfId="0" applyFont="1" applyFill="1" applyBorder="1" applyAlignment="1">
      <alignment horizontal="left" vertical="center" indent="1"/>
    </xf>
    <xf numFmtId="0" fontId="40" fillId="0" borderId="1" xfId="0" applyFont="1" applyBorder="1"/>
    <xf numFmtId="0" fontId="8" fillId="18" borderId="15" xfId="0" applyFont="1" applyFill="1" applyBorder="1" applyAlignment="1">
      <alignment horizontal="left" vertical="center" indent="1"/>
    </xf>
    <xf numFmtId="0" fontId="8" fillId="18" borderId="39" xfId="0" applyFont="1" applyFill="1" applyBorder="1" applyAlignment="1">
      <alignment horizontal="left" vertical="center" indent="1"/>
    </xf>
    <xf numFmtId="0" fontId="8" fillId="40" borderId="1" xfId="1" applyFont="1" applyFill="1" applyBorder="1" applyAlignment="1">
      <alignment horizontal="left" vertical="center" wrapText="1" indent="1"/>
    </xf>
    <xf numFmtId="0" fontId="8" fillId="18" borderId="1" xfId="3" applyFont="1" applyFill="1" applyBorder="1" applyAlignment="1">
      <alignment horizontal="left" vertical="center" wrapText="1" indent="1"/>
    </xf>
    <xf numFmtId="0" fontId="28" fillId="13" borderId="9" xfId="0" applyFont="1" applyFill="1" applyBorder="1" applyAlignment="1">
      <alignment horizontal="left" vertical="center" indent="1"/>
    </xf>
    <xf numFmtId="0" fontId="20" fillId="33" borderId="1" xfId="5" applyFont="1" applyFill="1" applyBorder="1" applyAlignment="1">
      <alignment horizontal="left" vertical="center" indent="1"/>
    </xf>
    <xf numFmtId="0" fontId="20" fillId="33" borderId="1" xfId="6" applyFont="1" applyFill="1" applyBorder="1" applyAlignment="1">
      <alignment horizontal="left" vertical="center" indent="1"/>
    </xf>
    <xf numFmtId="0" fontId="20" fillId="4" borderId="1" xfId="5" applyFont="1" applyBorder="1" applyAlignment="1">
      <alignment horizontal="left" vertical="center" indent="1"/>
    </xf>
    <xf numFmtId="0" fontId="20" fillId="4" borderId="7" xfId="5" applyFont="1" applyBorder="1" applyAlignment="1">
      <alignment horizontal="left" vertical="center" indent="1"/>
    </xf>
    <xf numFmtId="0" fontId="20" fillId="4" borderId="9" xfId="5" applyFont="1" applyBorder="1" applyAlignment="1">
      <alignment horizontal="left" vertical="center" indent="1"/>
    </xf>
    <xf numFmtId="0" fontId="10" fillId="25" borderId="1" xfId="1" applyFont="1" applyFill="1" applyBorder="1" applyAlignment="1">
      <alignment horizontal="left" vertical="center" wrapText="1" indent="1"/>
    </xf>
    <xf numFmtId="0" fontId="10" fillId="25" borderId="1" xfId="3" applyFont="1" applyFill="1" applyBorder="1" applyAlignment="1">
      <alignment horizontal="left" vertical="center" wrapText="1" indent="1"/>
    </xf>
    <xf numFmtId="0" fontId="20" fillId="33" borderId="7" xfId="5" applyFont="1" applyFill="1" applyBorder="1" applyAlignment="1">
      <alignment horizontal="left" vertical="center" indent="1"/>
    </xf>
    <xf numFmtId="0" fontId="20" fillId="33" borderId="9" xfId="5" applyFont="1" applyFill="1" applyBorder="1" applyAlignment="1">
      <alignment horizontal="left" vertical="center" indent="1"/>
    </xf>
    <xf numFmtId="0" fontId="20" fillId="33" borderId="8" xfId="5" applyFont="1" applyFill="1" applyBorder="1" applyAlignment="1">
      <alignment horizontal="left" vertical="center" indent="1"/>
    </xf>
    <xf numFmtId="0" fontId="11" fillId="0" borderId="16" xfId="0" applyFont="1" applyBorder="1" applyAlignment="1">
      <alignment horizontal="left" vertical="center" indent="1"/>
    </xf>
    <xf numFmtId="0" fontId="8" fillId="0" borderId="15" xfId="0" applyFont="1" applyBorder="1" applyAlignment="1">
      <alignment horizontal="left" vertical="center" indent="1"/>
    </xf>
    <xf numFmtId="0" fontId="8" fillId="0" borderId="17" xfId="0" applyFont="1" applyBorder="1" applyAlignment="1">
      <alignment horizontal="left" vertical="center" indent="1"/>
    </xf>
    <xf numFmtId="0" fontId="8" fillId="0" borderId="17" xfId="11" applyFont="1" applyBorder="1" applyAlignment="1">
      <alignment horizontal="left" vertical="center" indent="1"/>
    </xf>
    <xf numFmtId="0" fontId="36" fillId="0" borderId="1" xfId="0" applyFont="1" applyBorder="1" applyAlignment="1">
      <alignment horizontal="left" vertical="center" indent="1"/>
    </xf>
    <xf numFmtId="0" fontId="15" fillId="5" borderId="1" xfId="0" applyFont="1" applyFill="1" applyBorder="1" applyAlignment="1">
      <alignment horizontal="left" vertical="center" wrapText="1" indent="1"/>
    </xf>
    <xf numFmtId="0" fontId="37" fillId="0" borderId="1" xfId="0" applyFont="1" applyBorder="1" applyAlignment="1">
      <alignment horizontal="left" vertical="center" wrapText="1" indent="1"/>
    </xf>
    <xf numFmtId="0" fontId="37" fillId="0" borderId="0" xfId="0" applyFont="1" applyAlignment="1">
      <alignment horizontal="left" vertical="center" wrapText="1" indent="1"/>
    </xf>
    <xf numFmtId="0" fontId="15" fillId="5" borderId="40" xfId="0" applyFont="1" applyFill="1" applyBorder="1" applyAlignment="1">
      <alignment horizontal="left" vertical="center" wrapText="1" indent="1"/>
    </xf>
    <xf numFmtId="0" fontId="9" fillId="0" borderId="13" xfId="0" applyFont="1" applyBorder="1" applyAlignment="1">
      <alignment horizontal="left" vertical="center" indent="1"/>
    </xf>
    <xf numFmtId="0" fontId="9" fillId="0" borderId="1" xfId="0" applyFont="1" applyBorder="1" applyAlignment="1">
      <alignment horizontal="left" vertical="center" wrapText="1" indent="1"/>
    </xf>
    <xf numFmtId="0" fontId="9" fillId="0" borderId="13" xfId="0" applyFont="1" applyBorder="1" applyAlignment="1">
      <alignment horizontal="left" vertical="center" wrapText="1" indent="1"/>
    </xf>
    <xf numFmtId="1" fontId="8" fillId="0" borderId="1" xfId="0" applyNumberFormat="1" applyFont="1" applyBorder="1" applyAlignment="1">
      <alignment horizontal="left" vertical="center" indent="1"/>
    </xf>
    <xf numFmtId="49" fontId="8" fillId="0" borderId="1" xfId="0" applyNumberFormat="1" applyFont="1" applyBorder="1" applyAlignment="1">
      <alignment horizontal="left" vertical="center" indent="1"/>
    </xf>
    <xf numFmtId="0" fontId="15" fillId="5" borderId="15" xfId="0" applyFont="1" applyFill="1" applyBorder="1" applyAlignment="1">
      <alignment horizontal="left" vertical="center" wrapText="1" indent="1"/>
    </xf>
    <xf numFmtId="0" fontId="26" fillId="0" borderId="4" xfId="0" applyFont="1" applyBorder="1" applyAlignment="1">
      <alignment horizontal="left" vertical="center" indent="1"/>
    </xf>
    <xf numFmtId="0" fontId="42" fillId="0" borderId="0" xfId="0" applyFont="1" applyAlignment="1">
      <alignment horizontal="left" vertical="center" indent="1"/>
    </xf>
    <xf numFmtId="0" fontId="8" fillId="6" borderId="1" xfId="0" applyFont="1" applyFill="1" applyBorder="1" applyAlignment="1">
      <alignment horizontal="left" vertical="center" wrapText="1" indent="1"/>
    </xf>
    <xf numFmtId="0" fontId="8" fillId="26" borderId="0" xfId="0" applyFont="1" applyFill="1" applyAlignment="1">
      <alignment horizontal="left" vertical="center" indent="1"/>
    </xf>
    <xf numFmtId="0" fontId="9" fillId="18" borderId="0" xfId="0" applyFont="1" applyFill="1" applyAlignment="1">
      <alignment horizontal="left" vertical="center" indent="1"/>
    </xf>
    <xf numFmtId="0" fontId="8" fillId="18" borderId="1" xfId="0" applyFont="1" applyFill="1" applyBorder="1"/>
    <xf numFmtId="0" fontId="37" fillId="0" borderId="0" xfId="0" applyFont="1" applyAlignment="1">
      <alignment horizontal="left" vertical="center" indent="1"/>
    </xf>
    <xf numFmtId="0" fontId="8" fillId="11" borderId="1" xfId="0" applyFont="1" applyFill="1" applyBorder="1" applyAlignment="1">
      <alignment horizontal="left" vertical="center" indent="1"/>
    </xf>
    <xf numFmtId="0" fontId="11" fillId="28" borderId="1" xfId="14" applyFont="1" applyFill="1">
      <alignment horizontal="left" vertical="center" wrapText="1" indent="1"/>
    </xf>
    <xf numFmtId="0" fontId="44" fillId="29" borderId="1" xfId="9" applyFont="1" applyFill="1" applyBorder="1" applyAlignment="1">
      <alignment horizontal="left" vertical="center" wrapText="1" indent="1"/>
    </xf>
    <xf numFmtId="0" fontId="15" fillId="0" borderId="13" xfId="0" applyFont="1" applyBorder="1" applyAlignment="1">
      <alignment horizontal="left" indent="1"/>
    </xf>
    <xf numFmtId="0" fontId="9" fillId="0" borderId="4" xfId="0" applyFont="1" applyBorder="1" applyAlignment="1">
      <alignment horizontal="left" indent="1"/>
    </xf>
    <xf numFmtId="0" fontId="41" fillId="16" borderId="1" xfId="0" applyFont="1" applyFill="1" applyBorder="1" applyAlignment="1">
      <alignment horizontal="left" vertical="center" indent="1"/>
    </xf>
    <xf numFmtId="49" fontId="8" fillId="18" borderId="0" xfId="0" applyNumberFormat="1" applyFont="1" applyFill="1" applyAlignment="1">
      <alignment horizontal="left" vertical="center" indent="1"/>
    </xf>
    <xf numFmtId="0" fontId="11" fillId="18" borderId="1" xfId="0" applyFont="1" applyFill="1" applyBorder="1" applyAlignment="1">
      <alignment horizontal="left" vertical="center" wrapText="1" indent="1"/>
    </xf>
    <xf numFmtId="0" fontId="12" fillId="18" borderId="1" xfId="0" applyFont="1" applyFill="1" applyBorder="1" applyAlignment="1">
      <alignment horizontal="left" vertical="center" wrapText="1" indent="1"/>
    </xf>
    <xf numFmtId="0" fontId="9" fillId="18" borderId="0" xfId="0" applyFont="1" applyFill="1" applyAlignment="1" applyProtection="1">
      <alignment horizontal="left" vertical="center" indent="1"/>
      <protection locked="0"/>
    </xf>
    <xf numFmtId="0" fontId="9" fillId="18" borderId="0" xfId="0" applyFont="1" applyFill="1"/>
    <xf numFmtId="0" fontId="47" fillId="29" borderId="1" xfId="9" applyFont="1" applyFill="1" applyBorder="1" applyAlignment="1">
      <alignment horizontal="left" vertical="center" indent="1"/>
    </xf>
    <xf numFmtId="0" fontId="48" fillId="29" borderId="0" xfId="9" applyFont="1" applyFill="1" applyAlignment="1">
      <alignment horizontal="left" vertical="center" indent="1"/>
    </xf>
    <xf numFmtId="0" fontId="38" fillId="38" borderId="0" xfId="0" applyFont="1" applyFill="1" applyAlignment="1">
      <alignment horizontal="left" vertical="center" wrapText="1" indent="1"/>
    </xf>
    <xf numFmtId="0" fontId="38" fillId="19" borderId="0" xfId="0" applyFont="1" applyFill="1" applyAlignment="1">
      <alignment horizontal="left" vertical="center" wrapText="1" indent="1"/>
    </xf>
    <xf numFmtId="49" fontId="9" fillId="18" borderId="0" xfId="0" applyNumberFormat="1" applyFont="1" applyFill="1" applyAlignment="1">
      <alignment horizontal="left" vertical="center" indent="1"/>
    </xf>
    <xf numFmtId="0" fontId="9" fillId="18" borderId="0" xfId="0" applyFont="1" applyFill="1" applyAlignment="1">
      <alignment horizontal="left" vertical="center" wrapText="1" indent="1"/>
    </xf>
    <xf numFmtId="0" fontId="25" fillId="18" borderId="0" xfId="11" applyFont="1" applyFill="1"/>
    <xf numFmtId="0" fontId="11" fillId="39" borderId="1" xfId="2" applyFont="1" applyFill="1" applyBorder="1" applyAlignment="1">
      <alignment horizontal="left" vertical="center" wrapText="1" indent="1"/>
    </xf>
    <xf numFmtId="0" fontId="11" fillId="39" borderId="1" xfId="4" applyFont="1" applyFill="1" applyBorder="1" applyAlignment="1">
      <alignment horizontal="left" vertical="center" wrapText="1" indent="1"/>
    </xf>
    <xf numFmtId="0" fontId="11" fillId="0" borderId="1" xfId="11" applyFont="1" applyBorder="1" applyAlignment="1">
      <alignment horizontal="left" vertical="center" indent="1"/>
    </xf>
    <xf numFmtId="0" fontId="8" fillId="40" borderId="1" xfId="11" applyFont="1" applyFill="1" applyBorder="1" applyAlignment="1">
      <alignment horizontal="left" vertical="center" indent="1"/>
    </xf>
    <xf numFmtId="0" fontId="25" fillId="0" borderId="1" xfId="11" applyFont="1" applyBorder="1"/>
    <xf numFmtId="0" fontId="15" fillId="0" borderId="1" xfId="11" applyFont="1" applyBorder="1" applyAlignment="1">
      <alignment horizontal="left" vertical="center" wrapText="1" indent="1"/>
    </xf>
    <xf numFmtId="0" fontId="15" fillId="0" borderId="1" xfId="11" applyFont="1" applyBorder="1" applyAlignment="1">
      <alignment horizontal="left" vertical="center" indent="1"/>
    </xf>
    <xf numFmtId="0" fontId="11" fillId="18" borderId="0" xfId="11" applyFont="1" applyFill="1" applyAlignment="1">
      <alignment horizontal="left" vertical="center" wrapText="1" indent="1"/>
    </xf>
    <xf numFmtId="0" fontId="8" fillId="18" borderId="0" xfId="11" applyFont="1" applyFill="1" applyAlignment="1">
      <alignment horizontal="left" vertical="center" indent="1"/>
    </xf>
    <xf numFmtId="0" fontId="11" fillId="0" borderId="7" xfId="11" applyFont="1" applyBorder="1" applyAlignment="1">
      <alignment horizontal="left" vertical="center" indent="1"/>
    </xf>
    <xf numFmtId="0" fontId="8" fillId="40" borderId="7" xfId="11" applyFont="1" applyFill="1" applyBorder="1" applyAlignment="1">
      <alignment horizontal="left" vertical="center" indent="1"/>
    </xf>
    <xf numFmtId="0" fontId="8" fillId="0" borderId="7" xfId="11" applyFont="1" applyBorder="1" applyAlignment="1">
      <alignment horizontal="left" vertical="center" indent="1"/>
    </xf>
    <xf numFmtId="0" fontId="47" fillId="29" borderId="0" xfId="9" applyFont="1" applyFill="1" applyAlignment="1">
      <alignment horizontal="left" vertical="center" indent="1"/>
    </xf>
    <xf numFmtId="0" fontId="20" fillId="38" borderId="0" xfId="0" applyFont="1" applyFill="1" applyAlignment="1">
      <alignment horizontal="left" vertical="center" wrapText="1" indent="1"/>
    </xf>
    <xf numFmtId="0" fontId="11" fillId="0" borderId="1" xfId="11" applyFont="1" applyBorder="1" applyAlignment="1">
      <alignment horizontal="left" vertical="center" wrapText="1" indent="1"/>
    </xf>
    <xf numFmtId="0" fontId="11" fillId="28" borderId="0" xfId="4" applyFont="1" applyFill="1" applyAlignment="1">
      <alignment horizontal="left" vertical="center" indent="1"/>
    </xf>
    <xf numFmtId="0" fontId="49" fillId="0" borderId="1" xfId="0" applyFont="1" applyBorder="1" applyAlignment="1" applyProtection="1">
      <alignment horizontal="left" vertical="center" indent="1"/>
      <protection locked="0"/>
    </xf>
    <xf numFmtId="0" fontId="8" fillId="27" borderId="1" xfId="0" applyFont="1" applyFill="1" applyBorder="1" applyAlignment="1" applyProtection="1">
      <alignment horizontal="left" vertical="center" indent="1"/>
      <protection locked="0"/>
    </xf>
    <xf numFmtId="49" fontId="8" fillId="0" borderId="1" xfId="0" applyNumberFormat="1" applyFont="1" applyBorder="1" applyAlignment="1">
      <alignment horizontal="left" vertical="center" wrapText="1" indent="1"/>
    </xf>
    <xf numFmtId="0" fontId="29" fillId="0" borderId="0" xfId="0" applyFont="1" applyAlignment="1">
      <alignment horizontal="left" vertical="center" wrapText="1" indent="1"/>
    </xf>
    <xf numFmtId="0" fontId="11" fillId="28" borderId="1" xfId="3" applyFont="1" applyFill="1" applyBorder="1" applyAlignment="1" applyProtection="1">
      <alignment horizontal="left" vertical="center" wrapText="1" indent="1"/>
      <protection locked="0"/>
    </xf>
    <xf numFmtId="0" fontId="37" fillId="31" borderId="1" xfId="0" applyFont="1" applyFill="1" applyBorder="1" applyAlignment="1">
      <alignment horizontal="left" vertical="center" indent="1"/>
    </xf>
    <xf numFmtId="0" fontId="37" fillId="0" borderId="1" xfId="0" applyFont="1" applyBorder="1" applyAlignment="1" applyProtection="1">
      <alignment horizontal="left" vertical="center" indent="1"/>
      <protection locked="0"/>
    </xf>
    <xf numFmtId="0" fontId="10" fillId="29" borderId="0" xfId="5" applyFont="1" applyFill="1" applyAlignment="1">
      <alignment horizontal="left" vertical="center" indent="1"/>
    </xf>
    <xf numFmtId="49" fontId="10" fillId="25" borderId="1" xfId="1" applyNumberFormat="1" applyFont="1" applyFill="1" applyBorder="1" applyAlignment="1">
      <alignment horizontal="left" vertical="center" wrapText="1" indent="1"/>
    </xf>
    <xf numFmtId="0" fontId="51" fillId="42" borderId="1" xfId="0" applyFont="1" applyFill="1" applyBorder="1" applyAlignment="1">
      <alignment horizontal="left" vertical="center" indent="1"/>
    </xf>
    <xf numFmtId="0" fontId="52" fillId="20" borderId="5" xfId="0" applyFont="1" applyFill="1" applyBorder="1" applyAlignment="1">
      <alignment horizontal="left" vertical="center" indent="1"/>
    </xf>
    <xf numFmtId="0" fontId="19" fillId="20" borderId="0" xfId="0" applyFont="1" applyFill="1" applyAlignment="1">
      <alignment horizontal="left" vertical="center" indent="1"/>
    </xf>
    <xf numFmtId="0" fontId="9" fillId="20" borderId="0" xfId="0" applyFont="1" applyFill="1"/>
    <xf numFmtId="0" fontId="10" fillId="24" borderId="1" xfId="0" applyFont="1" applyFill="1" applyBorder="1" applyAlignment="1">
      <alignment horizontal="left" vertical="center" wrapText="1" indent="1"/>
    </xf>
    <xf numFmtId="0" fontId="10" fillId="50" borderId="1" xfId="1" applyFont="1" applyFill="1" applyBorder="1" applyAlignment="1">
      <alignment horizontal="left" vertical="center" wrapText="1" indent="1"/>
    </xf>
    <xf numFmtId="0" fontId="50" fillId="18" borderId="18" xfId="0" applyFont="1" applyFill="1" applyBorder="1" applyAlignment="1">
      <alignment horizontal="left" indent="1"/>
    </xf>
    <xf numFmtId="0" fontId="9" fillId="0" borderId="8" xfId="0" applyFont="1" applyBorder="1" applyAlignment="1">
      <alignment horizontal="left" vertical="center" indent="1"/>
    </xf>
    <xf numFmtId="1" fontId="8" fillId="0" borderId="1" xfId="11" applyNumberFormat="1" applyFont="1" applyBorder="1" applyAlignment="1" applyProtection="1">
      <alignment horizontal="left" vertical="center" indent="1"/>
      <protection locked="0"/>
    </xf>
    <xf numFmtId="0" fontId="19" fillId="38" borderId="8" xfId="0" applyFont="1" applyFill="1" applyBorder="1" applyAlignment="1">
      <alignment horizontal="left" vertical="center" indent="1"/>
    </xf>
    <xf numFmtId="0" fontId="9" fillId="43" borderId="8" xfId="0" applyFont="1" applyFill="1" applyBorder="1" applyAlignment="1">
      <alignment horizontal="left" vertical="center" indent="1"/>
    </xf>
    <xf numFmtId="0" fontId="8" fillId="42" borderId="1" xfId="0" applyFont="1" applyFill="1" applyBorder="1" applyAlignment="1">
      <alignment horizontal="left" vertical="center" indent="1"/>
    </xf>
    <xf numFmtId="0" fontId="8" fillId="19" borderId="1" xfId="0" applyFont="1" applyFill="1" applyBorder="1" applyAlignment="1">
      <alignment horizontal="left" vertical="center" indent="1"/>
    </xf>
    <xf numFmtId="0" fontId="8" fillId="0" borderId="7"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6" borderId="9" xfId="0" applyFont="1" applyFill="1" applyBorder="1" applyAlignment="1">
      <alignment horizontal="left" vertical="center" indent="1"/>
    </xf>
    <xf numFmtId="0" fontId="19" fillId="9" borderId="0" xfId="0" applyFont="1" applyFill="1" applyAlignment="1">
      <alignment horizontal="left" vertical="center" indent="1"/>
    </xf>
    <xf numFmtId="0" fontId="52" fillId="38" borderId="0" xfId="0" applyFont="1" applyFill="1" applyAlignment="1">
      <alignment horizontal="left" vertical="center" indent="1"/>
    </xf>
    <xf numFmtId="0" fontId="15" fillId="0" borderId="13" xfId="0" applyFont="1" applyBorder="1" applyAlignment="1">
      <alignment horizontal="left" vertical="center" wrapText="1" indent="1"/>
    </xf>
    <xf numFmtId="0" fontId="9" fillId="36" borderId="4" xfId="0" applyFont="1" applyFill="1" applyBorder="1" applyAlignment="1">
      <alignment horizontal="left" vertical="center" indent="1"/>
    </xf>
    <xf numFmtId="0" fontId="15" fillId="0" borderId="4" xfId="0" applyFont="1" applyBorder="1" applyAlignment="1">
      <alignment horizontal="left" vertical="center" indent="1"/>
    </xf>
    <xf numFmtId="0" fontId="27" fillId="19" borderId="7" xfId="0" applyFont="1" applyFill="1" applyBorder="1" applyAlignment="1" applyProtection="1">
      <alignment horizontal="left" vertical="center" indent="1"/>
      <protection locked="0"/>
    </xf>
    <xf numFmtId="0" fontId="27" fillId="19" borderId="1" xfId="0" applyFont="1" applyFill="1" applyBorder="1" applyAlignment="1" applyProtection="1">
      <alignment horizontal="left" vertical="center" indent="1"/>
      <protection locked="0"/>
    </xf>
    <xf numFmtId="0" fontId="9" fillId="19" borderId="1" xfId="0" applyFont="1" applyFill="1" applyBorder="1" applyAlignment="1" applyProtection="1">
      <alignment horizontal="left" vertical="center" indent="1"/>
      <protection locked="0"/>
    </xf>
    <xf numFmtId="0" fontId="39" fillId="19" borderId="1" xfId="0" applyFont="1" applyFill="1" applyBorder="1" applyAlignment="1" applyProtection="1">
      <alignment horizontal="left" vertical="center" indent="1"/>
      <protection locked="0"/>
    </xf>
    <xf numFmtId="0" fontId="27" fillId="19" borderId="7" xfId="0" applyFont="1" applyFill="1" applyBorder="1" applyAlignment="1">
      <alignment horizontal="left" vertical="center" indent="1"/>
    </xf>
    <xf numFmtId="0" fontId="27" fillId="19" borderId="1" xfId="0" applyFont="1" applyFill="1" applyBorder="1" applyAlignment="1">
      <alignment horizontal="left" vertical="center" indent="1"/>
    </xf>
    <xf numFmtId="0" fontId="39" fillId="19" borderId="1" xfId="0" applyFont="1" applyFill="1" applyBorder="1" applyAlignment="1">
      <alignment horizontal="left" vertical="center" indent="1"/>
    </xf>
    <xf numFmtId="0" fontId="24" fillId="19" borderId="1" xfId="0" applyFont="1" applyFill="1" applyBorder="1" applyAlignment="1" applyProtection="1">
      <alignment horizontal="left" vertical="center" indent="1"/>
      <protection locked="0"/>
    </xf>
    <xf numFmtId="0" fontId="8" fillId="0" borderId="15" xfId="0" applyFont="1" applyBorder="1" applyAlignment="1">
      <alignment horizontal="center" vertical="center"/>
    </xf>
    <xf numFmtId="0" fontId="8" fillId="0" borderId="15" xfId="0" applyFont="1" applyBorder="1" applyAlignment="1">
      <alignment horizontal="left" vertical="center" wrapText="1" indent="1"/>
    </xf>
    <xf numFmtId="0" fontId="51" fillId="0" borderId="1" xfId="11" applyFont="1" applyBorder="1" applyAlignment="1">
      <alignment horizontal="left" vertical="center" indent="1"/>
    </xf>
    <xf numFmtId="0" fontId="8" fillId="0" borderId="8" xfId="0" applyFont="1" applyBorder="1" applyAlignment="1">
      <alignment horizontal="left" indent="1"/>
    </xf>
    <xf numFmtId="0" fontId="27" fillId="0" borderId="1" xfId="0" applyFont="1" applyBorder="1" applyAlignment="1">
      <alignment horizontal="left" vertical="center" indent="1"/>
    </xf>
    <xf numFmtId="0" fontId="39" fillId="0" borderId="1" xfId="0" applyFont="1" applyBorder="1" applyAlignment="1">
      <alignment horizontal="left" vertical="center" indent="1"/>
    </xf>
    <xf numFmtId="0" fontId="13" fillId="14" borderId="1" xfId="5" applyFont="1" applyFill="1" applyBorder="1" applyAlignment="1">
      <alignment horizontal="left" vertical="center" indent="1"/>
    </xf>
    <xf numFmtId="0" fontId="11" fillId="31" borderId="1" xfId="0" applyFont="1" applyFill="1" applyBorder="1" applyAlignment="1">
      <alignment horizontal="left" vertical="center" indent="1"/>
    </xf>
    <xf numFmtId="0" fontId="11" fillId="40" borderId="1" xfId="0" applyFont="1" applyFill="1" applyBorder="1" applyAlignment="1">
      <alignment horizontal="left" vertical="center" indent="1"/>
    </xf>
    <xf numFmtId="0" fontId="35" fillId="51" borderId="1" xfId="0" applyFont="1" applyFill="1" applyBorder="1" applyAlignment="1" applyProtection="1">
      <alignment horizontal="left" vertical="center" indent="1"/>
      <protection locked="0"/>
    </xf>
    <xf numFmtId="0" fontId="35" fillId="51" borderId="1" xfId="0" applyFont="1" applyFill="1" applyBorder="1" applyAlignment="1">
      <alignment horizontal="left" vertical="center" indent="1"/>
    </xf>
    <xf numFmtId="0" fontId="8" fillId="0" borderId="8" xfId="0" applyFont="1" applyBorder="1" applyAlignment="1">
      <alignment horizontal="left" vertical="center" indent="1"/>
    </xf>
    <xf numFmtId="0" fontId="9" fillId="36" borderId="54" xfId="0" applyFont="1" applyFill="1" applyBorder="1" applyAlignment="1">
      <alignment horizontal="left" vertical="center" indent="1"/>
    </xf>
    <xf numFmtId="0" fontId="9" fillId="52" borderId="1" xfId="0" applyFont="1" applyFill="1" applyBorder="1" applyAlignment="1" applyProtection="1">
      <alignment horizontal="left" vertical="center" indent="1"/>
      <protection locked="0"/>
    </xf>
    <xf numFmtId="0" fontId="9" fillId="36" borderId="55" xfId="0" applyFont="1" applyFill="1" applyBorder="1" applyAlignment="1">
      <alignment horizontal="left" vertical="center" indent="1"/>
    </xf>
    <xf numFmtId="0" fontId="6" fillId="0" borderId="1" xfId="9" applyBorder="1" applyAlignment="1">
      <alignment horizontal="left" vertical="center" indent="1"/>
    </xf>
    <xf numFmtId="0" fontId="4" fillId="0" borderId="1" xfId="0" applyFont="1" applyBorder="1" applyAlignment="1">
      <alignment horizontal="left" indent="1"/>
    </xf>
    <xf numFmtId="0" fontId="9" fillId="0" borderId="1" xfId="0" applyFont="1" applyBorder="1" applyAlignment="1">
      <alignment horizontal="left" indent="1"/>
    </xf>
    <xf numFmtId="0" fontId="4" fillId="0" borderId="0" xfId="0" applyFont="1"/>
    <xf numFmtId="0" fontId="53" fillId="0" borderId="13" xfId="0" applyFont="1" applyBorder="1" applyAlignment="1">
      <alignment horizontal="left" vertical="center" indent="1"/>
    </xf>
    <xf numFmtId="0" fontId="9" fillId="36" borderId="56" xfId="0" applyFont="1" applyFill="1" applyBorder="1" applyAlignment="1">
      <alignment horizontal="left" vertical="center" indent="1"/>
    </xf>
    <xf numFmtId="0" fontId="53" fillId="0" borderId="0" xfId="0" applyFont="1" applyAlignment="1">
      <alignment horizontal="left" vertical="center" indent="1"/>
    </xf>
    <xf numFmtId="0" fontId="8" fillId="29" borderId="0" xfId="0" applyFont="1" applyFill="1"/>
    <xf numFmtId="0" fontId="4" fillId="0" borderId="1" xfId="0" applyFont="1" applyBorder="1" applyAlignment="1">
      <alignment horizontal="left" vertical="center" indent="1"/>
    </xf>
    <xf numFmtId="0" fontId="11" fillId="0" borderId="0" xfId="0" applyFont="1" applyAlignment="1">
      <alignment horizontal="left" indent="1"/>
    </xf>
    <xf numFmtId="0" fontId="11" fillId="0" borderId="1" xfId="0" applyFont="1" applyBorder="1" applyAlignment="1">
      <alignment horizontal="left" vertical="center"/>
    </xf>
    <xf numFmtId="0" fontId="4" fillId="0" borderId="0" xfId="0" applyFont="1" applyAlignment="1">
      <alignment horizontal="left" vertical="center" indent="1"/>
    </xf>
    <xf numFmtId="0" fontId="8" fillId="42" borderId="1" xfId="0" applyFont="1" applyFill="1" applyBorder="1" applyAlignment="1" applyProtection="1">
      <alignment horizontal="left" vertical="center" indent="1"/>
      <protection locked="0"/>
    </xf>
    <xf numFmtId="0" fontId="54" fillId="0" borderId="1" xfId="0" applyFont="1" applyBorder="1" applyAlignment="1">
      <alignment horizontal="left" vertical="center" indent="1"/>
    </xf>
    <xf numFmtId="0" fontId="15" fillId="0" borderId="2" xfId="0" applyFont="1" applyBorder="1" applyAlignment="1">
      <alignment horizontal="left" indent="1"/>
    </xf>
    <xf numFmtId="0" fontId="13" fillId="18" borderId="1" xfId="0" applyFont="1" applyFill="1" applyBorder="1" applyAlignment="1">
      <alignment horizontal="left" vertical="center" indent="1"/>
    </xf>
    <xf numFmtId="0" fontId="0" fillId="0" borderId="0" xfId="0" applyAlignment="1">
      <alignment horizontal="left" vertical="center" indent="1"/>
    </xf>
    <xf numFmtId="0" fontId="6" fillId="0" borderId="0" xfId="9" applyAlignment="1">
      <alignment horizontal="left" indent="1"/>
    </xf>
    <xf numFmtId="0" fontId="51" fillId="25" borderId="1" xfId="0" applyFont="1" applyFill="1" applyBorder="1" applyAlignment="1">
      <alignment horizontal="left" vertical="center" indent="1"/>
    </xf>
    <xf numFmtId="0" fontId="8" fillId="0" borderId="3" xfId="0" applyFont="1" applyBorder="1" applyAlignment="1">
      <alignment horizontal="left" vertical="center" indent="1"/>
    </xf>
    <xf numFmtId="0" fontId="15" fillId="35" borderId="1" xfId="0" applyFont="1" applyFill="1" applyBorder="1" applyAlignment="1">
      <alignment horizontal="left" vertical="center" wrapText="1" indent="1"/>
    </xf>
    <xf numFmtId="0" fontId="15" fillId="35" borderId="8" xfId="0" applyFont="1" applyFill="1" applyBorder="1" applyAlignment="1">
      <alignment horizontal="left" vertical="center" wrapText="1" indent="1"/>
    </xf>
    <xf numFmtId="0" fontId="55" fillId="29" borderId="8" xfId="5" applyFont="1" applyFill="1" applyBorder="1" applyAlignment="1">
      <alignment horizontal="left" vertical="center" indent="1"/>
    </xf>
    <xf numFmtId="0" fontId="8" fillId="28" borderId="1" xfId="1" applyFont="1" applyFill="1" applyBorder="1" applyAlignment="1">
      <alignment horizontal="left" vertical="center" wrapText="1" indent="1"/>
    </xf>
    <xf numFmtId="0" fontId="22" fillId="0" borderId="0" xfId="9" applyFont="1" applyProtection="1">
      <protection locked="0"/>
    </xf>
    <xf numFmtId="0" fontId="10" fillId="25" borderId="7" xfId="5" applyFont="1" applyFill="1" applyBorder="1" applyAlignment="1">
      <alignment horizontal="left" vertical="center" indent="1"/>
    </xf>
    <xf numFmtId="0" fontId="10" fillId="25" borderId="9" xfId="5" applyFont="1" applyFill="1" applyBorder="1" applyAlignment="1">
      <alignment horizontal="left" vertical="center" indent="1"/>
    </xf>
    <xf numFmtId="0" fontId="9" fillId="18" borderId="1" xfId="0" applyFont="1" applyFill="1" applyBorder="1" applyAlignment="1">
      <alignment horizontal="left" vertical="center" indent="1"/>
    </xf>
    <xf numFmtId="0" fontId="9" fillId="18" borderId="13" xfId="0" applyFont="1" applyFill="1" applyBorder="1" applyAlignment="1">
      <alignment horizontal="left" vertical="center" indent="1"/>
    </xf>
    <xf numFmtId="0" fontId="8" fillId="18" borderId="1" xfId="1" applyFont="1" applyFill="1" applyBorder="1" applyAlignment="1">
      <alignment horizontal="left" vertical="center" wrapText="1" indent="1"/>
    </xf>
    <xf numFmtId="0" fontId="13" fillId="0" borderId="7" xfId="0" applyFont="1" applyBorder="1" applyAlignment="1" applyProtection="1">
      <alignment horizontal="left" vertical="center" indent="1"/>
      <protection locked="0"/>
    </xf>
    <xf numFmtId="0" fontId="11" fillId="28" borderId="9" xfId="0" applyFont="1" applyFill="1" applyBorder="1" applyAlignment="1">
      <alignment horizontal="left" vertical="center" indent="1"/>
    </xf>
    <xf numFmtId="0" fontId="11" fillId="28" borderId="8" xfId="0" applyFont="1" applyFill="1" applyBorder="1" applyAlignment="1">
      <alignment horizontal="left" vertical="center" indent="1"/>
    </xf>
    <xf numFmtId="0" fontId="15" fillId="5" borderId="13" xfId="0" applyFont="1" applyFill="1" applyBorder="1" applyAlignment="1">
      <alignment horizontal="left" vertical="center" wrapText="1" indent="1"/>
    </xf>
    <xf numFmtId="0" fontId="8" fillId="0" borderId="1" xfId="9" applyFont="1" applyBorder="1" applyAlignment="1" applyProtection="1">
      <alignment horizontal="left" vertical="center" indent="1"/>
      <protection locked="0"/>
    </xf>
    <xf numFmtId="0" fontId="9" fillId="20" borderId="13" xfId="0" applyFont="1" applyFill="1" applyBorder="1" applyAlignment="1">
      <alignment horizontal="left" vertical="center" indent="1"/>
    </xf>
    <xf numFmtId="0" fontId="9" fillId="20" borderId="1" xfId="0" applyFont="1" applyFill="1" applyBorder="1" applyAlignment="1">
      <alignment horizontal="left" vertical="center" indent="1"/>
    </xf>
    <xf numFmtId="0" fontId="10" fillId="30" borderId="8" xfId="0" applyFont="1" applyFill="1" applyBorder="1" applyAlignment="1">
      <alignment horizontal="left" vertical="center" indent="1"/>
    </xf>
    <xf numFmtId="0" fontId="11" fillId="0" borderId="0" xfId="0" applyFont="1"/>
    <xf numFmtId="0" fontId="56" fillId="0" borderId="0" xfId="0" applyFont="1"/>
    <xf numFmtId="0" fontId="0" fillId="0" borderId="0" xfId="0" applyAlignment="1">
      <alignment horizontal="left"/>
    </xf>
    <xf numFmtId="0" fontId="9" fillId="55" borderId="1" xfId="0" applyFont="1" applyFill="1" applyBorder="1" applyAlignment="1">
      <alignment horizontal="left" vertical="center" indent="1"/>
    </xf>
    <xf numFmtId="0" fontId="10" fillId="25" borderId="7" xfId="5" applyFont="1" applyFill="1" applyBorder="1" applyAlignment="1">
      <alignment horizontal="left" vertical="center" wrapText="1" indent="1"/>
    </xf>
    <xf numFmtId="0" fontId="10" fillId="25" borderId="9" xfId="5" applyFont="1" applyFill="1" applyBorder="1" applyAlignment="1">
      <alignment horizontal="left" vertical="center" wrapText="1" indent="1"/>
    </xf>
    <xf numFmtId="0" fontId="10" fillId="25" borderId="8" xfId="5" applyFont="1" applyFill="1" applyBorder="1" applyAlignment="1">
      <alignment horizontal="left" vertical="center" wrapText="1" indent="1"/>
    </xf>
    <xf numFmtId="0" fontId="10" fillId="25" borderId="1" xfId="5" applyFont="1" applyFill="1" applyBorder="1" applyAlignment="1">
      <alignment horizontal="left" vertical="center" wrapText="1" indent="1"/>
    </xf>
    <xf numFmtId="0" fontId="10" fillId="25" borderId="1" xfId="5" applyFont="1" applyFill="1" applyBorder="1" applyAlignment="1">
      <alignment horizontal="left" vertical="center" indent="1"/>
    </xf>
    <xf numFmtId="0" fontId="19" fillId="24" borderId="7" xfId="0" applyFont="1" applyFill="1" applyBorder="1" applyAlignment="1">
      <alignment horizontal="left" vertical="center" wrapText="1" indent="1"/>
    </xf>
    <xf numFmtId="0" fontId="19" fillId="24" borderId="9" xfId="0" applyFont="1" applyFill="1" applyBorder="1" applyAlignment="1">
      <alignment horizontal="left" vertical="center" wrapText="1" indent="1"/>
    </xf>
    <xf numFmtId="0" fontId="8" fillId="40" borderId="9" xfId="0" applyFont="1" applyFill="1" applyBorder="1" applyAlignment="1">
      <alignment horizontal="left" vertical="center" indent="1"/>
    </xf>
    <xf numFmtId="0" fontId="8" fillId="0" borderId="4" xfId="0" applyFont="1" applyBorder="1" applyAlignment="1">
      <alignment horizontal="left" indent="1"/>
    </xf>
    <xf numFmtId="0" fontId="8" fillId="0" borderId="0" xfId="0" applyFont="1" applyAlignment="1">
      <alignment horizontal="left"/>
    </xf>
    <xf numFmtId="0" fontId="11" fillId="0" borderId="8" xfId="0" applyFont="1" applyBorder="1" applyAlignment="1">
      <alignment horizontal="left" vertical="center" indent="1"/>
    </xf>
    <xf numFmtId="0" fontId="8" fillId="0" borderId="9" xfId="0" applyFont="1" applyBorder="1" applyAlignment="1" applyProtection="1">
      <alignment horizontal="left" vertical="center" indent="1"/>
      <protection locked="0"/>
    </xf>
    <xf numFmtId="0" fontId="13" fillId="25" borderId="9" xfId="0" applyFont="1" applyFill="1" applyBorder="1" applyAlignment="1">
      <alignment horizontal="left" vertical="center" indent="1"/>
    </xf>
    <xf numFmtId="0" fontId="15" fillId="0" borderId="1" xfId="0" applyFont="1" applyBorder="1" applyAlignment="1">
      <alignment horizontal="left" indent="1"/>
    </xf>
    <xf numFmtId="0" fontId="0" fillId="0" borderId="1" xfId="0" applyBorder="1" applyAlignment="1">
      <alignment horizontal="left" vertical="center" indent="1"/>
    </xf>
    <xf numFmtId="0" fontId="17" fillId="0" borderId="1" xfId="0" applyFont="1" applyBorder="1" applyAlignment="1">
      <alignment horizontal="left" vertical="center" wrapText="1" indent="1"/>
    </xf>
    <xf numFmtId="0" fontId="8" fillId="18" borderId="38" xfId="0" applyFont="1" applyFill="1" applyBorder="1" applyAlignment="1">
      <alignment horizontal="left" vertical="center" indent="2"/>
    </xf>
    <xf numFmtId="0" fontId="8" fillId="18" borderId="37" xfId="0" applyFont="1" applyFill="1" applyBorder="1" applyAlignment="1">
      <alignment horizontal="left" vertical="center" indent="2"/>
    </xf>
    <xf numFmtId="0" fontId="8" fillId="18" borderId="35" xfId="0" applyFont="1" applyFill="1" applyBorder="1" applyAlignment="1">
      <alignment horizontal="left" vertical="center" indent="2"/>
    </xf>
    <xf numFmtId="0" fontId="8" fillId="18" borderId="36" xfId="0" applyFont="1" applyFill="1" applyBorder="1" applyAlignment="1">
      <alignment horizontal="left" vertical="center" indent="2"/>
    </xf>
    <xf numFmtId="0" fontId="8" fillId="18" borderId="34" xfId="0" applyFont="1" applyFill="1" applyBorder="1" applyAlignment="1">
      <alignment horizontal="left" vertical="center" indent="2"/>
    </xf>
    <xf numFmtId="0" fontId="6" fillId="0" borderId="1" xfId="9" applyBorder="1" applyAlignment="1" applyProtection="1">
      <alignment horizontal="left" vertical="center" indent="1"/>
      <protection locked="0"/>
    </xf>
    <xf numFmtId="0" fontId="9" fillId="42" borderId="13" xfId="0" applyFont="1" applyFill="1" applyBorder="1" applyAlignment="1">
      <alignment horizontal="left" vertical="center" wrapText="1" indent="1"/>
    </xf>
    <xf numFmtId="0" fontId="51" fillId="44" borderId="1" xfId="0" applyFont="1" applyFill="1" applyBorder="1" applyAlignment="1" applyProtection="1">
      <alignment horizontal="left" vertical="center" indent="1"/>
      <protection locked="0"/>
    </xf>
    <xf numFmtId="0" fontId="61" fillId="0" borderId="0" xfId="0" applyFont="1" applyAlignment="1">
      <alignment horizontal="left" vertical="center" indent="1"/>
    </xf>
    <xf numFmtId="0" fontId="9" fillId="36" borderId="8" xfId="0" applyFont="1" applyFill="1" applyBorder="1" applyAlignment="1">
      <alignment horizontal="left" vertical="center" indent="1"/>
    </xf>
    <xf numFmtId="0" fontId="15" fillId="0" borderId="7" xfId="0" applyFont="1" applyBorder="1" applyAlignment="1">
      <alignment horizontal="left" vertical="center" indent="1"/>
    </xf>
    <xf numFmtId="0" fontId="11" fillId="0" borderId="8" xfId="0" applyFont="1" applyBorder="1" applyAlignment="1">
      <alignment horizontal="left" indent="1"/>
    </xf>
    <xf numFmtId="0" fontId="62" fillId="0" borderId="0" xfId="9" applyFont="1" applyAlignment="1" applyProtection="1">
      <alignment horizontal="left" vertical="center" indent="1"/>
      <protection locked="0"/>
    </xf>
    <xf numFmtId="0" fontId="62" fillId="0" borderId="1" xfId="9" applyFont="1" applyBorder="1" applyAlignment="1" applyProtection="1">
      <alignment horizontal="left" vertical="center" indent="1"/>
      <protection locked="0"/>
    </xf>
    <xf numFmtId="0" fontId="9" fillId="44" borderId="4" xfId="0" applyFont="1" applyFill="1" applyBorder="1" applyAlignment="1" applyProtection="1">
      <alignment horizontal="left" vertical="center" indent="1"/>
      <protection locked="0"/>
    </xf>
    <xf numFmtId="0" fontId="15" fillId="19" borderId="0" xfId="0" applyFont="1" applyFill="1" applyAlignment="1">
      <alignment horizontal="left" vertical="center" wrapText="1" indent="1"/>
    </xf>
    <xf numFmtId="0" fontId="17" fillId="0" borderId="1" xfId="0" applyFont="1" applyBorder="1" applyAlignment="1">
      <alignment horizontal="left" indent="1"/>
    </xf>
    <xf numFmtId="0" fontId="63" fillId="0" borderId="1" xfId="0" applyFont="1" applyBorder="1" applyAlignment="1">
      <alignment horizontal="left" vertical="center" indent="1"/>
    </xf>
    <xf numFmtId="0" fontId="0" fillId="0" borderId="1" xfId="0" applyBorder="1"/>
    <xf numFmtId="0" fontId="63" fillId="0" borderId="0" xfId="0" applyFont="1"/>
    <xf numFmtId="0" fontId="9" fillId="20" borderId="8" xfId="0" applyFont="1" applyFill="1" applyBorder="1" applyAlignment="1">
      <alignment horizontal="left" vertical="center" indent="1"/>
    </xf>
    <xf numFmtId="0" fontId="61" fillId="0" borderId="0" xfId="0" applyFont="1" applyAlignment="1">
      <alignment horizontal="left" vertical="center"/>
    </xf>
    <xf numFmtId="0" fontId="8" fillId="18" borderId="1" xfId="3" applyFont="1" applyFill="1" applyBorder="1" applyAlignment="1" applyProtection="1">
      <alignment horizontal="left" vertical="center" wrapText="1" indent="1"/>
      <protection locked="0"/>
    </xf>
    <xf numFmtId="0" fontId="20" fillId="33" borderId="10" xfId="5" applyFont="1" applyFill="1" applyBorder="1" applyAlignment="1">
      <alignment horizontal="left" vertical="center" indent="1"/>
    </xf>
    <xf numFmtId="0" fontId="20" fillId="33" borderId="12" xfId="5" applyFont="1" applyFill="1" applyBorder="1" applyAlignment="1">
      <alignment horizontal="left" vertical="center" indent="1"/>
    </xf>
    <xf numFmtId="0" fontId="8" fillId="54" borderId="1" xfId="0" applyFont="1" applyFill="1" applyBorder="1" applyAlignment="1" applyProtection="1">
      <alignment horizontal="left" vertical="center" indent="1"/>
      <protection locked="0"/>
    </xf>
    <xf numFmtId="0" fontId="10" fillId="25" borderId="7" xfId="5" applyFont="1" applyFill="1" applyBorder="1" applyAlignment="1">
      <alignment horizontal="left" vertical="center" indent="1"/>
    </xf>
    <xf numFmtId="0" fontId="10" fillId="25" borderId="9" xfId="5" applyFont="1" applyFill="1" applyBorder="1" applyAlignment="1">
      <alignment horizontal="left" vertical="center" indent="1"/>
    </xf>
    <xf numFmtId="0" fontId="10" fillId="25" borderId="8" xfId="5" applyFont="1" applyFill="1" applyBorder="1" applyAlignment="1">
      <alignment horizontal="left" vertical="center" indent="1"/>
    </xf>
    <xf numFmtId="0" fontId="10" fillId="25" borderId="7" xfId="0" applyFont="1" applyFill="1" applyBorder="1" applyAlignment="1">
      <alignment horizontal="left" vertical="center" indent="1"/>
    </xf>
    <xf numFmtId="0" fontId="10" fillId="25" borderId="9" xfId="0" applyFont="1" applyFill="1" applyBorder="1" applyAlignment="1">
      <alignment horizontal="left" vertical="center" indent="1"/>
    </xf>
    <xf numFmtId="0" fontId="10" fillId="25" borderId="8" xfId="0" applyFont="1" applyFill="1" applyBorder="1" applyAlignment="1">
      <alignment horizontal="left" vertical="center" indent="1"/>
    </xf>
    <xf numFmtId="0" fontId="20" fillId="29" borderId="7" xfId="5" applyFont="1" applyFill="1" applyBorder="1" applyAlignment="1">
      <alignment horizontal="left" vertical="center" indent="1"/>
    </xf>
    <xf numFmtId="0" fontId="20" fillId="29" borderId="9" xfId="5" applyFont="1" applyFill="1" applyBorder="1" applyAlignment="1">
      <alignment horizontal="left" vertical="center" indent="1"/>
    </xf>
    <xf numFmtId="0" fontId="20" fillId="29" borderId="8" xfId="5" applyFont="1" applyFill="1" applyBorder="1" applyAlignment="1">
      <alignment horizontal="left" vertical="center" indent="1"/>
    </xf>
    <xf numFmtId="0" fontId="28" fillId="29" borderId="0" xfId="0" applyFont="1" applyFill="1" applyAlignment="1">
      <alignment horizontal="left" vertical="center" indent="1"/>
    </xf>
    <xf numFmtId="0" fontId="10" fillId="8" borderId="0" xfId="0" applyFont="1" applyFill="1" applyAlignment="1">
      <alignment horizontal="left" vertical="center" indent="1"/>
    </xf>
    <xf numFmtId="0" fontId="8" fillId="0" borderId="1" xfId="0" applyFont="1" applyBorder="1" applyAlignment="1">
      <alignment horizontal="left" vertical="center" wrapText="1" indent="1"/>
    </xf>
    <xf numFmtId="0" fontId="8" fillId="0" borderId="1" xfId="0" applyFont="1" applyBorder="1" applyAlignment="1">
      <alignment horizontal="left" vertical="center" indent="1"/>
    </xf>
    <xf numFmtId="0" fontId="10" fillId="25" borderId="1" xfId="1" applyFont="1" applyFill="1" applyBorder="1" applyAlignment="1">
      <alignment horizontal="left" vertical="center" wrapText="1" indent="1"/>
    </xf>
    <xf numFmtId="0" fontId="20" fillId="29" borderId="1" xfId="5" applyFont="1" applyFill="1" applyBorder="1" applyAlignment="1">
      <alignment horizontal="left" vertical="center" indent="1"/>
    </xf>
    <xf numFmtId="0" fontId="8" fillId="0" borderId="1" xfId="0" applyFont="1" applyBorder="1" applyAlignment="1">
      <alignment horizontal="left" vertical="top" wrapText="1" indent="1"/>
    </xf>
    <xf numFmtId="49" fontId="8" fillId="0" borderId="7" xfId="0" applyNumberFormat="1" applyFont="1" applyBorder="1" applyAlignment="1">
      <alignment horizontal="left" vertical="center" wrapText="1" indent="1"/>
    </xf>
    <xf numFmtId="49" fontId="8" fillId="0" borderId="8" xfId="0" applyNumberFormat="1" applyFont="1" applyBorder="1" applyAlignment="1">
      <alignment horizontal="left" vertical="center" wrapText="1" indent="1"/>
    </xf>
    <xf numFmtId="49" fontId="8" fillId="0" borderId="1" xfId="0" applyNumberFormat="1" applyFont="1" applyBorder="1" applyAlignment="1">
      <alignment horizontal="left" vertical="center" wrapText="1" indent="1"/>
    </xf>
    <xf numFmtId="0" fontId="10" fillId="50" borderId="1" xfId="1" applyFont="1" applyFill="1" applyBorder="1" applyAlignment="1">
      <alignment horizontal="left" vertical="center" wrapText="1" indent="1"/>
    </xf>
    <xf numFmtId="0" fontId="8" fillId="0" borderId="1" xfId="0" applyFont="1" applyBorder="1" applyAlignment="1">
      <alignment horizontal="left" vertical="center" wrapText="1"/>
    </xf>
    <xf numFmtId="0" fontId="8" fillId="0" borderId="15" xfId="0" applyFont="1" applyBorder="1" applyAlignment="1">
      <alignment horizontal="left" vertical="center" indent="1"/>
    </xf>
    <xf numFmtId="0" fontId="8" fillId="0" borderId="16" xfId="0" applyFont="1" applyBorder="1" applyAlignment="1">
      <alignment horizontal="left" vertical="center" indent="1"/>
    </xf>
    <xf numFmtId="0" fontId="8" fillId="0" borderId="13" xfId="0" applyFont="1" applyBorder="1" applyAlignment="1">
      <alignment horizontal="left" vertical="center" indent="1"/>
    </xf>
    <xf numFmtId="0" fontId="8" fillId="0" borderId="7"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31" fillId="29" borderId="7" xfId="0" applyFont="1" applyFill="1" applyBorder="1" applyAlignment="1">
      <alignment horizontal="left" vertical="center" indent="1"/>
    </xf>
    <xf numFmtId="0" fontId="31" fillId="29" borderId="9" xfId="0" applyFont="1" applyFill="1" applyBorder="1" applyAlignment="1">
      <alignment horizontal="left" vertical="center" indent="1"/>
    </xf>
    <xf numFmtId="0" fontId="31" fillId="29" borderId="8" xfId="0" applyFont="1" applyFill="1" applyBorder="1" applyAlignment="1">
      <alignment horizontal="left" vertical="center" indent="1"/>
    </xf>
    <xf numFmtId="0" fontId="8" fillId="0" borderId="7" xfId="0" applyFont="1" applyBorder="1" applyAlignment="1">
      <alignment horizontal="left" vertical="center" indent="1"/>
    </xf>
    <xf numFmtId="0" fontId="8" fillId="0" borderId="9" xfId="0" applyFont="1" applyBorder="1" applyAlignment="1">
      <alignment horizontal="left" vertical="center" indent="1"/>
    </xf>
    <xf numFmtId="0" fontId="8" fillId="0" borderId="8" xfId="0" applyFont="1" applyBorder="1" applyAlignment="1">
      <alignment horizontal="left" vertical="center" indent="1"/>
    </xf>
    <xf numFmtId="0" fontId="11" fillId="28" borderId="1" xfId="1" applyFont="1" applyFill="1" applyBorder="1" applyAlignment="1">
      <alignment horizontal="left" vertical="center" wrapText="1" indent="1"/>
    </xf>
    <xf numFmtId="0" fontId="33" fillId="18" borderId="10" xfId="0" applyFont="1" applyFill="1" applyBorder="1" applyAlignment="1">
      <alignment horizontal="center" vertical="center"/>
    </xf>
    <xf numFmtId="0" fontId="33" fillId="18" borderId="12" xfId="0" applyFont="1" applyFill="1" applyBorder="1" applyAlignment="1">
      <alignment horizontal="center" vertical="center"/>
    </xf>
    <xf numFmtId="0" fontId="33" fillId="18" borderId="11" xfId="0" applyFont="1" applyFill="1" applyBorder="1" applyAlignment="1">
      <alignment horizontal="center" vertical="center"/>
    </xf>
    <xf numFmtId="0" fontId="33" fillId="18" borderId="2" xfId="0" applyFont="1" applyFill="1" applyBorder="1" applyAlignment="1">
      <alignment horizontal="center" vertical="center"/>
    </xf>
    <xf numFmtId="0" fontId="33" fillId="18" borderId="3" xfId="0" applyFont="1" applyFill="1" applyBorder="1" applyAlignment="1">
      <alignment horizontal="center" vertical="center"/>
    </xf>
    <xf numFmtId="0" fontId="33" fillId="18" borderId="4" xfId="0" applyFont="1" applyFill="1" applyBorder="1" applyAlignment="1">
      <alignment horizontal="center" vertical="center"/>
    </xf>
    <xf numFmtId="0" fontId="32" fillId="29" borderId="1" xfId="5" applyFont="1" applyFill="1" applyBorder="1" applyAlignment="1">
      <alignment horizontal="left" vertical="center" indent="1"/>
    </xf>
    <xf numFmtId="0" fontId="10" fillId="30" borderId="7" xfId="0" applyFont="1" applyFill="1" applyBorder="1" applyAlignment="1">
      <alignment horizontal="left" vertical="center" indent="1"/>
    </xf>
    <xf numFmtId="0" fontId="10" fillId="30" borderId="9" xfId="0" applyFont="1" applyFill="1" applyBorder="1" applyAlignment="1">
      <alignment horizontal="left" vertical="center" indent="1"/>
    </xf>
    <xf numFmtId="0" fontId="8" fillId="0" borderId="0" xfId="0" applyFont="1" applyAlignment="1">
      <alignment horizontal="left"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18" borderId="7" xfId="0" applyFont="1" applyFill="1" applyBorder="1" applyAlignment="1">
      <alignment horizontal="left" vertical="center" wrapText="1" indent="1"/>
    </xf>
    <xf numFmtId="0" fontId="8" fillId="18" borderId="8" xfId="0" applyFont="1" applyFill="1" applyBorder="1" applyAlignment="1">
      <alignment horizontal="left" vertical="center" wrapText="1" indent="1"/>
    </xf>
    <xf numFmtId="0" fontId="11" fillId="28" borderId="7" xfId="1" applyFont="1" applyFill="1" applyBorder="1" applyAlignment="1">
      <alignment horizontal="left" vertical="center" wrapText="1" indent="1"/>
    </xf>
    <xf numFmtId="0" fontId="11" fillId="28" borderId="8" xfId="1" applyFont="1" applyFill="1" applyBorder="1" applyAlignment="1">
      <alignment horizontal="left" vertical="center" wrapText="1" indent="1"/>
    </xf>
    <xf numFmtId="0" fontId="20" fillId="29" borderId="0" xfId="5" applyFont="1" applyFill="1" applyAlignment="1">
      <alignment horizontal="left" vertical="center" indent="1"/>
    </xf>
    <xf numFmtId="0" fontId="61" fillId="0" borderId="0" xfId="0" applyFont="1" applyAlignment="1">
      <alignment horizontal="left" vertical="center"/>
    </xf>
    <xf numFmtId="0" fontId="11" fillId="28" borderId="9" xfId="1" applyFont="1" applyFill="1" applyBorder="1" applyAlignment="1">
      <alignment horizontal="left" vertical="center" wrapText="1" indent="1"/>
    </xf>
    <xf numFmtId="0" fontId="11" fillId="0" borderId="7" xfId="0" applyFont="1" applyBorder="1" applyAlignment="1">
      <alignment horizontal="left" vertical="center" indent="1"/>
    </xf>
    <xf numFmtId="0" fontId="11" fillId="0" borderId="8" xfId="0" applyFont="1" applyBorder="1" applyAlignment="1">
      <alignment horizontal="left" vertical="center" indent="1"/>
    </xf>
    <xf numFmtId="0" fontId="8" fillId="0" borderId="9" xfId="0" applyFont="1" applyBorder="1" applyAlignment="1">
      <alignment horizontal="left" vertical="center" wrapText="1" indent="1"/>
    </xf>
    <xf numFmtId="0" fontId="20" fillId="29" borderId="3" xfId="5" applyFont="1" applyFill="1" applyBorder="1" applyAlignment="1">
      <alignment horizontal="left" vertical="center" indent="1"/>
    </xf>
    <xf numFmtId="0" fontId="11" fillId="34" borderId="9" xfId="1" applyFont="1" applyFill="1" applyBorder="1" applyAlignment="1">
      <alignment horizontal="left" vertical="center" wrapText="1" indent="1"/>
    </xf>
    <xf numFmtId="0" fontId="11" fillId="34" borderId="8" xfId="1" applyFont="1" applyFill="1" applyBorder="1" applyAlignment="1">
      <alignment horizontal="left" vertical="center" wrapText="1" indent="1"/>
    </xf>
    <xf numFmtId="0" fontId="11" fillId="0" borderId="1" xfId="0" applyFont="1" applyBorder="1" applyAlignment="1">
      <alignment horizontal="left" vertical="center" wrapText="1" indent="1"/>
    </xf>
    <xf numFmtId="0" fontId="9" fillId="0" borderId="1" xfId="0" applyFont="1" applyBorder="1" applyAlignment="1" applyProtection="1">
      <alignment horizontal="left" vertical="center" indent="1"/>
      <protection locked="0"/>
    </xf>
    <xf numFmtId="0" fontId="9" fillId="54" borderId="1" xfId="0" applyFont="1" applyFill="1" applyBorder="1" applyAlignment="1" applyProtection="1">
      <alignment horizontal="left" vertical="center" indent="1"/>
      <protection locked="0"/>
    </xf>
    <xf numFmtId="0" fontId="9" fillId="54" borderId="7" xfId="0" applyFont="1" applyFill="1" applyBorder="1" applyAlignment="1" applyProtection="1">
      <alignment horizontal="left" vertical="center" indent="1"/>
      <protection locked="0"/>
    </xf>
    <xf numFmtId="0" fontId="9" fillId="54" borderId="8" xfId="0" applyFont="1" applyFill="1" applyBorder="1" applyAlignment="1" applyProtection="1">
      <alignment horizontal="left" vertical="center" indent="1"/>
      <protection locked="0"/>
    </xf>
    <xf numFmtId="0" fontId="9" fillId="0" borderId="7" xfId="0" applyFont="1" applyBorder="1" applyAlignment="1">
      <alignment horizontal="left" vertical="center" indent="1"/>
    </xf>
    <xf numFmtId="0" fontId="9" fillId="0" borderId="9" xfId="0" applyFont="1" applyBorder="1" applyAlignment="1">
      <alignment horizontal="left" vertical="center" indent="1"/>
    </xf>
    <xf numFmtId="0" fontId="9" fillId="0" borderId="8" xfId="0" applyFont="1" applyBorder="1" applyAlignment="1">
      <alignment horizontal="left" vertical="center" indent="1"/>
    </xf>
    <xf numFmtId="0" fontId="8" fillId="54" borderId="1" xfId="0" applyFont="1" applyFill="1" applyBorder="1" applyAlignment="1" applyProtection="1">
      <alignment horizontal="left" vertical="center" indent="1"/>
      <protection locked="0"/>
    </xf>
    <xf numFmtId="0" fontId="11" fillId="0" borderId="7" xfId="0" applyFont="1" applyBorder="1" applyAlignment="1">
      <alignment horizontal="left" vertical="center" wrapText="1" indent="1"/>
    </xf>
    <xf numFmtId="0" fontId="11" fillId="0" borderId="8" xfId="0" applyFont="1" applyBorder="1" applyAlignment="1">
      <alignment horizontal="left" vertical="center" wrapText="1" indent="1"/>
    </xf>
    <xf numFmtId="0" fontId="13" fillId="0" borderId="1" xfId="0" applyFont="1" applyBorder="1" applyAlignment="1">
      <alignment horizontal="left" vertical="center" indent="1"/>
    </xf>
    <xf numFmtId="0" fontId="13" fillId="0" borderId="7" xfId="0" applyFont="1" applyBorder="1" applyAlignment="1">
      <alignment horizontal="left" vertical="center" indent="1"/>
    </xf>
    <xf numFmtId="0" fontId="8" fillId="0" borderId="7" xfId="0" applyFont="1" applyBorder="1" applyAlignment="1" applyProtection="1">
      <alignment horizontal="left" vertical="center" indent="1"/>
      <protection locked="0"/>
    </xf>
    <xf numFmtId="0" fontId="8" fillId="0" borderId="8" xfId="0" applyFont="1" applyBorder="1" applyAlignment="1" applyProtection="1">
      <alignment horizontal="left" vertical="center" indent="1"/>
      <protection locked="0"/>
    </xf>
    <xf numFmtId="0" fontId="8" fillId="54" borderId="7" xfId="1" applyFont="1" applyFill="1" applyBorder="1" applyAlignment="1" applyProtection="1">
      <alignment horizontal="left" vertical="center" wrapText="1" indent="1"/>
      <protection locked="0"/>
    </xf>
    <xf numFmtId="0" fontId="8" fillId="54" borderId="8" xfId="1" applyFont="1" applyFill="1" applyBorder="1" applyAlignment="1" applyProtection="1">
      <alignment horizontal="left" vertical="center" wrapText="1" indent="1"/>
      <protection locked="0"/>
    </xf>
    <xf numFmtId="0" fontId="8" fillId="0" borderId="7" xfId="0" applyFont="1" applyBorder="1" applyAlignment="1" applyProtection="1">
      <alignment horizontal="left" vertical="center" wrapText="1" indent="1"/>
      <protection locked="0"/>
    </xf>
    <xf numFmtId="0" fontId="8" fillId="0" borderId="8" xfId="0" applyFont="1" applyBorder="1" applyAlignment="1" applyProtection="1">
      <alignment horizontal="left" vertical="center" wrapText="1" indent="1"/>
      <protection locked="0"/>
    </xf>
    <xf numFmtId="0" fontId="20" fillId="29" borderId="2" xfId="5" applyFont="1" applyFill="1" applyBorder="1" applyAlignment="1">
      <alignment horizontal="left" vertical="center" indent="1"/>
    </xf>
    <xf numFmtId="0" fontId="28" fillId="29" borderId="0" xfId="0" applyFont="1" applyFill="1" applyAlignment="1">
      <alignment vertical="center"/>
    </xf>
    <xf numFmtId="0" fontId="11" fillId="34" borderId="7" xfId="1" applyFont="1" applyFill="1" applyBorder="1" applyAlignment="1">
      <alignment horizontal="left" vertical="center" wrapText="1" indent="1"/>
    </xf>
    <xf numFmtId="0" fontId="11" fillId="34" borderId="1" xfId="1" applyFont="1" applyFill="1" applyBorder="1" applyAlignment="1">
      <alignment horizontal="left" vertical="center" wrapText="1" indent="1"/>
    </xf>
    <xf numFmtId="0" fontId="8" fillId="0" borderId="7" xfId="11" applyFont="1" applyBorder="1" applyAlignment="1" applyProtection="1">
      <alignment horizontal="left" vertical="center" indent="1"/>
      <protection locked="0"/>
    </xf>
    <xf numFmtId="0" fontId="8" fillId="0" borderId="9" xfId="11" applyFont="1" applyBorder="1" applyAlignment="1" applyProtection="1">
      <alignment horizontal="left" vertical="center" indent="1"/>
      <protection locked="0"/>
    </xf>
    <xf numFmtId="0" fontId="8" fillId="0" borderId="8" xfId="11" applyFont="1" applyBorder="1" applyAlignment="1" applyProtection="1">
      <alignment horizontal="left" vertical="center" indent="1"/>
      <protection locked="0"/>
    </xf>
    <xf numFmtId="0" fontId="8" fillId="0" borderId="7" xfId="11" applyFont="1" applyBorder="1" applyAlignment="1">
      <alignment horizontal="left" vertical="center" wrapText="1" indent="1"/>
    </xf>
    <xf numFmtId="0" fontId="8" fillId="0" borderId="9" xfId="11" applyFont="1" applyBorder="1" applyAlignment="1">
      <alignment horizontal="left" vertical="center" wrapText="1" indent="1"/>
    </xf>
    <xf numFmtId="0" fontId="8" fillId="0" borderId="8" xfId="11" applyFont="1" applyBorder="1" applyAlignment="1">
      <alignment horizontal="left" vertical="center" wrapText="1" indent="1"/>
    </xf>
    <xf numFmtId="0" fontId="22" fillId="0" borderId="1" xfId="9" applyFont="1" applyBorder="1" applyAlignment="1">
      <alignment horizontal="left" vertical="center" indent="1"/>
    </xf>
    <xf numFmtId="0" fontId="10" fillId="10" borderId="7" xfId="5" applyFont="1" applyFill="1" applyBorder="1" applyAlignment="1">
      <alignment horizontal="left" vertical="center" indent="1"/>
    </xf>
    <xf numFmtId="0" fontId="10" fillId="10" borderId="9" xfId="5" applyFont="1" applyFill="1" applyBorder="1" applyAlignment="1">
      <alignment horizontal="left" vertical="center" indent="1"/>
    </xf>
    <xf numFmtId="0" fontId="10" fillId="10" borderId="8" xfId="5" applyFont="1" applyFill="1" applyBorder="1" applyAlignment="1">
      <alignment horizontal="left" vertical="center" indent="1"/>
    </xf>
    <xf numFmtId="0" fontId="20" fillId="29" borderId="4" xfId="5" applyFont="1" applyFill="1" applyBorder="1" applyAlignment="1">
      <alignment horizontal="left" vertical="center" indent="1"/>
    </xf>
    <xf numFmtId="0" fontId="20" fillId="4" borderId="1" xfId="5" applyFont="1" applyBorder="1" applyAlignment="1">
      <alignment horizontal="left" vertical="center" indent="1"/>
    </xf>
    <xf numFmtId="0" fontId="28" fillId="7" borderId="0" xfId="0" applyFont="1" applyFill="1" applyAlignment="1">
      <alignment horizontal="left" vertical="center" indent="1"/>
    </xf>
    <xf numFmtId="0" fontId="20" fillId="4" borderId="7" xfId="5" applyFont="1" applyBorder="1" applyAlignment="1">
      <alignment horizontal="left" vertical="center" indent="1"/>
    </xf>
    <xf numFmtId="0" fontId="20" fillId="4" borderId="8" xfId="5" applyFont="1" applyBorder="1" applyAlignment="1">
      <alignment horizontal="left" vertical="center" indent="1"/>
    </xf>
    <xf numFmtId="0" fontId="38" fillId="38" borderId="7" xfId="0" applyFont="1" applyFill="1" applyBorder="1" applyAlignment="1">
      <alignment horizontal="left" vertical="center" indent="1"/>
    </xf>
    <xf numFmtId="0" fontId="38" fillId="38" borderId="9" xfId="0" applyFont="1" applyFill="1" applyBorder="1" applyAlignment="1">
      <alignment horizontal="left" vertical="center" indent="1"/>
    </xf>
    <xf numFmtId="0" fontId="38" fillId="38" borderId="8" xfId="0" applyFont="1" applyFill="1" applyBorder="1" applyAlignment="1">
      <alignment horizontal="left" vertical="center" indent="1"/>
    </xf>
    <xf numFmtId="49" fontId="23" fillId="0" borderId="15" xfId="0" applyNumberFormat="1" applyFont="1" applyBorder="1" applyAlignment="1">
      <alignment horizontal="left" vertical="top" wrapText="1"/>
    </xf>
    <xf numFmtId="49" fontId="23" fillId="0" borderId="16" xfId="0" applyNumberFormat="1" applyFont="1" applyBorder="1" applyAlignment="1">
      <alignment horizontal="left" vertical="top" wrapText="1"/>
    </xf>
    <xf numFmtId="49" fontId="23" fillId="0" borderId="13" xfId="0" applyNumberFormat="1" applyFont="1" applyBorder="1" applyAlignment="1">
      <alignment horizontal="left" vertical="top" wrapText="1"/>
    </xf>
    <xf numFmtId="0" fontId="23" fillId="0" borderId="10" xfId="0" applyFont="1" applyBorder="1" applyAlignment="1">
      <alignment horizontal="left" vertical="top" wrapText="1"/>
    </xf>
    <xf numFmtId="0" fontId="23" fillId="0" borderId="12" xfId="0" applyFont="1" applyBorder="1" applyAlignment="1">
      <alignment horizontal="left" vertical="top" wrapText="1"/>
    </xf>
    <xf numFmtId="0" fontId="23" fillId="0" borderId="11" xfId="0" applyFont="1" applyBorder="1" applyAlignment="1">
      <alignment horizontal="left" vertical="top" wrapText="1"/>
    </xf>
    <xf numFmtId="0" fontId="23" fillId="0" borderId="5" xfId="0" applyFont="1" applyBorder="1" applyAlignment="1">
      <alignment horizontal="left" vertical="top" wrapText="1"/>
    </xf>
    <xf numFmtId="0" fontId="23" fillId="0" borderId="0" xfId="0" applyFont="1" applyAlignment="1">
      <alignment horizontal="left" vertical="top" wrapText="1"/>
    </xf>
    <xf numFmtId="0" fontId="23" fillId="0" borderId="6" xfId="0" applyFont="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15" fillId="5" borderId="9" xfId="0" applyFont="1" applyFill="1" applyBorder="1" applyAlignment="1">
      <alignment horizontal="left" vertical="center" wrapText="1" indent="1"/>
    </xf>
    <xf numFmtId="0" fontId="9" fillId="0" borderId="14" xfId="0" applyFont="1" applyBorder="1" applyAlignment="1">
      <alignment horizontal="left" vertical="center" indent="1"/>
    </xf>
    <xf numFmtId="0" fontId="15" fillId="19" borderId="3" xfId="0" applyFont="1" applyFill="1" applyBorder="1" applyAlignment="1">
      <alignment horizontal="left" vertical="center" wrapText="1" indent="1"/>
    </xf>
    <xf numFmtId="0" fontId="15" fillId="5" borderId="1" xfId="0" applyFont="1" applyFill="1" applyBorder="1" applyAlignment="1">
      <alignment horizontal="left" vertical="center" wrapText="1" indent="1"/>
    </xf>
    <xf numFmtId="0" fontId="14" fillId="29" borderId="0" xfId="0" applyFont="1" applyFill="1" applyAlignment="1">
      <alignment horizontal="left" vertical="center" indent="1"/>
    </xf>
    <xf numFmtId="0" fontId="14" fillId="29" borderId="6" xfId="0" applyFont="1" applyFill="1" applyBorder="1" applyAlignment="1">
      <alignment horizontal="left" vertical="center" indent="1"/>
    </xf>
    <xf numFmtId="0" fontId="10" fillId="47" borderId="0" xfId="0" applyFont="1" applyFill="1" applyAlignment="1">
      <alignment horizontal="left" vertical="center" indent="1"/>
    </xf>
    <xf numFmtId="0" fontId="10" fillId="47" borderId="6" xfId="0" applyFont="1" applyFill="1" applyBorder="1" applyAlignment="1">
      <alignment horizontal="left" vertical="center" indent="1"/>
    </xf>
    <xf numFmtId="0" fontId="10" fillId="25" borderId="7" xfId="0" applyFont="1" applyFill="1" applyBorder="1" applyAlignment="1">
      <alignment horizontal="left" vertical="center" wrapText="1" indent="1"/>
    </xf>
    <xf numFmtId="0" fontId="10" fillId="25" borderId="9" xfId="0" applyFont="1" applyFill="1" applyBorder="1" applyAlignment="1">
      <alignment horizontal="left" vertical="center" wrapText="1" indent="1"/>
    </xf>
    <xf numFmtId="0" fontId="10" fillId="25" borderId="8" xfId="0" applyFont="1" applyFill="1" applyBorder="1" applyAlignment="1">
      <alignment horizontal="left" vertical="center" wrapText="1" indent="1"/>
    </xf>
    <xf numFmtId="0" fontId="21" fillId="25" borderId="7" xfId="0" applyFont="1" applyFill="1" applyBorder="1" applyAlignment="1">
      <alignment horizontal="left" vertical="center" indent="1"/>
    </xf>
    <xf numFmtId="0" fontId="21" fillId="25" borderId="9" xfId="0" applyFont="1" applyFill="1" applyBorder="1" applyAlignment="1">
      <alignment horizontal="left" vertical="center" indent="1"/>
    </xf>
    <xf numFmtId="0" fontId="21" fillId="25" borderId="8" xfId="0" applyFont="1" applyFill="1" applyBorder="1" applyAlignment="1">
      <alignment horizontal="left" vertical="center" indent="1"/>
    </xf>
    <xf numFmtId="0" fontId="19" fillId="24" borderId="7" xfId="0" applyFont="1" applyFill="1" applyBorder="1" applyAlignment="1">
      <alignment horizontal="left" vertical="center" indent="1"/>
    </xf>
    <xf numFmtId="0" fontId="19" fillId="24" borderId="9" xfId="0" applyFont="1" applyFill="1" applyBorder="1" applyAlignment="1">
      <alignment horizontal="left" vertical="center" indent="1"/>
    </xf>
    <xf numFmtId="0" fontId="19" fillId="24" borderId="14" xfId="0" applyFont="1" applyFill="1" applyBorder="1" applyAlignment="1">
      <alignment horizontal="left" vertical="center" indent="1"/>
    </xf>
    <xf numFmtId="0" fontId="60" fillId="56" borderId="7" xfId="5" applyFont="1" applyFill="1" applyBorder="1" applyAlignment="1">
      <alignment horizontal="left" vertical="center" indent="1"/>
    </xf>
    <xf numFmtId="0" fontId="60" fillId="56" borderId="9" xfId="5" applyFont="1" applyFill="1" applyBorder="1" applyAlignment="1">
      <alignment horizontal="left" vertical="center" indent="1"/>
    </xf>
    <xf numFmtId="0" fontId="60" fillId="56" borderId="8" xfId="5" applyFont="1" applyFill="1" applyBorder="1" applyAlignment="1">
      <alignment horizontal="left" vertical="center" indent="1"/>
    </xf>
    <xf numFmtId="0" fontId="10" fillId="24" borderId="7" xfId="0" applyFont="1" applyFill="1" applyBorder="1" applyAlignment="1">
      <alignment horizontal="left" vertical="center" wrapText="1" indent="1"/>
    </xf>
    <xf numFmtId="0" fontId="10" fillId="24" borderId="9" xfId="0" applyFont="1" applyFill="1" applyBorder="1" applyAlignment="1">
      <alignment horizontal="left" vertical="center" wrapText="1" indent="1"/>
    </xf>
    <xf numFmtId="0" fontId="10" fillId="24" borderId="8" xfId="0" applyFont="1" applyFill="1" applyBorder="1" applyAlignment="1">
      <alignment horizontal="left" vertical="center" wrapText="1" indent="1"/>
    </xf>
    <xf numFmtId="0" fontId="10" fillId="25" borderId="3" xfId="5" applyFont="1" applyFill="1" applyBorder="1" applyAlignment="1">
      <alignment horizontal="left" vertical="center" indent="1"/>
    </xf>
    <xf numFmtId="0" fontId="10" fillId="29" borderId="7" xfId="5" applyFont="1" applyFill="1" applyBorder="1" applyAlignment="1">
      <alignment horizontal="left" vertical="center" wrapText="1" indent="1"/>
    </xf>
    <xf numFmtId="0" fontId="10" fillId="29" borderId="9" xfId="5" applyFont="1" applyFill="1" applyBorder="1" applyAlignment="1">
      <alignment horizontal="left" vertical="center" wrapText="1" indent="1"/>
    </xf>
    <xf numFmtId="0" fontId="10" fillId="29" borderId="8" xfId="5" applyFont="1" applyFill="1" applyBorder="1" applyAlignment="1">
      <alignment horizontal="left" vertical="center" wrapText="1" indent="1"/>
    </xf>
    <xf numFmtId="0" fontId="10" fillId="25" borderId="7" xfId="5" applyFont="1" applyFill="1" applyBorder="1" applyAlignment="1">
      <alignment horizontal="left" vertical="center" wrapText="1" indent="1"/>
    </xf>
    <xf numFmtId="0" fontId="10" fillId="25" borderId="9" xfId="5" applyFont="1" applyFill="1" applyBorder="1" applyAlignment="1">
      <alignment horizontal="left" vertical="center" wrapText="1" indent="1"/>
    </xf>
    <xf numFmtId="0" fontId="10" fillId="25" borderId="8" xfId="5" applyFont="1" applyFill="1" applyBorder="1" applyAlignment="1">
      <alignment horizontal="left" vertical="center" wrapText="1" indent="1"/>
    </xf>
    <xf numFmtId="0" fontId="10" fillId="29" borderId="7" xfId="5" applyFont="1" applyFill="1" applyBorder="1" applyAlignment="1" applyProtection="1">
      <alignment horizontal="left" vertical="center" indent="1"/>
      <protection locked="0"/>
    </xf>
    <xf numFmtId="0" fontId="10" fillId="29" borderId="9" xfId="5" applyFont="1" applyFill="1" applyBorder="1" applyAlignment="1" applyProtection="1">
      <alignment horizontal="left" vertical="center" indent="1"/>
      <protection locked="0"/>
    </xf>
    <xf numFmtId="0" fontId="10" fillId="29" borderId="8" xfId="5" applyFont="1" applyFill="1" applyBorder="1" applyAlignment="1" applyProtection="1">
      <alignment horizontal="left" vertical="center" indent="1"/>
      <protection locked="0"/>
    </xf>
    <xf numFmtId="0" fontId="10" fillId="29" borderId="7" xfId="5" applyFont="1" applyFill="1" applyBorder="1" applyAlignment="1">
      <alignment horizontal="left" vertical="center" indent="1"/>
    </xf>
    <xf numFmtId="0" fontId="10" fillId="29" borderId="9" xfId="5" applyFont="1" applyFill="1" applyBorder="1" applyAlignment="1">
      <alignment horizontal="left" vertical="center" indent="1"/>
    </xf>
    <xf numFmtId="0" fontId="10" fillId="29" borderId="8" xfId="5" applyFont="1" applyFill="1" applyBorder="1" applyAlignment="1">
      <alignment horizontal="left" vertical="center" indent="1"/>
    </xf>
    <xf numFmtId="0" fontId="11" fillId="0" borderId="9" xfId="0" applyFont="1" applyBorder="1" applyAlignment="1">
      <alignment horizontal="left" vertical="center" indent="1"/>
    </xf>
    <xf numFmtId="0" fontId="10" fillId="29" borderId="43" xfId="5" applyFont="1" applyFill="1" applyBorder="1" applyAlignment="1" applyProtection="1">
      <alignment horizontal="left" vertical="center" wrapText="1" indent="1"/>
      <protection locked="0"/>
    </xf>
    <xf numFmtId="0" fontId="10" fillId="29" borderId="44" xfId="5" applyFont="1" applyFill="1" applyBorder="1" applyAlignment="1" applyProtection="1">
      <alignment horizontal="left" vertical="center" wrapText="1" indent="1"/>
      <protection locked="0"/>
    </xf>
    <xf numFmtId="0" fontId="10" fillId="29" borderId="42" xfId="5" applyFont="1" applyFill="1" applyBorder="1" applyAlignment="1" applyProtection="1">
      <alignment horizontal="left" vertical="center" wrapText="1" indent="1"/>
      <protection locked="0"/>
    </xf>
    <xf numFmtId="0" fontId="10" fillId="25" borderId="7" xfId="5" applyFont="1" applyFill="1" applyBorder="1" applyAlignment="1" applyProtection="1">
      <alignment horizontal="left" vertical="center" indent="1"/>
      <protection locked="0"/>
    </xf>
    <xf numFmtId="0" fontId="10" fillId="25" borderId="9" xfId="5" applyFont="1" applyFill="1" applyBorder="1" applyAlignment="1" applyProtection="1">
      <alignment horizontal="left" vertical="center" indent="1"/>
      <protection locked="0"/>
    </xf>
    <xf numFmtId="0" fontId="10" fillId="25" borderId="8" xfId="5" applyFont="1" applyFill="1" applyBorder="1" applyAlignment="1" applyProtection="1">
      <alignment horizontal="left" vertical="center" indent="1"/>
      <protection locked="0"/>
    </xf>
    <xf numFmtId="0" fontId="10" fillId="25" borderId="7" xfId="1" applyFont="1" applyFill="1" applyBorder="1" applyAlignment="1">
      <alignment horizontal="left" vertical="center" wrapText="1" indent="1"/>
    </xf>
    <xf numFmtId="0" fontId="10" fillId="25" borderId="9" xfId="1" applyFont="1" applyFill="1" applyBorder="1" applyAlignment="1">
      <alignment horizontal="left" vertical="center" wrapText="1" indent="1"/>
    </xf>
    <xf numFmtId="0" fontId="10" fillId="25" borderId="8" xfId="1" applyFont="1" applyFill="1" applyBorder="1" applyAlignment="1">
      <alignment horizontal="left" vertical="center" wrapText="1" indent="1"/>
    </xf>
    <xf numFmtId="0" fontId="14" fillId="29" borderId="1" xfId="0" applyFont="1" applyFill="1" applyBorder="1" applyAlignment="1">
      <alignment horizontal="left" vertical="center" indent="1"/>
    </xf>
    <xf numFmtId="0" fontId="10" fillId="25" borderId="1" xfId="0" applyFont="1" applyFill="1" applyBorder="1" applyAlignment="1">
      <alignment horizontal="left" vertical="center" indent="1"/>
    </xf>
    <xf numFmtId="0" fontId="10" fillId="29" borderId="1" xfId="5" applyFont="1" applyFill="1" applyBorder="1" applyAlignment="1" applyProtection="1">
      <alignment horizontal="left" vertical="center" wrapText="1" indent="1"/>
      <protection locked="0"/>
    </xf>
    <xf numFmtId="0" fontId="10" fillId="29" borderId="1" xfId="5" applyFont="1" applyFill="1" applyBorder="1" applyAlignment="1" applyProtection="1">
      <alignment horizontal="left" vertical="center" indent="1"/>
      <protection locked="0"/>
    </xf>
    <xf numFmtId="0" fontId="10" fillId="29" borderId="7" xfId="5" applyFont="1" applyFill="1" applyBorder="1" applyAlignment="1" applyProtection="1">
      <alignment horizontal="left" vertical="center" wrapText="1" indent="1"/>
      <protection locked="0"/>
    </xf>
    <xf numFmtId="0" fontId="10" fillId="29" borderId="9" xfId="5" applyFont="1" applyFill="1" applyBorder="1" applyAlignment="1" applyProtection="1">
      <alignment horizontal="left" vertical="center" wrapText="1" indent="1"/>
      <protection locked="0"/>
    </xf>
    <xf numFmtId="0" fontId="10" fillId="29" borderId="8" xfId="5" applyFont="1" applyFill="1" applyBorder="1" applyAlignment="1" applyProtection="1">
      <alignment horizontal="left" vertical="center" wrapText="1" indent="1"/>
      <protection locked="0"/>
    </xf>
    <xf numFmtId="0" fontId="10" fillId="25" borderId="51" xfId="5" applyFont="1" applyFill="1" applyBorder="1" applyAlignment="1">
      <alignment horizontal="left" vertical="center" indent="1"/>
    </xf>
    <xf numFmtId="0" fontId="10" fillId="25" borderId="52" xfId="5" applyFont="1" applyFill="1" applyBorder="1" applyAlignment="1">
      <alignment horizontal="left" vertical="center" indent="1"/>
    </xf>
    <xf numFmtId="0" fontId="10" fillId="25" borderId="53" xfId="5" applyFont="1" applyFill="1" applyBorder="1" applyAlignment="1">
      <alignment horizontal="left" vertical="center" indent="1"/>
    </xf>
    <xf numFmtId="0" fontId="54" fillId="56" borderId="7" xfId="5" applyFont="1" applyFill="1" applyBorder="1" applyAlignment="1">
      <alignment horizontal="left" vertical="center" indent="1"/>
    </xf>
    <xf numFmtId="0" fontId="54" fillId="56" borderId="9" xfId="5" applyFont="1" applyFill="1" applyBorder="1" applyAlignment="1">
      <alignment horizontal="left" vertical="center" indent="1"/>
    </xf>
    <xf numFmtId="0" fontId="54" fillId="56" borderId="8" xfId="5" applyFont="1" applyFill="1" applyBorder="1" applyAlignment="1">
      <alignment horizontal="left" vertical="center" indent="1"/>
    </xf>
    <xf numFmtId="0" fontId="10" fillId="29" borderId="47" xfId="5" applyFont="1" applyFill="1" applyBorder="1" applyAlignment="1">
      <alignment horizontal="left" vertical="center" wrapText="1" indent="1"/>
    </xf>
    <xf numFmtId="0" fontId="10" fillId="29" borderId="48" xfId="5" applyFont="1" applyFill="1" applyBorder="1" applyAlignment="1">
      <alignment horizontal="left" vertical="center" wrapText="1" indent="1"/>
    </xf>
    <xf numFmtId="0" fontId="10" fillId="29" borderId="49" xfId="5" applyFont="1" applyFill="1" applyBorder="1" applyAlignment="1">
      <alignment horizontal="left" vertical="center" wrapText="1" indent="1"/>
    </xf>
    <xf numFmtId="0" fontId="10" fillId="29" borderId="43" xfId="5" applyFont="1" applyFill="1" applyBorder="1" applyAlignment="1">
      <alignment horizontal="left" vertical="center" wrapText="1" indent="1"/>
    </xf>
    <xf numFmtId="0" fontId="10" fillId="29" borderId="44" xfId="5" applyFont="1" applyFill="1" applyBorder="1" applyAlignment="1">
      <alignment horizontal="left" vertical="center" wrapText="1" indent="1"/>
    </xf>
    <xf numFmtId="0" fontId="10" fillId="29" borderId="42" xfId="5" applyFont="1" applyFill="1" applyBorder="1" applyAlignment="1">
      <alignment horizontal="left" vertical="center" wrapText="1" indent="1"/>
    </xf>
    <xf numFmtId="0" fontId="10" fillId="25" borderId="1" xfId="5" applyFont="1" applyFill="1" applyBorder="1" applyAlignment="1">
      <alignment horizontal="left" vertical="center" indent="1"/>
    </xf>
    <xf numFmtId="0" fontId="14" fillId="29" borderId="7" xfId="0" applyFont="1" applyFill="1" applyBorder="1" applyAlignment="1">
      <alignment horizontal="left" vertical="center" indent="1"/>
    </xf>
    <xf numFmtId="0" fontId="14" fillId="29" borderId="9" xfId="0" applyFont="1" applyFill="1" applyBorder="1" applyAlignment="1">
      <alignment horizontal="left" vertical="center" indent="1"/>
    </xf>
    <xf numFmtId="0" fontId="14" fillId="29" borderId="8" xfId="0" applyFont="1" applyFill="1" applyBorder="1" applyAlignment="1">
      <alignment horizontal="left" vertical="center" indent="1"/>
    </xf>
    <xf numFmtId="0" fontId="10" fillId="8" borderId="7" xfId="0" applyFont="1" applyFill="1" applyBorder="1" applyAlignment="1">
      <alignment horizontal="left" vertical="center" indent="1"/>
    </xf>
    <xf numFmtId="0" fontId="10" fillId="8" borderId="9" xfId="0" applyFont="1" applyFill="1" applyBorder="1" applyAlignment="1">
      <alignment horizontal="left" vertical="center" indent="1"/>
    </xf>
    <xf numFmtId="0" fontId="10" fillId="8" borderId="8" xfId="0" applyFont="1" applyFill="1" applyBorder="1" applyAlignment="1">
      <alignment horizontal="left" vertical="center" indent="1"/>
    </xf>
    <xf numFmtId="0" fontId="10" fillId="29" borderId="1" xfId="5" applyFont="1" applyFill="1" applyBorder="1" applyAlignment="1">
      <alignment horizontal="left" vertical="center" wrapText="1" indent="1"/>
    </xf>
    <xf numFmtId="0" fontId="10" fillId="29" borderId="1" xfId="5" applyFont="1" applyFill="1" applyBorder="1" applyAlignment="1">
      <alignment horizontal="left" vertical="center" indent="1"/>
    </xf>
    <xf numFmtId="0" fontId="20" fillId="29" borderId="7" xfId="5" applyFont="1" applyFill="1" applyBorder="1" applyAlignment="1">
      <alignment horizontal="left" vertical="center" wrapText="1" indent="1"/>
    </xf>
    <xf numFmtId="0" fontId="20" fillId="29" borderId="9" xfId="5" applyFont="1" applyFill="1" applyBorder="1" applyAlignment="1">
      <alignment horizontal="left" vertical="center" wrapText="1" indent="1"/>
    </xf>
    <xf numFmtId="0" fontId="20" fillId="29" borderId="8" xfId="5" applyFont="1" applyFill="1" applyBorder="1" applyAlignment="1">
      <alignment horizontal="left" vertical="center" wrapText="1" indent="1"/>
    </xf>
    <xf numFmtId="0" fontId="10" fillId="25" borderId="1" xfId="5" applyFont="1" applyFill="1" applyBorder="1" applyAlignment="1">
      <alignment horizontal="left" vertical="center" wrapText="1" indent="1"/>
    </xf>
    <xf numFmtId="0" fontId="19" fillId="24" borderId="7" xfId="0" applyFont="1" applyFill="1" applyBorder="1" applyAlignment="1">
      <alignment horizontal="left" vertical="center" wrapText="1" indent="1"/>
    </xf>
    <xf numFmtId="0" fontId="19" fillId="24" borderId="9" xfId="0" applyFont="1" applyFill="1" applyBorder="1" applyAlignment="1">
      <alignment horizontal="left" vertical="center" wrapText="1" indent="1"/>
    </xf>
    <xf numFmtId="0" fontId="19" fillId="24" borderId="14" xfId="0" applyFont="1" applyFill="1" applyBorder="1" applyAlignment="1">
      <alignment horizontal="left" vertical="center" wrapText="1" indent="1"/>
    </xf>
    <xf numFmtId="0" fontId="19" fillId="38" borderId="7" xfId="0" applyFont="1" applyFill="1" applyBorder="1" applyAlignment="1">
      <alignment horizontal="left" vertical="center" indent="1"/>
    </xf>
    <xf numFmtId="0" fontId="19" fillId="38" borderId="9" xfId="0" applyFont="1" applyFill="1" applyBorder="1" applyAlignment="1">
      <alignment horizontal="left" vertical="center" indent="1"/>
    </xf>
    <xf numFmtId="0" fontId="19" fillId="38" borderId="14" xfId="0" applyFont="1" applyFill="1" applyBorder="1" applyAlignment="1">
      <alignment horizontal="left" vertical="center" indent="1"/>
    </xf>
    <xf numFmtId="0" fontId="15" fillId="0" borderId="9" xfId="0" applyFont="1" applyBorder="1" applyAlignment="1">
      <alignment horizontal="left" vertical="center" indent="1"/>
    </xf>
    <xf numFmtId="0" fontId="19" fillId="38" borderId="43" xfId="0" applyFont="1" applyFill="1" applyBorder="1" applyAlignment="1">
      <alignment horizontal="left" vertical="center" wrapText="1" indent="1"/>
    </xf>
    <xf numFmtId="0" fontId="19" fillId="38" borderId="44" xfId="0" applyFont="1" applyFill="1" applyBorder="1" applyAlignment="1">
      <alignment horizontal="left" vertical="center" wrapText="1" indent="1"/>
    </xf>
    <xf numFmtId="0" fontId="19" fillId="38" borderId="50" xfId="0" applyFont="1" applyFill="1" applyBorder="1" applyAlignment="1">
      <alignment horizontal="left" vertical="center" wrapText="1" indent="1"/>
    </xf>
    <xf numFmtId="0" fontId="10" fillId="29" borderId="7" xfId="6" applyFont="1" applyFill="1" applyBorder="1" applyAlignment="1">
      <alignment horizontal="left" vertical="center" indent="1"/>
    </xf>
    <xf numFmtId="0" fontId="10" fillId="29" borderId="9" xfId="6" applyFont="1" applyFill="1" applyBorder="1" applyAlignment="1">
      <alignment horizontal="left" vertical="center" indent="1"/>
    </xf>
    <xf numFmtId="0" fontId="14" fillId="33" borderId="0" xfId="0" applyFont="1" applyFill="1" applyAlignment="1">
      <alignment horizontal="left" vertical="center" indent="1"/>
    </xf>
    <xf numFmtId="0" fontId="10" fillId="33" borderId="7" xfId="6" applyFont="1" applyFill="1" applyBorder="1" applyAlignment="1">
      <alignment horizontal="left" vertical="center" indent="1"/>
    </xf>
    <xf numFmtId="0" fontId="10" fillId="33" borderId="9" xfId="6" applyFont="1" applyFill="1" applyBorder="1" applyAlignment="1">
      <alignment horizontal="left" vertical="center" indent="1"/>
    </xf>
    <xf numFmtId="0" fontId="10" fillId="33" borderId="8" xfId="6" applyFont="1" applyFill="1" applyBorder="1" applyAlignment="1">
      <alignment horizontal="left" vertical="center" indent="1"/>
    </xf>
    <xf numFmtId="0" fontId="20" fillId="33" borderId="7" xfId="6" applyFont="1" applyFill="1" applyBorder="1" applyAlignment="1">
      <alignment horizontal="left" vertical="center" indent="1"/>
    </xf>
    <xf numFmtId="0" fontId="20" fillId="33" borderId="8" xfId="6" applyFont="1" applyFill="1" applyBorder="1" applyAlignment="1">
      <alignment horizontal="left" vertical="center" indent="1"/>
    </xf>
    <xf numFmtId="0" fontId="20" fillId="4" borderId="9" xfId="5" applyFont="1" applyBorder="1" applyAlignment="1">
      <alignment horizontal="left" vertical="center" indent="1"/>
    </xf>
    <xf numFmtId="0" fontId="20" fillId="33" borderId="7" xfId="5" applyFont="1" applyFill="1" applyBorder="1" applyAlignment="1">
      <alignment horizontal="left" vertical="center" indent="1"/>
    </xf>
    <xf numFmtId="0" fontId="20" fillId="33" borderId="9" xfId="5" applyFont="1" applyFill="1" applyBorder="1" applyAlignment="1">
      <alignment horizontal="left" vertical="center" indent="1"/>
    </xf>
    <xf numFmtId="0" fontId="20" fillId="33" borderId="8" xfId="5" applyFont="1" applyFill="1" applyBorder="1" applyAlignment="1">
      <alignment horizontal="left" vertical="center" indent="1"/>
    </xf>
    <xf numFmtId="0" fontId="20" fillId="4" borderId="2" xfId="5" applyFont="1" applyBorder="1" applyAlignment="1">
      <alignment horizontal="left" vertical="center" indent="1"/>
    </xf>
    <xf numFmtId="0" fontId="20" fillId="4" borderId="3" xfId="5" applyFont="1" applyBorder="1" applyAlignment="1">
      <alignment horizontal="left" vertical="center" indent="1"/>
    </xf>
    <xf numFmtId="0" fontId="20" fillId="33" borderId="1" xfId="5" applyFont="1" applyFill="1" applyBorder="1" applyAlignment="1">
      <alignment horizontal="left" vertical="center" indent="1"/>
    </xf>
    <xf numFmtId="0" fontId="28" fillId="7" borderId="9" xfId="0" applyFont="1" applyFill="1" applyBorder="1" applyAlignment="1">
      <alignment horizontal="left" vertical="center" indent="1"/>
    </xf>
    <xf numFmtId="0" fontId="28" fillId="7" borderId="8" xfId="0" applyFont="1" applyFill="1" applyBorder="1" applyAlignment="1">
      <alignment horizontal="left" vertical="center" indent="1"/>
    </xf>
    <xf numFmtId="0" fontId="10" fillId="8" borderId="13" xfId="0" applyFont="1" applyFill="1" applyBorder="1" applyAlignment="1">
      <alignment horizontal="left" vertical="center" indent="1"/>
    </xf>
    <xf numFmtId="0" fontId="10" fillId="8" borderId="1" xfId="0" applyFont="1" applyFill="1" applyBorder="1" applyAlignment="1">
      <alignment horizontal="left" vertical="center" indent="1"/>
    </xf>
    <xf numFmtId="0" fontId="28" fillId="13" borderId="7" xfId="0" applyFont="1" applyFill="1" applyBorder="1" applyAlignment="1">
      <alignment horizontal="left" vertical="center" indent="1"/>
    </xf>
    <xf numFmtId="0" fontId="28" fillId="13" borderId="9" xfId="0" applyFont="1" applyFill="1" applyBorder="1" applyAlignment="1">
      <alignment horizontal="left" vertical="center" indent="1"/>
    </xf>
    <xf numFmtId="0" fontId="10" fillId="14" borderId="7" xfId="5" applyFont="1" applyFill="1" applyBorder="1" applyAlignment="1">
      <alignment horizontal="left" vertical="center" indent="1"/>
    </xf>
    <xf numFmtId="0" fontId="10" fillId="14" borderId="9" xfId="5" applyFont="1" applyFill="1" applyBorder="1" applyAlignment="1">
      <alignment horizontal="left" vertical="center" indent="1"/>
    </xf>
    <xf numFmtId="0" fontId="10" fillId="14" borderId="8" xfId="5" applyFont="1" applyFill="1" applyBorder="1" applyAlignment="1">
      <alignment horizontal="left" vertical="center" indent="1"/>
    </xf>
    <xf numFmtId="0" fontId="8" fillId="18" borderId="9" xfId="0" applyFont="1" applyFill="1" applyBorder="1" applyAlignment="1">
      <alignment horizontal="left" vertical="center" wrapText="1" indent="1"/>
    </xf>
    <xf numFmtId="0" fontId="10" fillId="14" borderId="7" xfId="1" applyFont="1" applyFill="1" applyBorder="1" applyAlignment="1">
      <alignment horizontal="left" vertical="center" wrapText="1" indent="1"/>
    </xf>
    <xf numFmtId="0" fontId="10" fillId="14" borderId="9" xfId="1" applyFont="1" applyFill="1" applyBorder="1" applyAlignment="1">
      <alignment horizontal="left" vertical="center" wrapText="1" indent="1"/>
    </xf>
    <xf numFmtId="0" fontId="10" fillId="14" borderId="8" xfId="1" applyFont="1" applyFill="1" applyBorder="1" applyAlignment="1">
      <alignment horizontal="left" vertical="center" wrapText="1" indent="1"/>
    </xf>
    <xf numFmtId="0" fontId="19" fillId="53" borderId="7" xfId="0" applyFont="1" applyFill="1" applyBorder="1" applyAlignment="1">
      <alignment horizontal="left" vertical="center" wrapText="1" indent="1"/>
    </xf>
    <xf numFmtId="0" fontId="19" fillId="53" borderId="9" xfId="0" applyFont="1" applyFill="1" applyBorder="1" applyAlignment="1">
      <alignment horizontal="left" vertical="center" wrapText="1" indent="1"/>
    </xf>
    <xf numFmtId="0" fontId="19" fillId="53" borderId="14" xfId="0" applyFont="1" applyFill="1" applyBorder="1" applyAlignment="1">
      <alignment horizontal="left" vertical="center" wrapText="1" indent="1"/>
    </xf>
    <xf numFmtId="0" fontId="43" fillId="29" borderId="7" xfId="0" applyFont="1" applyFill="1" applyBorder="1" applyAlignment="1">
      <alignment horizontal="left" vertical="center" indent="1"/>
    </xf>
    <xf numFmtId="0" fontId="43" fillId="29" borderId="9" xfId="0" applyFont="1" applyFill="1" applyBorder="1" applyAlignment="1">
      <alignment horizontal="left" vertical="center" indent="1"/>
    </xf>
    <xf numFmtId="0" fontId="43" fillId="29" borderId="8" xfId="0" applyFont="1" applyFill="1" applyBorder="1" applyAlignment="1">
      <alignment horizontal="left" vertical="center" indent="1"/>
    </xf>
    <xf numFmtId="0" fontId="10" fillId="45" borderId="7" xfId="0" applyFont="1" applyFill="1" applyBorder="1" applyAlignment="1">
      <alignment horizontal="left" vertical="center" indent="1"/>
    </xf>
    <xf numFmtId="0" fontId="10" fillId="45" borderId="9" xfId="0" applyFont="1" applyFill="1" applyBorder="1" applyAlignment="1">
      <alignment horizontal="left" vertical="center" indent="1"/>
    </xf>
    <xf numFmtId="0" fontId="10" fillId="45" borderId="8" xfId="0" applyFont="1" applyFill="1" applyBorder="1" applyAlignment="1">
      <alignment horizontal="left" vertical="center" indent="1"/>
    </xf>
    <xf numFmtId="0" fontId="19" fillId="38" borderId="8" xfId="0" applyFont="1" applyFill="1" applyBorder="1" applyAlignment="1">
      <alignment horizontal="left" vertical="center" indent="1"/>
    </xf>
    <xf numFmtId="0" fontId="19" fillId="24" borderId="8" xfId="0" applyFont="1" applyFill="1" applyBorder="1" applyAlignment="1">
      <alignment horizontal="left" vertical="center" indent="1"/>
    </xf>
    <xf numFmtId="0" fontId="52" fillId="38" borderId="7" xfId="0" applyFont="1" applyFill="1" applyBorder="1" applyAlignment="1">
      <alignment horizontal="left" vertical="center" indent="1"/>
    </xf>
    <xf numFmtId="0" fontId="52" fillId="38" borderId="9" xfId="0" applyFont="1" applyFill="1" applyBorder="1" applyAlignment="1">
      <alignment horizontal="left" vertical="center" indent="1"/>
    </xf>
    <xf numFmtId="0" fontId="52" fillId="38" borderId="8" xfId="0" applyFont="1" applyFill="1" applyBorder="1" applyAlignment="1">
      <alignment horizontal="left" vertical="center" indent="1"/>
    </xf>
    <xf numFmtId="0" fontId="10" fillId="29" borderId="0" xfId="5" applyFont="1" applyFill="1" applyAlignment="1">
      <alignment horizontal="left" vertical="center" indent="1"/>
    </xf>
    <xf numFmtId="0" fontId="8" fillId="18" borderId="7" xfId="0" quotePrefix="1" applyFont="1" applyFill="1" applyBorder="1" applyAlignment="1">
      <alignment horizontal="left" vertical="center" wrapText="1" indent="1"/>
    </xf>
    <xf numFmtId="0" fontId="8" fillId="18" borderId="8" xfId="0" applyFont="1" applyFill="1" applyBorder="1" applyAlignment="1">
      <alignment horizontal="left" vertical="center" indent="1"/>
    </xf>
    <xf numFmtId="0" fontId="8" fillId="18" borderId="7" xfId="0" applyFont="1" applyFill="1" applyBorder="1" applyAlignment="1">
      <alignment horizontal="left" vertical="center" indent="1"/>
    </xf>
    <xf numFmtId="0" fontId="8" fillId="18" borderId="9" xfId="0" applyFont="1" applyFill="1" applyBorder="1" applyAlignment="1">
      <alignment horizontal="left" vertical="center" indent="1"/>
    </xf>
    <xf numFmtId="0" fontId="9" fillId="20" borderId="7" xfId="0" applyFont="1" applyFill="1" applyBorder="1" applyAlignment="1">
      <alignment horizontal="left" vertical="center" indent="1"/>
    </xf>
    <xf numFmtId="0" fontId="9" fillId="20" borderId="14" xfId="0" applyFont="1" applyFill="1" applyBorder="1" applyAlignment="1">
      <alignment horizontal="left" vertical="center" indent="1"/>
    </xf>
    <xf numFmtId="0" fontId="10" fillId="45" borderId="7" xfId="5" applyFont="1" applyFill="1" applyBorder="1" applyAlignment="1">
      <alignment horizontal="left" vertical="center" indent="1"/>
    </xf>
    <xf numFmtId="0" fontId="10" fillId="45" borderId="9" xfId="5" applyFont="1" applyFill="1" applyBorder="1" applyAlignment="1">
      <alignment horizontal="left" vertical="center" indent="1"/>
    </xf>
    <xf numFmtId="0" fontId="10" fillId="45" borderId="8" xfId="5" applyFont="1" applyFill="1" applyBorder="1" applyAlignment="1">
      <alignment horizontal="left" vertical="center" indent="1"/>
    </xf>
    <xf numFmtId="0" fontId="45" fillId="29" borderId="7" xfId="0" applyFont="1" applyFill="1" applyBorder="1" applyAlignment="1">
      <alignment horizontal="left" vertical="center" indent="1"/>
    </xf>
    <xf numFmtId="0" fontId="45" fillId="29" borderId="9" xfId="0" applyFont="1" applyFill="1" applyBorder="1" applyAlignment="1">
      <alignment horizontal="left" vertical="center" indent="1"/>
    </xf>
    <xf numFmtId="0" fontId="45" fillId="29" borderId="8" xfId="0" applyFont="1" applyFill="1" applyBorder="1" applyAlignment="1">
      <alignment horizontal="left" vertical="center" indent="1"/>
    </xf>
    <xf numFmtId="0" fontId="20" fillId="46" borderId="1" xfId="6" applyFont="1" applyFill="1" applyBorder="1" applyAlignment="1">
      <alignment horizontal="left" vertical="center" indent="1"/>
    </xf>
    <xf numFmtId="0" fontId="38" fillId="38" borderId="7" xfId="0" applyFont="1" applyFill="1" applyBorder="1" applyAlignment="1">
      <alignment horizontal="left" vertical="center" wrapText="1" indent="1"/>
    </xf>
    <xf numFmtId="0" fontId="46" fillId="38" borderId="7" xfId="0" applyFont="1" applyFill="1" applyBorder="1" applyAlignment="1">
      <alignment horizontal="left" vertical="center" indent="1"/>
    </xf>
    <xf numFmtId="0" fontId="46" fillId="38" borderId="9" xfId="0" applyFont="1" applyFill="1" applyBorder="1" applyAlignment="1">
      <alignment horizontal="left" vertical="center" indent="1"/>
    </xf>
    <xf numFmtId="0" fontId="20" fillId="29" borderId="1" xfId="0" applyFont="1" applyFill="1" applyBorder="1" applyAlignment="1">
      <alignment horizontal="left" vertical="center" indent="1"/>
    </xf>
    <xf numFmtId="0" fontId="8" fillId="29" borderId="1" xfId="0" applyFont="1" applyFill="1" applyBorder="1" applyAlignment="1">
      <alignment horizontal="left" vertical="center" indent="1"/>
    </xf>
    <xf numFmtId="0" fontId="20" fillId="46" borderId="7" xfId="6" applyFont="1" applyFill="1" applyBorder="1" applyAlignment="1">
      <alignment horizontal="left" vertical="center" indent="1"/>
    </xf>
    <xf numFmtId="0" fontId="20" fillId="46" borderId="9" xfId="6" applyFont="1" applyFill="1" applyBorder="1" applyAlignment="1">
      <alignment horizontal="left" vertical="center" indent="1"/>
    </xf>
    <xf numFmtId="0" fontId="20" fillId="46" borderId="8" xfId="6" applyFont="1" applyFill="1" applyBorder="1" applyAlignment="1">
      <alignment horizontal="left" vertical="center" indent="1"/>
    </xf>
    <xf numFmtId="0" fontId="19" fillId="9" borderId="7" xfId="0" applyFont="1" applyFill="1" applyBorder="1" applyAlignment="1">
      <alignment horizontal="left" vertical="center" indent="1"/>
    </xf>
    <xf numFmtId="0" fontId="19" fillId="9" borderId="1" xfId="0" applyFont="1" applyFill="1" applyBorder="1" applyAlignment="1">
      <alignment horizontal="left" vertical="center" indent="1"/>
    </xf>
    <xf numFmtId="0" fontId="38" fillId="38" borderId="1" xfId="0" applyFont="1" applyFill="1" applyBorder="1" applyAlignment="1">
      <alignment horizontal="left" vertical="center" wrapText="1" indent="1"/>
    </xf>
    <xf numFmtId="0" fontId="46" fillId="38" borderId="8" xfId="0" applyFont="1" applyFill="1" applyBorder="1" applyAlignment="1">
      <alignment horizontal="left" vertical="center" indent="1"/>
    </xf>
    <xf numFmtId="0" fontId="11" fillId="18" borderId="7" xfId="1" applyFont="1" applyFill="1" applyBorder="1" applyAlignment="1">
      <alignment horizontal="left" vertical="center" wrapText="1" indent="1"/>
    </xf>
    <xf numFmtId="0" fontId="11" fillId="18" borderId="9" xfId="1" applyFont="1" applyFill="1" applyBorder="1" applyAlignment="1">
      <alignment horizontal="left" vertical="center" wrapText="1" indent="1"/>
    </xf>
    <xf numFmtId="0" fontId="11" fillId="18" borderId="8" xfId="1" applyFont="1" applyFill="1" applyBorder="1" applyAlignment="1">
      <alignment horizontal="left" vertical="center" wrapText="1" indent="1"/>
    </xf>
    <xf numFmtId="0" fontId="8" fillId="6" borderId="7" xfId="0" applyFont="1" applyFill="1" applyBorder="1" applyAlignment="1" applyProtection="1">
      <alignment horizontal="left" vertical="center" indent="1"/>
      <protection locked="0"/>
    </xf>
    <xf numFmtId="0" fontId="8" fillId="31" borderId="7" xfId="0" applyFont="1" applyFill="1" applyBorder="1" applyAlignment="1">
      <alignment horizontal="left" vertical="center" indent="1"/>
    </xf>
    <xf numFmtId="0" fontId="8" fillId="31" borderId="8" xfId="0" applyFont="1" applyFill="1" applyBorder="1" applyAlignment="1">
      <alignment horizontal="left" vertical="center" indent="1"/>
    </xf>
    <xf numFmtId="0" fontId="11" fillId="25" borderId="7" xfId="1" applyFont="1" applyFill="1" applyBorder="1" applyAlignment="1">
      <alignment horizontal="left" vertical="center" wrapText="1" indent="1"/>
    </xf>
    <xf numFmtId="0" fontId="8" fillId="25" borderId="8" xfId="0" applyFont="1" applyFill="1" applyBorder="1" applyAlignment="1">
      <alignment horizontal="left" vertical="center" wrapText="1" indent="1"/>
    </xf>
    <xf numFmtId="0" fontId="11" fillId="25" borderId="8" xfId="1" applyFont="1" applyFill="1" applyBorder="1" applyAlignment="1">
      <alignment horizontal="left" vertical="center" wrapText="1" indent="1"/>
    </xf>
    <xf numFmtId="0" fontId="11" fillId="25" borderId="7" xfId="3" applyFont="1" applyFill="1" applyBorder="1" applyAlignment="1">
      <alignment horizontal="left" vertical="center" wrapText="1" indent="1"/>
    </xf>
    <xf numFmtId="0" fontId="10" fillId="10" borderId="7" xfId="6" applyFont="1" applyFill="1" applyBorder="1" applyAlignment="1">
      <alignment horizontal="left" vertical="center" indent="1"/>
    </xf>
    <xf numFmtId="0" fontId="10" fillId="10" borderId="1" xfId="6" applyFont="1" applyFill="1" applyBorder="1" applyAlignment="1">
      <alignment horizontal="left" vertical="center" indent="1"/>
    </xf>
    <xf numFmtId="0" fontId="10" fillId="10" borderId="1" xfId="5" applyFont="1" applyFill="1" applyBorder="1" applyAlignment="1">
      <alignment horizontal="left" vertical="center" indent="1"/>
    </xf>
  </cellXfs>
  <cellStyles count="15">
    <cellStyle name="60% - Accent5" xfId="1" builtinId="48"/>
    <cellStyle name="60% - Accent5 2" xfId="2" xr:uid="{00000000-0005-0000-0000-000001000000}"/>
    <cellStyle name="60% - Accent6" xfId="3" builtinId="52"/>
    <cellStyle name="60% - Accent6 2" xfId="4" xr:uid="{00000000-0005-0000-0000-000003000000}"/>
    <cellStyle name="Accent1" xfId="5" builtinId="29"/>
    <cellStyle name="Accent1 2" xfId="6" xr:uid="{00000000-0005-0000-0000-000005000000}"/>
    <cellStyle name="Good" xfId="7" builtinId="26"/>
    <cellStyle name="Good 2" xfId="8" xr:uid="{00000000-0005-0000-0000-000007000000}"/>
    <cellStyle name="Hyperlink" xfId="9" builtinId="8"/>
    <cellStyle name="Hyperlink 2" xfId="10" xr:uid="{00000000-0005-0000-0000-000009000000}"/>
    <cellStyle name="Normal" xfId="0" builtinId="0"/>
    <cellStyle name="Normal 2" xfId="11" xr:uid="{00000000-0005-0000-0000-00000B000000}"/>
    <cellStyle name="Normal 3" xfId="12" xr:uid="{00000000-0005-0000-0000-00000C000000}"/>
    <cellStyle name="Normal 3 2" xfId="13" xr:uid="{00000000-0005-0000-0000-00000D000000}"/>
    <cellStyle name="Style 5" xfId="14" xr:uid="{00000000-0005-0000-0000-00000E000000}"/>
  </cellStyles>
  <dxfs count="2916">
    <dxf>
      <font>
        <color theme="1"/>
      </font>
      <fill>
        <patternFill>
          <bgColor rgb="FFEFFDE3"/>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ont>
        <color theme="1"/>
      </font>
      <fill>
        <patternFill>
          <bgColor rgb="FFEFFDE3"/>
        </patternFill>
      </fill>
    </dxf>
    <dxf>
      <fill>
        <patternFill>
          <bgColor theme="5" tint="0.59996337778862885"/>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ill>
        <patternFill>
          <bgColor theme="5" tint="0.59996337778862885"/>
        </patternFill>
      </fill>
    </dxf>
    <dxf>
      <font>
        <color theme="1"/>
      </font>
      <fill>
        <patternFill>
          <bgColor rgb="FFEFFDE3"/>
        </patternFill>
      </fill>
    </dxf>
    <dxf>
      <font>
        <color theme="1"/>
      </font>
      <fill>
        <patternFill>
          <bgColor rgb="FFEFFDE3"/>
        </patternFill>
      </fill>
    </dxf>
    <dxf>
      <fill>
        <patternFill>
          <bgColor theme="5" tint="0.59996337778862885"/>
        </patternFill>
      </fill>
    </dxf>
    <dxf>
      <font>
        <color theme="1"/>
      </font>
      <fill>
        <patternFill>
          <bgColor theme="1" tint="0.24994659260841701"/>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ill>
        <patternFill>
          <bgColor theme="5" tint="0.59996337778862885"/>
        </patternFill>
      </fill>
    </dxf>
    <dxf>
      <font>
        <color rgb="FF006100"/>
      </font>
      <fill>
        <patternFill>
          <bgColor rgb="FFC6EFCE"/>
        </patternFill>
      </fill>
    </dxf>
    <dxf>
      <fill>
        <patternFill>
          <bgColor theme="5" tint="0.59996337778862885"/>
        </patternFill>
      </fill>
    </dxf>
    <dxf>
      <font>
        <color rgb="FF006100"/>
      </font>
      <fill>
        <patternFill>
          <bgColor rgb="FFC6EFCE"/>
        </patternFill>
      </fill>
    </dxf>
    <dxf>
      <font>
        <color theme="1"/>
      </font>
      <fill>
        <patternFill>
          <bgColor theme="1" tint="0.24994659260841701"/>
        </patternFill>
      </fill>
    </dxf>
    <dxf>
      <font>
        <color rgb="FF505E69"/>
      </font>
      <fill>
        <patternFill>
          <bgColor rgb="FF505E69"/>
        </patternFill>
      </fill>
    </dxf>
    <dxf>
      <font>
        <color theme="1"/>
      </font>
      <fill>
        <patternFill>
          <bgColor rgb="FFEFFDE3"/>
        </patternFill>
      </fill>
    </dxf>
    <dxf>
      <font>
        <color theme="1"/>
      </font>
      <fill>
        <patternFill>
          <bgColor rgb="FFF9CBAD"/>
        </patternFill>
      </fill>
    </dxf>
    <dxf>
      <font>
        <color theme="1"/>
      </font>
      <fill>
        <patternFill>
          <bgColor rgb="FFFFBE29"/>
        </patternFill>
      </fill>
    </dxf>
    <dxf>
      <font>
        <color rgb="FF505E69"/>
      </font>
      <fill>
        <patternFill>
          <bgColor rgb="FF505E69"/>
        </patternFill>
      </fill>
    </dxf>
    <dxf>
      <font>
        <color theme="1"/>
      </font>
      <fill>
        <patternFill>
          <bgColor theme="1" tint="0.24994659260841701"/>
        </patternFill>
      </fill>
    </dxf>
    <dxf>
      <fill>
        <patternFill>
          <bgColor theme="5" tint="0.59996337778862885"/>
        </patternFill>
      </fill>
    </dxf>
    <dxf>
      <font>
        <color rgb="FF006100"/>
      </font>
      <fill>
        <patternFill>
          <bgColor rgb="FFC6EFCE"/>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ill>
        <patternFill>
          <bgColor theme="5" tint="0.59996337778862885"/>
        </patternFill>
      </fill>
    </dxf>
    <dxf>
      <font>
        <color rgb="FF006100"/>
      </font>
      <fill>
        <patternFill>
          <bgColor rgb="FFC6EFCE"/>
        </patternFill>
      </fill>
    </dxf>
    <dxf>
      <fill>
        <patternFill>
          <bgColor theme="5" tint="0.59996337778862885"/>
        </patternFill>
      </fill>
    </dxf>
    <dxf>
      <font>
        <color rgb="FF006100"/>
      </font>
      <fill>
        <patternFill>
          <bgColor rgb="FFC6EFCE"/>
        </patternFill>
      </fill>
    </dxf>
    <dxf>
      <font>
        <color theme="1"/>
      </font>
      <fill>
        <patternFill>
          <bgColor theme="1" tint="0.24994659260841701"/>
        </patternFill>
      </fill>
    </dxf>
    <dxf>
      <font>
        <color theme="1"/>
      </font>
      <fill>
        <patternFill>
          <bgColor rgb="FFFFBE29"/>
        </patternFill>
      </fill>
    </dxf>
    <dxf>
      <font>
        <color theme="1"/>
      </font>
      <fill>
        <patternFill>
          <bgColor rgb="FFEFFDE3"/>
        </patternFill>
      </fill>
    </dxf>
    <dxf>
      <fill>
        <patternFill>
          <bgColor rgb="FFF9CBAD"/>
        </patternFill>
      </fill>
    </dxf>
    <dxf>
      <font>
        <color rgb="FF4F5F69"/>
      </font>
      <fill>
        <patternFill>
          <bgColor rgb="FF4F5F69"/>
        </patternFill>
      </fill>
    </dxf>
    <dxf>
      <font>
        <color theme="1"/>
      </font>
      <fill>
        <patternFill>
          <bgColor theme="1" tint="0.24994659260841701"/>
        </patternFill>
      </fill>
    </dxf>
    <dxf>
      <fill>
        <patternFill>
          <bgColor theme="5" tint="0.59996337778862885"/>
        </patternFill>
      </fill>
    </dxf>
    <dxf>
      <font>
        <color rgb="FF006100"/>
      </font>
      <fill>
        <patternFill>
          <bgColor rgb="FFC6EFCE"/>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rgb="FF0E223A"/>
      </font>
      <fill>
        <patternFill>
          <bgColor rgb="FFFFBE29"/>
        </patternFill>
      </fill>
    </dxf>
    <dxf>
      <fill>
        <patternFill>
          <bgColor rgb="FFEFFDE3"/>
        </patternFill>
      </fill>
    </dxf>
    <dxf>
      <font>
        <color auto="1"/>
      </font>
      <fill>
        <patternFill>
          <bgColor rgb="FFF9CBAD"/>
        </patternFill>
      </fill>
    </dxf>
    <dxf>
      <font>
        <color rgb="FF506069"/>
      </font>
      <fill>
        <patternFill>
          <bgColor rgb="FF506069"/>
        </patternFill>
      </fill>
    </dxf>
    <dxf>
      <font>
        <color theme="0"/>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0"/>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0"/>
      </font>
      <fill>
        <patternFill>
          <bgColor rgb="FF505F6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1"/>
      </font>
      <fill>
        <patternFill>
          <bgColor rgb="FFFFBE29"/>
        </patternFill>
      </fill>
    </dxf>
    <dxf>
      <font>
        <color theme="0"/>
      </font>
      <fill>
        <patternFill>
          <bgColor rgb="FF505F69"/>
        </patternFill>
      </fill>
    </dxf>
    <dxf>
      <font>
        <color theme="1"/>
      </font>
      <fill>
        <patternFill>
          <bgColor rgb="FFEFFDE3"/>
        </patternFill>
      </fill>
    </dxf>
    <dxf>
      <font>
        <color theme="1"/>
      </font>
      <fill>
        <patternFill>
          <bgColor rgb="FFFFBE29"/>
        </patternFill>
      </fill>
    </dxf>
    <dxf>
      <font>
        <color theme="0"/>
      </font>
      <fill>
        <patternFill>
          <bgColor rgb="FF505F69"/>
        </patternFill>
      </fill>
    </dxf>
    <dxf>
      <font>
        <color theme="1"/>
      </font>
      <fill>
        <patternFill>
          <bgColor rgb="FFFFBD29"/>
        </patternFill>
      </fill>
    </dxf>
    <dxf>
      <font>
        <color theme="1"/>
      </font>
      <fill>
        <patternFill>
          <bgColor rgb="FFEFFDE3"/>
        </patternFill>
      </fill>
    </dxf>
    <dxf>
      <font>
        <color theme="1"/>
      </font>
      <fill>
        <patternFill>
          <bgColor rgb="FFFFBE29"/>
        </patternFill>
      </fill>
    </dxf>
    <dxf>
      <font>
        <color theme="0"/>
      </font>
      <fill>
        <patternFill>
          <bgColor rgb="FF505F69"/>
        </patternFill>
      </fill>
    </dxf>
    <dxf>
      <font>
        <color theme="1"/>
      </font>
      <fill>
        <patternFill>
          <bgColor rgb="FFEFFDE3"/>
        </patternFill>
      </fill>
    </dxf>
    <dxf>
      <font>
        <color theme="1"/>
      </font>
      <fill>
        <patternFill>
          <bgColor rgb="FFF9CBAD"/>
        </patternFill>
      </fill>
    </dxf>
    <dxf>
      <font>
        <color theme="1"/>
      </font>
      <fill>
        <patternFill>
          <bgColor rgb="FFFFBE2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theme="1"/>
      </font>
      <fill>
        <patternFill>
          <bgColor rgb="FFF9CBAD"/>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rgb="FF505F69"/>
      </font>
      <fill>
        <patternFill>
          <bgColor rgb="FF50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rgb="FF505F69"/>
      </font>
      <fill>
        <patternFill>
          <bgColor rgb="FF50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rgb="FF505F69"/>
      </font>
      <fill>
        <patternFill>
          <bgColor rgb="FF50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theme="1"/>
      </font>
      <fill>
        <patternFill>
          <bgColor rgb="FFFFBE29"/>
        </patternFill>
      </fill>
    </dxf>
    <dxf>
      <font>
        <color theme="1"/>
      </font>
      <fill>
        <patternFill>
          <bgColor rgb="FFF9CBAD"/>
        </patternFill>
      </fill>
    </dxf>
    <dxf>
      <font>
        <color rgb="FF4F5F69"/>
      </font>
      <fill>
        <patternFill>
          <bgColor rgb="FF506069"/>
        </patternFill>
      </fill>
    </dxf>
    <dxf>
      <font>
        <color theme="1"/>
      </font>
      <fill>
        <patternFill>
          <bgColor rgb="FFF9CBAD"/>
        </patternFill>
      </fill>
    </dxf>
    <dxf>
      <font>
        <color rgb="FF0E223A"/>
      </font>
      <fill>
        <patternFill>
          <bgColor rgb="FFFFBE29"/>
        </patternFill>
      </fill>
    </dxf>
    <dxf>
      <font>
        <color rgb="FF506069"/>
      </font>
      <fill>
        <patternFill>
          <bgColor rgb="FF5060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5060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rgb="FF505E69"/>
      </font>
      <fill>
        <patternFill>
          <bgColor rgb="FF505E69"/>
        </patternFill>
      </fill>
    </dxf>
    <dxf>
      <font>
        <color theme="1"/>
      </font>
      <fill>
        <patternFill>
          <bgColor rgb="FFFFBE29"/>
        </patternFill>
      </fill>
    </dxf>
    <dxf>
      <font>
        <color theme="1"/>
      </font>
      <fill>
        <patternFill>
          <bgColor rgb="FFEFFDE3"/>
        </patternFill>
      </fill>
    </dxf>
    <dxf>
      <font>
        <color theme="1"/>
      </font>
      <fill>
        <patternFill>
          <bgColor rgb="FFF9CBAD"/>
        </patternFill>
      </fill>
    </dxf>
    <dxf>
      <font>
        <color rgb="FF4F5F69"/>
      </font>
      <fill>
        <patternFill>
          <bgColor rgb="FF4F5F69"/>
        </patternFill>
      </fill>
    </dxf>
    <dxf>
      <font>
        <color rgb="FF4F5F69"/>
      </font>
      <fill>
        <patternFill>
          <bgColor rgb="FF4F5F69"/>
        </patternFill>
      </fill>
    </dxf>
    <dxf>
      <font>
        <color theme="1"/>
      </font>
      <fill>
        <patternFill>
          <bgColor rgb="FFFFBE2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rgb="FF505F69"/>
      </font>
      <fill>
        <patternFill>
          <bgColor rgb="FF50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rgb="FF4F5F69"/>
      </font>
      <fill>
        <patternFill>
          <bgColor rgb="FF4F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theme="1"/>
      </font>
      <fill>
        <patternFill>
          <bgColor rgb="FFEFFDE3"/>
        </patternFill>
      </fill>
    </dxf>
    <dxf>
      <font>
        <color theme="1"/>
      </font>
      <fill>
        <patternFill>
          <bgColor rgb="FFF9CBAD"/>
        </patternFill>
      </fill>
    </dxf>
    <dxf>
      <font>
        <color theme="1"/>
      </font>
      <fill>
        <patternFill>
          <bgColor rgb="FFFFBE29"/>
        </patternFill>
      </fill>
    </dxf>
    <dxf>
      <font>
        <color rgb="FF4F5F69"/>
      </font>
      <fill>
        <patternFill>
          <bgColor rgb="FF4F5F69"/>
        </patternFill>
      </fill>
    </dxf>
    <dxf>
      <font>
        <color rgb="FF4F5F69"/>
      </font>
      <fill>
        <patternFill>
          <bgColor rgb="FF4F5F69"/>
        </patternFill>
      </fill>
    </dxf>
    <dxf>
      <font>
        <color theme="1"/>
      </font>
      <fill>
        <patternFill>
          <bgColor rgb="FFF9CBAD"/>
        </patternFill>
      </fill>
    </dxf>
    <dxf>
      <font>
        <color rgb="FF0E223A"/>
      </font>
      <fill>
        <patternFill>
          <bgColor rgb="FFFFBE29"/>
        </patternFill>
      </fill>
    </dxf>
    <dxf>
      <font>
        <color rgb="FF506069"/>
      </font>
      <fill>
        <patternFill>
          <bgColor rgb="FF506069"/>
        </patternFill>
      </fill>
    </dxf>
    <dxf>
      <font>
        <color rgb="FF505E69"/>
      </font>
      <fill>
        <patternFill>
          <bgColor rgb="FF505E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ont>
        <color theme="1"/>
      </font>
      <fill>
        <patternFill>
          <bgColor rgb="FFFFBE29"/>
        </patternFill>
      </fill>
    </dxf>
    <dxf>
      <fill>
        <patternFill>
          <bgColor theme="5" tint="0.59996337778862885"/>
        </patternFill>
      </fill>
    </dxf>
    <dxf>
      <font>
        <color rgb="FF4F5F69"/>
      </font>
      <fill>
        <patternFill>
          <bgColor rgb="FF4F5F69"/>
        </patternFill>
      </fill>
    </dxf>
    <dxf>
      <font>
        <color rgb="FF505F69"/>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theme="1"/>
      </font>
      <fill>
        <patternFill>
          <bgColor rgb="FFFFC000"/>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ill>
        <patternFill>
          <bgColor rgb="FFF9CBAD"/>
        </patternFill>
      </fill>
    </dxf>
    <dxf>
      <font>
        <color theme="1"/>
      </font>
      <fill>
        <patternFill>
          <bgColor rgb="FFEFFEE3"/>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4F5F69"/>
      </font>
      <fill>
        <patternFill>
          <bgColor rgb="FF4F5F69"/>
        </patternFill>
      </fill>
    </dxf>
    <dxf>
      <font>
        <color rgb="FF4F5F69"/>
      </font>
      <fill>
        <patternFill>
          <bgColor rgb="FF4F5F69"/>
        </patternFill>
      </fill>
    </dxf>
    <dxf>
      <font>
        <color theme="1"/>
      </font>
      <fill>
        <patternFill>
          <bgColor rgb="FFEFFEE3"/>
        </patternFill>
      </fill>
    </dxf>
    <dxf>
      <font>
        <color rgb="FFF9CBAD"/>
      </font>
      <fill>
        <patternFill>
          <bgColor rgb="FFF9CBAD"/>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ill>
        <patternFill>
          <bgColor rgb="FFF9CBAD"/>
        </patternFill>
      </fill>
    </dxf>
    <dxf>
      <font>
        <color rgb="FF0E223A"/>
      </font>
      <fill>
        <patternFill>
          <bgColor rgb="FFFFBE29"/>
        </patternFill>
      </fill>
    </dxf>
    <dxf>
      <font>
        <color rgb="FF0E223A"/>
      </font>
      <fill>
        <patternFill>
          <bgColor rgb="FFEFFEE3"/>
        </patternFill>
      </fill>
    </dxf>
    <dxf>
      <fill>
        <patternFill>
          <bgColor rgb="FFF9CBAD"/>
        </patternFill>
      </fill>
    </dxf>
    <dxf>
      <font>
        <color rgb="FF0E223A"/>
      </font>
      <fill>
        <patternFill>
          <bgColor rgb="FFFFBE29"/>
        </patternFill>
      </fill>
    </dxf>
    <dxf>
      <font>
        <color rgb="FF0E223A"/>
      </font>
      <fill>
        <patternFill>
          <bgColor rgb="FFFFBE29"/>
        </patternFill>
      </fill>
    </dxf>
    <dxf>
      <font>
        <color rgb="FF0E223A"/>
      </font>
      <fill>
        <patternFill>
          <bgColor rgb="FFEFFEE3"/>
        </patternFill>
      </fill>
    </dxf>
    <dxf>
      <fill>
        <patternFill>
          <bgColor rgb="FFF9CBAD"/>
        </patternFill>
      </fill>
    </dxf>
    <dxf>
      <font>
        <color rgb="FF505F69"/>
      </font>
      <fill>
        <patternFill>
          <bgColor rgb="FF505F69"/>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0E223A"/>
      </font>
      <fill>
        <patternFill>
          <bgColor rgb="FFFFBE2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theme="1"/>
      </font>
      <fill>
        <patternFill>
          <bgColor rgb="FFEFFDE3"/>
        </patternFill>
      </fill>
    </dxf>
    <dxf>
      <font>
        <color rgb="FF50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rgb="FF4F5F69"/>
      </font>
      <fill>
        <patternFill>
          <bgColor rgb="FF505F69"/>
        </patternFill>
      </fill>
    </dxf>
    <dxf>
      <font>
        <color theme="1"/>
      </font>
      <fill>
        <patternFill>
          <bgColor rgb="FFEFFDE3"/>
        </patternFill>
      </fill>
    </dxf>
    <dxf>
      <font>
        <color rgb="FFF9CBAD"/>
      </font>
      <fill>
        <patternFill>
          <bgColor rgb="FFF9CBAD"/>
        </patternFill>
      </fill>
    </dxf>
    <dxf>
      <font>
        <color rgb="FF505F69"/>
      </font>
      <fill>
        <patternFill>
          <bgColor rgb="FF505F69"/>
        </patternFill>
      </fill>
    </dxf>
    <dxf>
      <fill>
        <patternFill>
          <bgColor theme="5" tint="0.59996337778862885"/>
        </patternFill>
      </fill>
    </dxf>
    <dxf>
      <font>
        <color rgb="FF006100"/>
      </font>
      <fill>
        <patternFill>
          <bgColor rgb="FFC6EFCE"/>
        </patternFill>
      </fill>
    </dxf>
    <dxf>
      <font>
        <color theme="1"/>
      </font>
      <fill>
        <patternFill>
          <bgColor theme="1" tint="0.24994659260841701"/>
        </patternFill>
      </fill>
    </dxf>
    <dxf>
      <font>
        <color theme="1"/>
      </font>
      <fill>
        <patternFill>
          <bgColor theme="1" tint="0.24994659260841701"/>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F9CBAD"/>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EFFDE3"/>
        </patternFill>
      </fill>
    </dxf>
    <dxf>
      <font>
        <color theme="0"/>
      </font>
      <fill>
        <patternFill>
          <bgColor rgb="FF5060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rgb="FFF9CBAD"/>
        </patternFill>
      </fill>
    </dxf>
    <dxf>
      <font>
        <color theme="1"/>
      </font>
      <fill>
        <patternFill>
          <bgColor rgb="FFEFFDE3"/>
        </patternFill>
      </fill>
    </dxf>
    <dxf>
      <font>
        <color theme="1"/>
      </font>
      <fill>
        <patternFill>
          <bgColor rgb="FFFFBE29"/>
        </patternFill>
      </fill>
    </dxf>
    <dxf>
      <font>
        <color rgb="FF505F69"/>
      </font>
      <fill>
        <patternFill>
          <bgColor rgb="FF505F69"/>
        </patternFill>
      </fill>
    </dxf>
    <dxf>
      <font>
        <color rgb="FF505F69"/>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ill>
        <patternFill>
          <bgColor theme="1" tint="0.24994659260841701"/>
        </patternFill>
      </fill>
    </dxf>
    <dxf>
      <font>
        <color rgb="FF006100"/>
      </font>
      <fill>
        <patternFill>
          <bgColor rgb="FFC6EFCE"/>
        </patternFill>
      </fill>
    </dxf>
    <dxf>
      <font>
        <color rgb="FF9C0006"/>
      </font>
      <fill>
        <patternFill>
          <bgColor rgb="FFFFC7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rgb="FF006100"/>
      </font>
      <fill>
        <patternFill>
          <bgColor rgb="FFC6EFCE"/>
        </patternFill>
      </fill>
    </dxf>
    <dxf>
      <fill>
        <patternFill>
          <bgColor theme="1" tint="0.24994659260841701"/>
        </patternFill>
      </fill>
    </dxf>
    <dxf>
      <fill>
        <patternFill>
          <bgColor theme="1" tint="0.24994659260841701"/>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color rgb="FF505E69"/>
      </font>
      <fill>
        <patternFill>
          <bgColor rgb="FF505E69"/>
        </patternFill>
      </fill>
    </dxf>
    <dxf>
      <font>
        <color rgb="FF0E223A"/>
      </font>
      <fill>
        <patternFill>
          <bgColor rgb="FFFFBE29"/>
        </patternFill>
      </fill>
    </dxf>
    <dxf>
      <font>
        <color theme="1"/>
      </font>
      <fill>
        <patternFill>
          <bgColor rgb="FFEFFDE3"/>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505E69"/>
      </font>
      <fill>
        <patternFill>
          <bgColor rgb="FF505E69"/>
        </patternFill>
      </fill>
    </dxf>
    <dxf>
      <font>
        <color rgb="FF0E223A"/>
      </font>
      <fill>
        <patternFill>
          <bgColor rgb="FFFFBE2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ill>
        <patternFill>
          <bgColor theme="1" tint="0.24994659260841701"/>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ill>
        <patternFill>
          <bgColor theme="1" tint="0.24994659260841701"/>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rgb="FF006100"/>
      </font>
      <fill>
        <patternFill>
          <bgColor rgb="FFC6EFCE"/>
        </patternFill>
      </fill>
    </dxf>
    <dxf>
      <font>
        <color rgb="FF9C0006"/>
      </font>
      <fill>
        <patternFill>
          <bgColor rgb="FFFFC7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505E69"/>
      </font>
      <fill>
        <patternFill>
          <bgColor rgb="FF505E69"/>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0"/>
      </font>
      <fill>
        <patternFill>
          <bgColor rgb="FFCC092F"/>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ill>
        <patternFill>
          <bgColor theme="1" tint="0.24994659260841701"/>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theme="1"/>
      </font>
      <fill>
        <patternFill>
          <bgColor rgb="FFEFFDE3"/>
        </patternFill>
      </fill>
    </dxf>
    <dxf>
      <font>
        <color theme="0"/>
      </font>
      <fill>
        <patternFill>
          <bgColor rgb="FF4F5F69"/>
        </patternFill>
      </fill>
    </dxf>
    <dxf>
      <font>
        <color theme="1"/>
      </font>
      <fill>
        <patternFill>
          <bgColor rgb="FFFFBE29"/>
        </patternFill>
      </fill>
    </dxf>
    <dxf>
      <font>
        <color rgb="FF0E223A"/>
      </font>
      <fill>
        <patternFill>
          <bgColor rgb="FFFFBE29"/>
        </patternFill>
      </fill>
    </dxf>
    <dxf>
      <font>
        <color theme="0"/>
      </font>
      <fill>
        <patternFill>
          <bgColor rgb="FFCC092F"/>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theme="1"/>
      </font>
      <fill>
        <patternFill>
          <bgColor rgb="FFF9CBAD"/>
        </patternFill>
      </fill>
    </dxf>
    <dxf>
      <font>
        <color rgb="FF9C0006"/>
      </font>
      <fill>
        <patternFill>
          <bgColor rgb="FFFFC7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06100"/>
      </font>
      <fill>
        <patternFill>
          <bgColor rgb="FFC6EFCE"/>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ill>
        <patternFill>
          <bgColor rgb="FFF8CBAD"/>
        </patternFill>
      </fill>
    </dxf>
    <dxf>
      <font>
        <color rgb="FF006100"/>
      </font>
      <fill>
        <patternFill>
          <bgColor rgb="FFC6EFCE"/>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1"/>
      </font>
      <fill>
        <patternFill>
          <bgColor rgb="FFFFBD2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1" tint="0.24994659260841701"/>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theme="1"/>
      </font>
      <fill>
        <patternFill>
          <bgColor rgb="FFEFFDE3"/>
        </patternFill>
      </fill>
    </dxf>
    <dxf>
      <font>
        <color theme="0"/>
      </font>
      <fill>
        <patternFill>
          <bgColor rgb="FF506069"/>
        </patternFill>
      </fill>
    </dxf>
    <dxf>
      <font>
        <color theme="1"/>
      </font>
      <fill>
        <patternFill>
          <bgColor rgb="FFFFBD29"/>
        </patternFill>
      </fill>
    </dxf>
    <dxf>
      <font>
        <color theme="0"/>
      </font>
      <fill>
        <patternFill>
          <bgColor rgb="FF506069"/>
        </patternFill>
      </fill>
    </dxf>
    <dxf>
      <font>
        <color theme="1"/>
      </font>
      <fill>
        <patternFill>
          <bgColor rgb="FFEFFDE3"/>
        </patternFill>
      </fill>
    </dxf>
    <dxf>
      <font>
        <color theme="1"/>
      </font>
      <fill>
        <patternFill>
          <bgColor rgb="FFEFFDE3"/>
        </patternFill>
      </fill>
    </dxf>
    <dxf>
      <font>
        <color theme="0"/>
      </font>
      <fill>
        <patternFill>
          <bgColor rgb="FF4F5F69"/>
        </patternFill>
      </fill>
    </dxf>
    <dxf>
      <font>
        <color theme="1"/>
      </font>
      <fill>
        <patternFill>
          <bgColor rgb="FFFFBE29"/>
        </patternFill>
      </fill>
    </dxf>
    <dxf>
      <font>
        <color theme="1"/>
      </font>
      <fill>
        <patternFill>
          <bgColor rgb="FFEFFDE3"/>
        </patternFill>
      </fill>
    </dxf>
    <dxf>
      <font>
        <color theme="0"/>
      </font>
      <fill>
        <patternFill>
          <bgColor rgb="FF4F5F69"/>
        </patternFill>
      </fill>
    </dxf>
    <dxf>
      <font>
        <color theme="1"/>
      </font>
      <fill>
        <patternFill>
          <bgColor rgb="FFFFBE2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505F69"/>
      </font>
      <fill>
        <patternFill>
          <bgColor rgb="FF505F69"/>
        </patternFill>
      </fill>
    </dxf>
    <dxf>
      <font>
        <color theme="1"/>
      </font>
      <fill>
        <patternFill>
          <bgColor rgb="FFEFFDE3"/>
        </patternFill>
      </fill>
    </dxf>
    <dxf>
      <fill>
        <patternFill>
          <bgColor theme="5" tint="0.59996337778862885"/>
        </patternFill>
      </fill>
    </dxf>
    <dxf>
      <font>
        <color rgb="FF506069"/>
      </font>
      <fill>
        <patternFill>
          <bgColor rgb="FF506069"/>
        </patternFill>
      </fill>
    </dxf>
    <dxf>
      <font>
        <color rgb="FF4F5F69"/>
      </font>
      <fill>
        <patternFill>
          <bgColor rgb="FF4F5F69"/>
        </patternFill>
      </fill>
    </dxf>
    <dxf>
      <font>
        <color rgb="FF505E69"/>
      </font>
      <fill>
        <patternFill>
          <bgColor rgb="FF505E69"/>
        </patternFill>
      </fill>
    </dxf>
    <dxf>
      <font>
        <color rgb="FF505F69"/>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theme="1"/>
      </font>
      <fill>
        <patternFill>
          <bgColor theme="1" tint="0.24994659260841701"/>
        </patternFill>
      </fill>
    </dxf>
    <dxf>
      <font>
        <color theme="1"/>
      </font>
      <fill>
        <patternFill>
          <bgColor theme="1" tint="0.24994659260841701"/>
        </patternFill>
      </fill>
    </dxf>
    <dxf>
      <fill>
        <patternFill>
          <bgColor theme="5" tint="0.59996337778862885"/>
        </patternFill>
      </fill>
    </dxf>
    <dxf>
      <fill>
        <patternFill>
          <bgColor theme="5" tint="0.59996337778862885"/>
        </patternFill>
      </fill>
    </dxf>
    <dxf>
      <font>
        <color rgb="FF506069"/>
      </font>
      <fill>
        <patternFill>
          <bgColor rgb="FF506069"/>
        </patternFill>
      </fill>
    </dxf>
    <dxf>
      <fill>
        <patternFill>
          <bgColor theme="5" tint="0.59996337778862885"/>
        </patternFill>
      </fill>
    </dxf>
    <dxf>
      <font>
        <color theme="1"/>
      </font>
      <fill>
        <patternFill>
          <bgColor rgb="FFEFFDE3"/>
        </patternFill>
      </fill>
    </dxf>
    <dxf>
      <font>
        <color theme="1"/>
      </font>
      <fill>
        <patternFill>
          <bgColor theme="1" tint="0.24994659260841701"/>
        </patternFill>
      </fill>
    </dxf>
    <dxf>
      <font>
        <color theme="1"/>
      </font>
      <fill>
        <patternFill>
          <bgColor theme="1" tint="0.24994659260841701"/>
        </patternFill>
      </fill>
    </dxf>
    <dxf>
      <font>
        <color theme="1"/>
      </font>
      <fill>
        <patternFill>
          <bgColor theme="1" tint="0.24994659260841701"/>
        </patternFill>
      </fill>
    </dxf>
    <dxf>
      <fill>
        <patternFill>
          <bgColor theme="1" tint="0.24994659260841701"/>
        </patternFill>
      </fill>
    </dxf>
    <dxf>
      <font>
        <color theme="1"/>
      </font>
      <fill>
        <patternFill>
          <bgColor theme="1" tint="0.24994659260841701"/>
        </patternFill>
      </fill>
    </dxf>
    <dxf>
      <font>
        <color theme="0"/>
      </font>
      <fill>
        <patternFill>
          <bgColor rgb="FF506069"/>
        </patternFill>
      </fill>
    </dxf>
    <dxf>
      <font>
        <color theme="0"/>
      </font>
      <fill>
        <patternFill>
          <bgColor rgb="FFCC092F"/>
        </patternFill>
      </fill>
    </dxf>
    <dxf>
      <font>
        <color theme="1"/>
      </font>
      <fill>
        <patternFill>
          <bgColor rgb="FFFFBE29"/>
        </patternFill>
      </fill>
    </dxf>
    <dxf>
      <font>
        <color theme="1"/>
      </font>
      <fill>
        <patternFill>
          <bgColor rgb="FFFFBE29"/>
        </patternFill>
      </fill>
    </dxf>
    <dxf>
      <font>
        <color theme="1"/>
      </font>
      <fill>
        <patternFill>
          <bgColor rgb="FFFFBE29"/>
        </patternFill>
      </fill>
    </dxf>
    <dxf>
      <font>
        <color rgb="FF0E223A"/>
      </font>
      <fill>
        <patternFill>
          <bgColor rgb="FFFFBE2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auto="1"/>
      </font>
      <fill>
        <patternFill>
          <bgColor rgb="FFF9CBAD"/>
        </patternFill>
      </fill>
    </dxf>
    <dxf>
      <font>
        <color theme="1"/>
      </font>
      <fill>
        <patternFill>
          <bgColor rgb="FFEFFDE3"/>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theme="1"/>
      </font>
      <fill>
        <patternFill>
          <bgColor rgb="FFEFFDE3"/>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theme="1"/>
      </font>
      <fill>
        <patternFill>
          <bgColor rgb="FFEFFEE3"/>
        </patternFill>
      </fill>
    </dxf>
    <dxf>
      <font>
        <color theme="1"/>
      </font>
      <fill>
        <patternFill>
          <bgColor rgb="FFFFBE29"/>
        </patternFill>
      </fill>
    </dxf>
    <dxf>
      <font>
        <color theme="1"/>
      </font>
      <fill>
        <patternFill>
          <bgColor rgb="FFEFFDE3"/>
        </patternFill>
      </fill>
    </dxf>
    <dxf>
      <font>
        <color theme="0"/>
      </font>
      <fill>
        <patternFill>
          <bgColor rgb="FF506069"/>
        </patternFill>
      </fill>
    </dxf>
    <dxf>
      <fill>
        <patternFill>
          <bgColor rgb="FFEFFDE3"/>
        </patternFill>
      </fill>
    </dxf>
    <dxf>
      <font>
        <color theme="1"/>
      </font>
      <fill>
        <patternFill>
          <bgColor rgb="FFEFFDE3"/>
        </patternFill>
      </fill>
    </dxf>
    <dxf>
      <font>
        <color theme="0"/>
      </font>
      <fill>
        <patternFill>
          <bgColor rgb="FF4F5F69"/>
        </patternFill>
      </fill>
    </dxf>
    <dxf>
      <font>
        <color theme="0"/>
      </font>
      <fill>
        <patternFill>
          <bgColor rgb="FF505F69"/>
        </patternFill>
      </fill>
    </dxf>
    <dxf>
      <font>
        <color theme="0"/>
      </font>
      <fill>
        <patternFill>
          <bgColor rgb="FF505F69"/>
        </patternFill>
      </fill>
    </dxf>
    <dxf>
      <font>
        <color theme="0"/>
      </font>
      <fill>
        <patternFill>
          <bgColor rgb="FFCC092F"/>
        </patternFill>
      </fill>
    </dxf>
    <dxf>
      <font>
        <color theme="0"/>
      </font>
      <fill>
        <patternFill>
          <bgColor rgb="FFCC082E"/>
        </patternFill>
      </fill>
    </dxf>
    <dxf>
      <font>
        <color rgb="FFF2F8F9"/>
      </font>
      <fill>
        <patternFill>
          <bgColor rgb="FF505F69"/>
        </patternFill>
      </fill>
    </dxf>
    <dxf>
      <font>
        <color theme="0"/>
      </font>
      <fill>
        <patternFill>
          <bgColor rgb="FF505F69"/>
        </patternFill>
      </fill>
    </dxf>
    <dxf>
      <font>
        <color theme="1"/>
      </font>
      <fill>
        <patternFill>
          <bgColor rgb="FFEFFDE3"/>
        </patternFill>
      </fill>
    </dxf>
    <dxf>
      <font>
        <color theme="0"/>
      </font>
      <fill>
        <patternFill>
          <bgColor rgb="FF4F5F69"/>
        </patternFill>
      </fill>
    </dxf>
    <dxf>
      <font>
        <color theme="0"/>
      </font>
      <fill>
        <patternFill>
          <bgColor rgb="FFC00000"/>
        </patternFill>
      </fill>
    </dxf>
    <dxf>
      <font>
        <color theme="0"/>
      </font>
      <fill>
        <patternFill>
          <bgColor rgb="FF505F69"/>
        </patternFill>
      </fill>
    </dxf>
    <dxf>
      <font>
        <color theme="1"/>
      </font>
      <fill>
        <patternFill>
          <bgColor rgb="FFF9CBAD"/>
        </patternFill>
      </fill>
    </dxf>
    <dxf>
      <font>
        <color theme="0"/>
      </font>
      <fill>
        <patternFill>
          <bgColor rgb="FFCC082E"/>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1"/>
      </font>
      <fill>
        <patternFill>
          <bgColor rgb="FFF9CBAD"/>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rgb="FF505F69"/>
      </font>
      <fill>
        <patternFill>
          <bgColor rgb="FF505F69"/>
        </patternFill>
      </fill>
    </dxf>
    <dxf>
      <font>
        <color theme="0"/>
      </font>
      <fill>
        <patternFill>
          <bgColor rgb="FFC00000"/>
        </patternFill>
      </fill>
    </dxf>
    <dxf>
      <font>
        <color theme="1"/>
      </font>
      <fill>
        <patternFill>
          <bgColor rgb="FFFFBE29"/>
        </patternFill>
      </fill>
    </dxf>
    <dxf>
      <font>
        <color theme="1"/>
      </font>
      <fill>
        <patternFill>
          <bgColor rgb="FFFFBE29"/>
        </patternFill>
      </fill>
    </dxf>
    <dxf>
      <font>
        <color theme="1"/>
      </font>
      <fill>
        <patternFill>
          <bgColor rgb="FFEFFDE3"/>
        </patternFill>
      </fill>
    </dxf>
    <dxf>
      <font>
        <color theme="0"/>
      </font>
      <fill>
        <patternFill>
          <bgColor rgb="FFCC092F"/>
        </patternFill>
      </fill>
    </dxf>
    <dxf>
      <font>
        <color theme="0"/>
      </font>
      <fill>
        <patternFill>
          <bgColor rgb="FF506069"/>
        </patternFill>
      </fill>
    </dxf>
    <dxf>
      <fill>
        <patternFill>
          <bgColor rgb="FFEFFDE3"/>
        </patternFill>
      </fill>
    </dxf>
    <dxf>
      <font>
        <color theme="0"/>
      </font>
      <fill>
        <patternFill>
          <bgColor rgb="FFCC092F"/>
        </patternFill>
      </fill>
    </dxf>
    <dxf>
      <font>
        <color theme="1"/>
      </font>
      <fill>
        <patternFill>
          <bgColor rgb="FFEFFDE3"/>
        </patternFill>
      </fill>
    </dxf>
    <dxf>
      <font>
        <color theme="0"/>
      </font>
      <fill>
        <patternFill>
          <bgColor rgb="FF506069"/>
        </patternFill>
      </fill>
    </dxf>
    <dxf>
      <fill>
        <patternFill>
          <bgColor rgb="FFEFFDE3"/>
        </patternFill>
      </fill>
    </dxf>
    <dxf>
      <font>
        <color theme="0"/>
      </font>
      <fill>
        <patternFill>
          <bgColor rgb="FF506069"/>
        </patternFill>
      </fill>
    </dxf>
    <dxf>
      <fill>
        <patternFill>
          <bgColor rgb="FFEFFDE3"/>
        </patternFill>
      </fill>
    </dxf>
    <dxf>
      <font>
        <color theme="0"/>
      </font>
      <fill>
        <patternFill>
          <bgColor rgb="FFCC092F"/>
        </patternFill>
      </fill>
    </dxf>
    <dxf>
      <font>
        <color theme="0"/>
      </font>
      <fill>
        <patternFill>
          <bgColor rgb="FF4F5F69"/>
        </patternFill>
      </fill>
    </dxf>
    <dxf>
      <font>
        <color theme="0"/>
      </font>
      <fill>
        <patternFill>
          <bgColor rgb="FF506069"/>
        </patternFill>
      </fill>
    </dxf>
    <dxf>
      <font>
        <color theme="0"/>
      </font>
      <fill>
        <patternFill>
          <bgColor rgb="FFC00000"/>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6069"/>
      </font>
      <fill>
        <patternFill>
          <bgColor rgb="FF506069"/>
        </patternFill>
      </fill>
    </dxf>
    <dxf>
      <font>
        <color rgb="FF506069"/>
      </font>
      <fill>
        <patternFill>
          <bgColor rgb="FF506069"/>
        </patternFill>
      </fill>
    </dxf>
    <dxf>
      <font>
        <color rgb="FF4F5F69"/>
      </font>
      <fill>
        <patternFill>
          <bgColor rgb="FF4F5F69"/>
        </patternFill>
      </fill>
    </dxf>
    <dxf>
      <fill>
        <patternFill>
          <bgColor rgb="FFEFFEE3"/>
        </patternFill>
      </fill>
    </dxf>
    <dxf>
      <fill>
        <patternFill>
          <bgColor rgb="FFFFBE29"/>
        </patternFill>
      </fill>
    </dxf>
    <dxf>
      <fill>
        <patternFill>
          <bgColor rgb="FFF9CBAD"/>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6069"/>
      </font>
      <fill>
        <patternFill>
          <bgColor rgb="FF506069"/>
        </patternFill>
      </fill>
    </dxf>
    <dxf>
      <font>
        <color rgb="FF505F69"/>
      </font>
      <fill>
        <patternFill>
          <bgColor rgb="FF505F69"/>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506069"/>
      </font>
      <fill>
        <patternFill>
          <bgColor rgb="FF506069"/>
        </patternFill>
      </fill>
    </dxf>
    <dxf>
      <font>
        <color rgb="FF506069"/>
      </font>
      <fill>
        <patternFill>
          <bgColor rgb="FF4F5F69"/>
        </patternFill>
      </fill>
    </dxf>
    <dxf>
      <font>
        <color rgb="FF505F69"/>
      </font>
      <fill>
        <patternFill>
          <bgColor rgb="FF505F69"/>
        </patternFill>
      </fill>
    </dxf>
    <dxf>
      <font>
        <color rgb="FF506069"/>
      </font>
      <fill>
        <patternFill>
          <bgColor rgb="FF506069"/>
        </patternFill>
      </fill>
    </dxf>
    <dxf>
      <font>
        <color rgb="FF506069"/>
      </font>
      <fill>
        <patternFill>
          <bgColor rgb="FF4F5F69"/>
        </patternFill>
      </fill>
    </dxf>
    <dxf>
      <font>
        <color rgb="FF505E69"/>
      </font>
      <fill>
        <patternFill>
          <bgColor rgb="FF505E69"/>
        </patternFill>
      </fill>
    </dxf>
    <dxf>
      <font>
        <color rgb="FF506069"/>
      </font>
      <fill>
        <patternFill>
          <bgColor rgb="FF4F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theme="1"/>
      </font>
      <fill>
        <patternFill>
          <bgColor rgb="FFEFFDE3"/>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4F5F69"/>
      </font>
      <fill>
        <patternFill>
          <bgColor rgb="FF4F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rgb="FF4F5F69"/>
      </font>
      <fill>
        <patternFill>
          <bgColor rgb="FF506069"/>
        </patternFill>
      </fill>
    </dxf>
    <dxf>
      <font>
        <color rgb="FF4F5F69"/>
      </font>
      <fill>
        <patternFill>
          <bgColor rgb="FF506069"/>
        </patternFill>
      </fill>
    </dxf>
    <dxf>
      <font>
        <color rgb="FF505F69"/>
      </font>
      <fill>
        <patternFill>
          <bgColor rgb="FF505F69"/>
        </patternFill>
      </fill>
    </dxf>
    <dxf>
      <fill>
        <patternFill>
          <bgColor rgb="FFEFFDE3"/>
        </patternFill>
      </fill>
    </dxf>
    <dxf>
      <font>
        <color theme="0"/>
      </font>
      <fill>
        <patternFill>
          <bgColor rgb="FFCC092F"/>
        </patternFill>
      </fill>
    </dxf>
    <dxf>
      <font>
        <color theme="0"/>
      </font>
      <fill>
        <patternFill>
          <bgColor rgb="FF505F69"/>
        </patternFill>
      </fill>
    </dxf>
    <dxf>
      <font>
        <color rgb="FF505F69"/>
      </font>
      <fill>
        <patternFill>
          <bgColor rgb="FF5060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505F6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ill>
        <patternFill>
          <bgColor rgb="FFF9CBAD"/>
        </patternFill>
      </fill>
    </dxf>
    <dxf>
      <fill>
        <patternFill>
          <bgColor rgb="FFEFFEE3"/>
        </patternFill>
      </fill>
    </dxf>
    <dxf>
      <fill>
        <patternFill>
          <bgColor rgb="FFFFBE29"/>
        </patternFill>
      </fill>
    </dxf>
    <dxf>
      <fill>
        <patternFill>
          <bgColor rgb="FFEFFDE3"/>
        </patternFill>
      </fill>
    </dxf>
    <dxf>
      <font>
        <color theme="0"/>
      </font>
      <fill>
        <patternFill>
          <bgColor rgb="FFCC092F"/>
        </patternFill>
      </fill>
    </dxf>
    <dxf>
      <font>
        <color theme="0"/>
      </font>
      <fill>
        <patternFill>
          <bgColor rgb="FF506069"/>
        </patternFill>
      </fill>
    </dxf>
    <dxf>
      <font>
        <color theme="0"/>
      </font>
      <fill>
        <patternFill>
          <bgColor rgb="FFCC092F"/>
        </patternFill>
      </fill>
    </dxf>
    <dxf>
      <font>
        <color theme="0"/>
      </font>
      <fill>
        <patternFill>
          <bgColor rgb="FFCC092F"/>
        </patternFill>
      </fill>
    </dxf>
    <dxf>
      <font>
        <color theme="1"/>
      </font>
      <fill>
        <patternFill>
          <bgColor rgb="FFEFFDE3"/>
        </patternFill>
      </fill>
    </dxf>
    <dxf>
      <font>
        <color theme="0"/>
      </font>
      <fill>
        <patternFill>
          <bgColor rgb="FF506069"/>
        </patternFill>
      </fill>
    </dxf>
    <dxf>
      <font>
        <color theme="0"/>
      </font>
      <fill>
        <patternFill>
          <bgColor rgb="FFC00000"/>
        </patternFill>
      </fill>
    </dxf>
    <dxf>
      <font>
        <color theme="1"/>
      </font>
      <fill>
        <patternFill>
          <bgColor rgb="FFEFFEE3"/>
        </patternFill>
      </fill>
    </dxf>
    <dxf>
      <font>
        <color theme="0"/>
      </font>
      <fill>
        <patternFill>
          <bgColor rgb="FF4F5F69"/>
        </patternFill>
      </fill>
    </dxf>
    <dxf>
      <font>
        <color theme="0"/>
      </font>
      <fill>
        <patternFill>
          <bgColor rgb="FFCC082E"/>
        </patternFill>
      </fill>
    </dxf>
    <dxf>
      <font>
        <color theme="0"/>
      </font>
      <fill>
        <patternFill>
          <bgColor rgb="FFCC082E"/>
        </patternFill>
      </fill>
    </dxf>
    <dxf>
      <font>
        <color theme="0"/>
      </font>
      <fill>
        <patternFill>
          <bgColor rgb="FF506069"/>
        </patternFill>
      </fill>
    </dxf>
    <dxf>
      <font>
        <color theme="0"/>
      </font>
      <fill>
        <patternFill>
          <bgColor rgb="FFCC092F"/>
        </patternFill>
      </fill>
    </dxf>
    <dxf>
      <fill>
        <patternFill>
          <bgColor rgb="FFEFFDE3"/>
        </patternFill>
      </fill>
    </dxf>
    <dxf>
      <fill>
        <patternFill>
          <bgColor rgb="FFEFFDE3"/>
        </patternFill>
      </fill>
    </dxf>
    <dxf>
      <font>
        <color theme="0"/>
      </font>
      <fill>
        <patternFill>
          <bgColor rgb="FF4F5F69"/>
        </patternFill>
      </fill>
    </dxf>
    <dxf>
      <font>
        <color theme="0"/>
      </font>
      <fill>
        <patternFill>
          <bgColor rgb="FFCC092F"/>
        </patternFill>
      </fill>
    </dxf>
    <dxf>
      <font>
        <color theme="0"/>
      </font>
      <fill>
        <patternFill>
          <bgColor rgb="FF506069"/>
        </patternFill>
      </fill>
    </dxf>
    <dxf>
      <font>
        <color theme="1"/>
      </font>
      <fill>
        <patternFill>
          <bgColor theme="1" tint="0.24994659260841701"/>
        </patternFill>
      </fill>
    </dxf>
    <dxf>
      <font>
        <color theme="1"/>
      </font>
      <fill>
        <patternFill>
          <bgColor rgb="FFFFBE29"/>
        </patternFill>
      </fill>
    </dxf>
    <dxf>
      <font>
        <color theme="0"/>
      </font>
      <fill>
        <patternFill>
          <bgColor rgb="FFCC092F"/>
        </patternFill>
      </fill>
    </dxf>
    <dxf>
      <font>
        <color theme="0"/>
      </font>
      <fill>
        <patternFill>
          <bgColor rgb="FF506069"/>
        </patternFill>
      </fill>
    </dxf>
    <dxf>
      <font>
        <color theme="1"/>
      </font>
      <fill>
        <patternFill>
          <bgColor rgb="FFFFBE29"/>
        </patternFill>
      </fill>
    </dxf>
    <dxf>
      <fill>
        <patternFill>
          <bgColor rgb="FFFFBE29"/>
        </patternFill>
      </fill>
    </dxf>
    <dxf>
      <font>
        <color theme="1"/>
      </font>
      <fill>
        <patternFill>
          <bgColor rgb="FFFFBE29"/>
        </patternFill>
      </fill>
    </dxf>
    <dxf>
      <font>
        <color rgb="FFF2F8F9"/>
      </font>
      <fill>
        <patternFill>
          <bgColor rgb="FFC00000"/>
        </patternFill>
      </fill>
    </dxf>
    <dxf>
      <font>
        <color theme="1"/>
      </font>
      <fill>
        <patternFill>
          <bgColor rgb="FFFFBE29"/>
        </patternFill>
      </fill>
    </dxf>
    <dxf>
      <fill>
        <patternFill>
          <bgColor rgb="FFEFFDE3"/>
        </patternFill>
      </fill>
    </dxf>
    <dxf>
      <fill>
        <patternFill>
          <bgColor rgb="FFFFBE29"/>
        </patternFill>
      </fill>
    </dxf>
    <dxf>
      <fill>
        <patternFill>
          <bgColor rgb="FFF9CBAD"/>
        </patternFill>
      </fill>
    </dxf>
    <dxf>
      <font>
        <color theme="1"/>
      </font>
      <fill>
        <patternFill>
          <bgColor rgb="FFF9CBAD"/>
        </patternFill>
      </fill>
    </dxf>
    <dxf>
      <font>
        <color rgb="FF0E223A"/>
      </font>
      <fill>
        <patternFill>
          <bgColor rgb="FFFFBE29"/>
        </patternFill>
      </fill>
    </dxf>
    <dxf>
      <font>
        <color rgb="FF506069"/>
      </font>
      <fill>
        <patternFill>
          <bgColor rgb="FF506069"/>
        </patternFill>
      </fill>
    </dxf>
    <dxf>
      <font>
        <color theme="1"/>
      </font>
      <fill>
        <patternFill>
          <bgColor rgb="FFEFFDE3"/>
        </patternFill>
      </fill>
    </dxf>
    <dxf>
      <font>
        <color rgb="FF505E69"/>
      </font>
      <fill>
        <patternFill>
          <bgColor rgb="FF505E69"/>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theme="1"/>
      </font>
      <fill>
        <patternFill>
          <bgColor rgb="FFEFFDE3"/>
        </patternFill>
      </fill>
    </dxf>
    <dxf>
      <fill>
        <patternFill>
          <bgColor theme="5" tint="0.59996337778862885"/>
        </patternFill>
      </fill>
    </dxf>
    <dxf>
      <font>
        <color theme="1"/>
      </font>
      <fill>
        <patternFill>
          <bgColor rgb="FFFFBE29"/>
        </patternFill>
      </fill>
    </dxf>
    <dxf>
      <font>
        <color rgb="FF505F69"/>
      </font>
      <fill>
        <patternFill>
          <bgColor rgb="FF505F69"/>
        </patternFill>
      </fill>
    </dxf>
    <dxf>
      <font>
        <color theme="1"/>
      </font>
      <fill>
        <patternFill>
          <bgColor rgb="FFEFFDE3"/>
        </patternFill>
      </fill>
    </dxf>
    <dxf>
      <font>
        <color theme="1"/>
      </font>
      <fill>
        <patternFill>
          <bgColor rgb="FFFFBE29"/>
        </patternFill>
      </fill>
    </dxf>
    <dxf>
      <font>
        <color theme="1"/>
      </font>
      <fill>
        <patternFill>
          <bgColor rgb="FFF9CBAD"/>
        </patternFill>
      </fill>
    </dxf>
    <dxf>
      <font>
        <color rgb="FF4F5F69"/>
      </font>
      <fill>
        <patternFill>
          <bgColor rgb="FF4F5F69"/>
        </patternFill>
      </fill>
    </dxf>
    <dxf>
      <font>
        <color rgb="FF505E69"/>
      </font>
      <fill>
        <patternFill>
          <bgColor rgb="FF505E69"/>
        </patternFill>
      </fill>
    </dxf>
    <dxf>
      <font>
        <color rgb="FF4F5F69"/>
      </font>
      <fill>
        <patternFill>
          <bgColor rgb="FF4F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6069"/>
      </font>
      <fill>
        <patternFill>
          <bgColor rgb="FF5060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6069"/>
      </font>
      <fill>
        <patternFill>
          <bgColor rgb="FF506069"/>
        </patternFill>
      </fill>
    </dxf>
    <dxf>
      <font>
        <color rgb="FF505F69"/>
      </font>
      <fill>
        <patternFill>
          <bgColor rgb="FF505F69"/>
        </patternFill>
      </fill>
    </dxf>
    <dxf>
      <font>
        <color rgb="FF506069"/>
      </font>
      <fill>
        <patternFill>
          <bgColor rgb="FF5060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ill>
        <patternFill>
          <bgColor rgb="FFEFFDE3"/>
        </patternFill>
      </fill>
    </dxf>
    <dxf>
      <fill>
        <patternFill>
          <bgColor rgb="FFFFBE29"/>
        </patternFill>
      </fill>
    </dxf>
    <dxf>
      <fill>
        <patternFill>
          <bgColor rgb="FFF9CBAD"/>
        </patternFill>
      </fill>
    </dxf>
    <dxf>
      <font>
        <color rgb="FF506069"/>
      </font>
      <fill>
        <patternFill>
          <bgColor rgb="FF506069"/>
        </patternFill>
      </fill>
    </dxf>
    <dxf>
      <font>
        <color rgb="FF4F5F69"/>
      </font>
      <fill>
        <patternFill>
          <bgColor rgb="FF4F5F69"/>
        </patternFill>
      </fill>
    </dxf>
    <dxf>
      <fill>
        <patternFill>
          <bgColor rgb="FFEFFDE3"/>
        </patternFill>
      </fill>
    </dxf>
    <dxf>
      <fill>
        <patternFill>
          <bgColor rgb="FFFFBE29"/>
        </patternFill>
      </fill>
    </dxf>
    <dxf>
      <fill>
        <patternFill>
          <bgColor rgb="FFF9CBAD"/>
        </patternFill>
      </fill>
    </dxf>
    <dxf>
      <font>
        <color rgb="FF506069"/>
      </font>
      <fill>
        <patternFill>
          <bgColor rgb="FF506069"/>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theme="1"/>
      </font>
      <fill>
        <patternFill>
          <bgColor rgb="FFFFBE29"/>
        </patternFill>
      </fill>
    </dxf>
    <dxf>
      <font>
        <color rgb="FF4F5F69"/>
      </font>
      <fill>
        <patternFill>
          <bgColor rgb="FF4F5F69"/>
        </patternFill>
      </fill>
    </dxf>
    <dxf>
      <fill>
        <patternFill>
          <bgColor rgb="FFEFFDE3"/>
        </patternFill>
      </fill>
    </dxf>
    <dxf>
      <fill>
        <patternFill>
          <bgColor rgb="FFFFBE29"/>
        </patternFill>
      </fill>
    </dxf>
    <dxf>
      <fill>
        <patternFill>
          <bgColor rgb="FFF9CBAD"/>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auto="1"/>
      </font>
      <fill>
        <patternFill>
          <bgColor rgb="FFF9CBAD"/>
        </patternFill>
      </fill>
    </dxf>
    <dxf>
      <font>
        <color theme="1"/>
      </font>
      <fill>
        <patternFill>
          <bgColor rgb="FFEFFDE3"/>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ill>
        <patternFill>
          <bgColor rgb="FFF9CBAD"/>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ill>
        <patternFill>
          <bgColor rgb="FFEFFDE3"/>
        </patternFill>
      </fill>
    </dxf>
    <dxf>
      <fill>
        <patternFill>
          <bgColor rgb="FFFFBE29"/>
        </patternFill>
      </fill>
    </dxf>
    <dxf>
      <fill>
        <patternFill>
          <bgColor rgb="FFF9CBAD"/>
        </patternFill>
      </fill>
    </dxf>
    <dxf>
      <font>
        <color rgb="FF4F5F69"/>
      </font>
      <fill>
        <patternFill>
          <bgColor rgb="FF4F5F69"/>
        </patternFill>
      </fill>
    </dxf>
    <dxf>
      <font>
        <color rgb="FF505F69"/>
      </font>
      <fill>
        <patternFill>
          <bgColor rgb="FF505F69"/>
        </patternFill>
      </fill>
    </dxf>
    <dxf>
      <font>
        <color rgb="FF506069"/>
      </font>
      <fill>
        <patternFill>
          <bgColor rgb="FF5060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theme="1"/>
      </font>
      <fill>
        <patternFill>
          <bgColor rgb="FFEFFEE3"/>
        </patternFill>
      </fill>
    </dxf>
    <dxf>
      <font>
        <color theme="1"/>
      </font>
      <fill>
        <patternFill>
          <bgColor rgb="FFFFBE29"/>
        </patternFill>
      </fill>
    </dxf>
    <dxf>
      <fill>
        <patternFill>
          <bgColor rgb="FFF9CBAD"/>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6069"/>
      </font>
      <fill>
        <patternFill>
          <bgColor rgb="FF506069"/>
        </patternFill>
      </fill>
    </dxf>
    <dxf>
      <font>
        <color rgb="FF4F5F69"/>
      </font>
      <fill>
        <patternFill>
          <bgColor rgb="FF4F5F69"/>
        </patternFill>
      </fill>
    </dxf>
    <dxf>
      <font>
        <color rgb="FF506069"/>
      </font>
      <fill>
        <patternFill>
          <bgColor rgb="FF506069"/>
        </patternFill>
      </fill>
    </dxf>
    <dxf>
      <font>
        <color rgb="FF506069"/>
      </font>
      <fill>
        <patternFill>
          <bgColor rgb="FF506069"/>
        </patternFill>
      </fill>
    </dxf>
    <dxf>
      <font>
        <color rgb="FF506069"/>
      </font>
      <fill>
        <patternFill>
          <bgColor rgb="FF4F5F69"/>
        </patternFill>
      </fill>
    </dxf>
    <dxf>
      <font>
        <color theme="1"/>
      </font>
      <fill>
        <patternFill>
          <bgColor rgb="FFEFFDE3"/>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6069"/>
      </font>
      <fill>
        <patternFill>
          <bgColor rgb="FF5060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6069"/>
      </font>
      <fill>
        <patternFill>
          <bgColor rgb="FF506069"/>
        </patternFill>
      </fill>
    </dxf>
    <dxf>
      <font>
        <color rgb="FF5060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ill>
        <patternFill>
          <bgColor rgb="FFEFFDE3"/>
        </patternFill>
      </fill>
    </dxf>
    <dxf>
      <fill>
        <patternFill>
          <bgColor rgb="FFFFBE29"/>
        </patternFill>
      </fill>
    </dxf>
    <dxf>
      <font>
        <color theme="0"/>
      </font>
      <fill>
        <patternFill>
          <bgColor rgb="FF506069"/>
        </patternFill>
      </fill>
    </dxf>
    <dxf>
      <fill>
        <patternFill>
          <bgColor rgb="FFEFFDE3"/>
        </patternFill>
      </fill>
    </dxf>
    <dxf>
      <font>
        <color theme="0"/>
      </font>
      <fill>
        <patternFill>
          <bgColor rgb="FF506069"/>
        </patternFill>
      </fill>
    </dxf>
    <dxf>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4F5F69"/>
        </patternFill>
      </fill>
    </dxf>
    <dxf>
      <font>
        <color theme="0"/>
      </font>
      <fill>
        <patternFill>
          <bgColor rgb="FF506069"/>
        </patternFill>
      </fill>
    </dxf>
    <dxf>
      <fill>
        <patternFill>
          <bgColor rgb="FFEFFDE3"/>
        </patternFill>
      </fill>
    </dxf>
    <dxf>
      <font>
        <color theme="0"/>
      </font>
      <fill>
        <patternFill>
          <bgColor rgb="FF506069"/>
        </patternFill>
      </fill>
    </dxf>
    <dxf>
      <fill>
        <patternFill>
          <bgColor rgb="FFEFFDE3"/>
        </patternFill>
      </fill>
    </dxf>
    <dxf>
      <font>
        <color theme="0"/>
      </font>
      <fill>
        <patternFill>
          <bgColor rgb="FF506069"/>
        </patternFill>
      </fill>
    </dxf>
    <dxf>
      <font>
        <color theme="1"/>
      </font>
      <fill>
        <patternFill>
          <bgColor rgb="FFFFBD29"/>
        </patternFill>
      </fill>
    </dxf>
    <dxf>
      <font>
        <color theme="0"/>
      </font>
      <fill>
        <patternFill>
          <bgColor rgb="FFC00000"/>
        </patternFill>
      </fill>
    </dxf>
    <dxf>
      <font>
        <color rgb="FF0E223A"/>
      </font>
      <fill>
        <patternFill>
          <bgColor rgb="FFEFFDE3"/>
        </patternFill>
      </fill>
    </dxf>
    <dxf>
      <font>
        <color theme="0"/>
      </font>
      <fill>
        <patternFill>
          <bgColor rgb="FF505F69"/>
        </patternFill>
      </fill>
    </dxf>
    <dxf>
      <font>
        <color theme="1"/>
      </font>
      <fill>
        <patternFill>
          <bgColor rgb="FFEFFDE3"/>
        </patternFill>
      </fill>
    </dxf>
    <dxf>
      <font>
        <color theme="0"/>
      </font>
      <fill>
        <patternFill>
          <bgColor rgb="FF4F5F69"/>
        </patternFill>
      </fill>
    </dxf>
    <dxf>
      <font>
        <color theme="0"/>
      </font>
      <fill>
        <patternFill>
          <bgColor rgb="FFCC092F"/>
        </patternFill>
      </fill>
    </dxf>
    <dxf>
      <font>
        <color theme="0"/>
      </font>
      <fill>
        <patternFill>
          <bgColor rgb="FF4F5F69"/>
        </patternFill>
      </fill>
    </dxf>
    <dxf>
      <font>
        <color theme="0"/>
      </font>
      <fill>
        <patternFill>
          <bgColor rgb="FF4F5F69"/>
        </patternFill>
      </fill>
    </dxf>
    <dxf>
      <font>
        <color theme="1"/>
      </font>
      <fill>
        <patternFill>
          <bgColor rgb="FFEFFDE3"/>
        </patternFill>
      </fill>
    </dxf>
    <dxf>
      <font>
        <color theme="0"/>
      </font>
      <fill>
        <patternFill>
          <bgColor rgb="FFCC092F"/>
        </patternFill>
      </fill>
    </dxf>
    <dxf>
      <font>
        <color theme="0"/>
      </font>
      <fill>
        <patternFill>
          <bgColor rgb="FF505F69"/>
        </patternFill>
      </fill>
    </dxf>
    <dxf>
      <font>
        <color theme="0"/>
      </font>
      <fill>
        <patternFill>
          <bgColor rgb="FF4F5F69"/>
        </patternFill>
      </fill>
    </dxf>
    <dxf>
      <font>
        <color theme="0"/>
      </font>
      <fill>
        <patternFill>
          <bgColor rgb="FFCC082E"/>
        </patternFill>
      </fill>
    </dxf>
    <dxf>
      <font>
        <color theme="0"/>
      </font>
      <fill>
        <patternFill>
          <bgColor rgb="FF505F69"/>
        </patternFill>
      </fill>
    </dxf>
    <dxf>
      <font>
        <color theme="0"/>
      </font>
      <fill>
        <patternFill>
          <bgColor rgb="FF4F5F69"/>
        </patternFill>
      </fill>
    </dxf>
    <dxf>
      <font>
        <color theme="1"/>
      </font>
      <fill>
        <patternFill>
          <bgColor rgb="FFEFFDE3"/>
        </patternFill>
      </fill>
    </dxf>
    <dxf>
      <font>
        <color theme="0"/>
      </font>
      <fill>
        <patternFill>
          <bgColor rgb="FFC00000"/>
        </patternFill>
      </fill>
    </dxf>
    <dxf>
      <font>
        <color rgb="FF0E223A"/>
      </font>
      <fill>
        <patternFill>
          <bgColor rgb="FFF9CBAD"/>
        </patternFill>
      </fill>
    </dxf>
    <dxf>
      <font>
        <color theme="0"/>
      </font>
      <fill>
        <patternFill>
          <bgColor rgb="FFCC092F"/>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rgb="FF505F69"/>
      </font>
      <fill>
        <patternFill>
          <bgColor rgb="FF505F69"/>
        </patternFill>
      </fill>
    </dxf>
    <dxf>
      <font>
        <color theme="1"/>
      </font>
      <fill>
        <patternFill>
          <bgColor rgb="FFF9CBAD"/>
        </patternFill>
      </fill>
    </dxf>
    <dxf>
      <font>
        <color theme="0"/>
      </font>
      <fill>
        <patternFill>
          <bgColor rgb="FFCC092F"/>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0"/>
      </font>
      <fill>
        <patternFill>
          <bgColor rgb="FFCC082E"/>
        </patternFill>
      </fill>
    </dxf>
    <dxf>
      <font>
        <color theme="0"/>
      </font>
      <fill>
        <patternFill>
          <bgColor rgb="FF4F5F69"/>
        </patternFill>
      </fill>
    </dxf>
    <dxf>
      <font>
        <color theme="1"/>
      </font>
      <fill>
        <patternFill>
          <bgColor rgb="FFEFFDE3"/>
        </patternFill>
      </fill>
    </dxf>
    <dxf>
      <font>
        <color theme="1"/>
      </font>
      <fill>
        <patternFill>
          <bgColor rgb="FFEFFDE3"/>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ill>
        <patternFill>
          <bgColor rgb="FFF9CBAD"/>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theme="0"/>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ont>
        <color rgb="FF0E223A"/>
      </font>
      <fill>
        <patternFill>
          <bgColor rgb="FFEFFEE3"/>
        </patternFill>
      </fill>
    </dxf>
    <dxf>
      <font>
        <color rgb="FF0E223A"/>
      </font>
      <fill>
        <patternFill>
          <bgColor rgb="FFFFBE29"/>
        </patternFill>
      </fill>
    </dxf>
    <dxf>
      <font>
        <color rgb="FF4F5F69"/>
      </font>
      <fill>
        <patternFill>
          <bgColor rgb="FF4F5F69"/>
        </patternFill>
      </fill>
    </dxf>
    <dxf>
      <font>
        <color rgb="FF0E223A"/>
      </font>
      <fill>
        <patternFill>
          <bgColor rgb="FFFFBE29"/>
        </patternFill>
      </fill>
    </dxf>
    <dxf>
      <font>
        <color rgb="FF4F5F69"/>
      </font>
      <fill>
        <patternFill>
          <bgColor rgb="FF4F5F69"/>
        </patternFill>
      </fill>
    </dxf>
    <dxf>
      <font>
        <color theme="1"/>
      </font>
      <fill>
        <patternFill>
          <bgColor rgb="FFF9CBAD"/>
        </patternFill>
      </fill>
    </dxf>
    <dxf>
      <font>
        <color theme="1"/>
      </font>
      <fill>
        <patternFill>
          <bgColor rgb="FFEFFDE3"/>
        </patternFill>
      </fill>
    </dxf>
    <dxf>
      <font>
        <color rgb="FF4F5F69"/>
      </font>
      <fill>
        <patternFill>
          <bgColor rgb="FF4F5F69"/>
        </patternFill>
      </fill>
    </dxf>
    <dxf>
      <font>
        <color rgb="FFF2F8F9"/>
      </font>
      <fill>
        <patternFill>
          <bgColor rgb="FF4F5F69"/>
        </patternFill>
      </fill>
    </dxf>
    <dxf>
      <fill>
        <patternFill>
          <bgColor rgb="FFEFFDE3"/>
        </patternFill>
      </fill>
    </dxf>
    <dxf>
      <fill>
        <patternFill>
          <bgColor rgb="FFFFBE29"/>
        </patternFill>
      </fill>
    </dxf>
    <dxf>
      <fill>
        <patternFill>
          <bgColor rgb="FFF9CBAD"/>
        </patternFill>
      </fill>
    </dxf>
    <dxf>
      <font>
        <color theme="0"/>
      </font>
      <fill>
        <patternFill>
          <bgColor rgb="FF4F5F69"/>
        </patternFill>
      </fill>
    </dxf>
    <dxf>
      <font>
        <color theme="0"/>
      </font>
      <fill>
        <patternFill>
          <bgColor rgb="FF4F5F69"/>
        </patternFill>
      </fill>
    </dxf>
    <dxf>
      <font>
        <color rgb="FF0E223A"/>
      </font>
      <fill>
        <patternFill>
          <bgColor rgb="FFEFFEE3"/>
        </patternFill>
      </fill>
    </dxf>
    <dxf>
      <font>
        <color rgb="FF0E223A"/>
      </font>
      <fill>
        <patternFill>
          <bgColor rgb="FFFFBE29"/>
        </patternFill>
      </fill>
    </dxf>
    <dxf>
      <font>
        <color rgb="FF505F69"/>
      </font>
      <fill>
        <patternFill>
          <bgColor rgb="FF505F69"/>
        </patternFill>
      </fill>
    </dxf>
    <dxf>
      <font>
        <color rgb="FF505F69"/>
      </font>
      <fill>
        <patternFill>
          <bgColor rgb="FF505F69"/>
        </patternFill>
      </fill>
    </dxf>
    <dxf>
      <font>
        <color rgb="FF505E69"/>
      </font>
      <fill>
        <patternFill>
          <bgColor rgb="FF505E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0E223A"/>
      </font>
      <fill>
        <patternFill>
          <bgColor rgb="FFEFFEE3"/>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505E69"/>
      </font>
      <fill>
        <patternFill>
          <bgColor rgb="FF505E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505E69"/>
      </font>
      <fill>
        <patternFill>
          <bgColor rgb="FF505E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0E223A"/>
      </font>
      <fill>
        <patternFill>
          <bgColor rgb="FFEFFEE3"/>
        </patternFill>
      </fill>
    </dxf>
    <dxf>
      <font>
        <color rgb="FF0E223A"/>
      </font>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theme="1"/>
      </font>
      <fill>
        <patternFill>
          <bgColor theme="1" tint="0.24994659260841701"/>
        </patternFill>
      </fill>
    </dxf>
    <dxf>
      <font>
        <color theme="0"/>
      </font>
      <fill>
        <patternFill>
          <bgColor rgb="FF505F69"/>
        </patternFill>
      </fill>
    </dxf>
    <dxf>
      <font>
        <color theme="1"/>
      </font>
      <fill>
        <patternFill>
          <bgColor rgb="FFEFFDE3"/>
        </patternFill>
      </fill>
    </dxf>
    <dxf>
      <font>
        <color theme="0"/>
      </font>
      <fill>
        <patternFill>
          <bgColor rgb="FF505F69"/>
        </patternFill>
      </fill>
    </dxf>
    <dxf>
      <font>
        <color theme="1"/>
      </font>
      <fill>
        <patternFill>
          <bgColor rgb="FFEFFDE3"/>
        </patternFill>
      </fill>
    </dxf>
    <dxf>
      <font>
        <color theme="0"/>
      </font>
      <fill>
        <patternFill>
          <bgColor rgb="FF505F69"/>
        </patternFill>
      </fill>
    </dxf>
    <dxf>
      <font>
        <color theme="0"/>
      </font>
      <fill>
        <patternFill>
          <bgColor rgb="FFCC082E"/>
        </patternFill>
      </fill>
    </dxf>
    <dxf>
      <font>
        <color theme="1"/>
      </font>
      <fill>
        <patternFill>
          <bgColor rgb="FFEFFEE3"/>
        </patternFill>
      </fill>
    </dxf>
    <dxf>
      <font>
        <color theme="0"/>
      </font>
      <fill>
        <patternFill>
          <bgColor rgb="FFCC082E"/>
        </patternFill>
      </fill>
    </dxf>
    <dxf>
      <font>
        <color theme="0"/>
      </font>
      <fill>
        <patternFill>
          <bgColor rgb="FFC00000"/>
        </patternFill>
      </fill>
    </dxf>
    <dxf>
      <font>
        <color theme="0"/>
      </font>
      <fill>
        <patternFill>
          <bgColor rgb="FFCC082E"/>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1" tint="0.24994659260841701"/>
        </patternFill>
      </fill>
    </dxf>
    <dxf>
      <font>
        <color theme="0"/>
      </font>
      <fill>
        <patternFill>
          <bgColor rgb="FFCC092F"/>
        </patternFill>
      </fill>
    </dxf>
    <dxf>
      <font>
        <color theme="1"/>
      </font>
      <fill>
        <patternFill>
          <bgColor rgb="FFFFBE29"/>
        </patternFill>
      </fill>
    </dxf>
    <dxf>
      <font>
        <color theme="0"/>
      </font>
      <fill>
        <patternFill>
          <bgColor rgb="FFCC092F"/>
        </patternFill>
      </fill>
    </dxf>
    <dxf>
      <font>
        <color theme="0"/>
      </font>
      <fill>
        <patternFill>
          <bgColor rgb="FF506069"/>
        </patternFill>
      </fill>
    </dxf>
    <dxf>
      <font>
        <color theme="0"/>
      </font>
      <fill>
        <patternFill>
          <bgColor rgb="FF506069"/>
        </patternFill>
      </fill>
    </dxf>
    <dxf>
      <fill>
        <patternFill>
          <bgColor rgb="FFEFFDE3"/>
        </patternFill>
      </fill>
    </dxf>
    <dxf>
      <font>
        <color theme="0"/>
      </font>
      <fill>
        <patternFill>
          <bgColor rgb="FF506069"/>
        </patternFill>
      </fill>
    </dxf>
    <dxf>
      <fill>
        <patternFill>
          <bgColor rgb="FFEFFDE3"/>
        </patternFill>
      </fill>
    </dxf>
    <dxf>
      <font>
        <color theme="0"/>
      </font>
      <fill>
        <patternFill>
          <bgColor rgb="FF506069"/>
        </patternFill>
      </fill>
    </dxf>
    <dxf>
      <fill>
        <patternFill>
          <bgColor rgb="FFEFFDE3"/>
        </patternFill>
      </fill>
    </dxf>
    <dxf>
      <font>
        <color theme="0"/>
      </font>
      <fill>
        <patternFill>
          <bgColor rgb="FF506069"/>
        </patternFill>
      </fill>
    </dxf>
    <dxf>
      <font>
        <color theme="0"/>
      </font>
      <fill>
        <patternFill>
          <bgColor rgb="FFCC082E"/>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0E223A"/>
      </font>
      <fill>
        <patternFill>
          <bgColor rgb="FFFFBE29"/>
        </patternFill>
      </fill>
    </dxf>
    <dxf>
      <font>
        <color rgb="FF4F5F69"/>
      </font>
      <fill>
        <patternFill>
          <bgColor rgb="FF4F5F69"/>
        </patternFill>
      </fill>
    </dxf>
    <dxf>
      <font>
        <color rgb="FF505F69"/>
      </font>
      <fill>
        <patternFill>
          <bgColor rgb="FF505F69"/>
        </patternFill>
      </fill>
    </dxf>
    <dxf>
      <font>
        <color rgb="FF505F69"/>
      </font>
      <fill>
        <patternFill>
          <bgColor rgb="FF4F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6069"/>
      </font>
      <fill>
        <patternFill>
          <bgColor rgb="FF506069"/>
        </patternFill>
      </fill>
    </dxf>
    <dxf>
      <font>
        <color rgb="FF4F5F69"/>
      </font>
      <fill>
        <patternFill>
          <bgColor rgb="FF4F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506069"/>
      </font>
      <fill>
        <patternFill>
          <bgColor rgb="FF506069"/>
        </patternFill>
      </fill>
    </dxf>
    <dxf>
      <fill>
        <patternFill>
          <bgColor theme="5" tint="0.59996337778862885"/>
        </patternFill>
      </fill>
    </dxf>
    <dxf>
      <font>
        <color rgb="FF505F69"/>
      </font>
      <fill>
        <patternFill>
          <bgColor rgb="FF505F69"/>
        </patternFill>
      </fill>
    </dxf>
    <dxf>
      <font>
        <color rgb="FF506069"/>
      </font>
      <fill>
        <patternFill>
          <bgColor rgb="FF506069"/>
        </patternFill>
      </fill>
    </dxf>
    <dxf>
      <font>
        <color theme="1"/>
      </font>
      <fill>
        <patternFill>
          <bgColor rgb="FFEFFDE3"/>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rgb="FF505F69"/>
      </font>
      <fill>
        <patternFill>
          <bgColor rgb="FF505F69"/>
        </patternFill>
      </fill>
    </dxf>
    <dxf>
      <font>
        <color rgb="FF505E69"/>
      </font>
      <fill>
        <patternFill>
          <bgColor rgb="FF505E69"/>
        </patternFill>
      </fill>
    </dxf>
    <dxf>
      <font>
        <color rgb="FF505F69"/>
      </font>
      <fill>
        <patternFill>
          <bgColor rgb="FF505F69"/>
        </patternFill>
      </fill>
    </dxf>
    <dxf>
      <font>
        <color rgb="FF4F5F69"/>
      </font>
      <fill>
        <patternFill>
          <bgColor rgb="FF4F5F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4F5F69"/>
      </font>
      <fill>
        <patternFill>
          <bgColor rgb="FF4F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ont>
        <color rgb="FF505F69"/>
      </font>
      <fill>
        <patternFill>
          <bgColor rgb="FF505F69"/>
        </patternFill>
      </fill>
    </dxf>
    <dxf>
      <fill>
        <patternFill>
          <bgColor rgb="FFEFFDE3"/>
        </patternFill>
      </fill>
    </dxf>
    <dxf>
      <font>
        <color rgb="FF4F5F69"/>
      </font>
      <fill>
        <patternFill>
          <bgColor rgb="FF4F5F69"/>
        </patternFill>
      </fill>
    </dxf>
    <dxf>
      <font>
        <color theme="0"/>
      </font>
      <fill>
        <patternFill>
          <bgColor rgb="FF50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505F69"/>
        </patternFill>
      </fill>
    </dxf>
    <dxf>
      <font>
        <color rgb="FF505F69"/>
      </font>
      <fill>
        <patternFill>
          <bgColor rgb="FF50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6069"/>
      </font>
      <fill>
        <patternFill>
          <bgColor rgb="FF5060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0E223A"/>
      </font>
      <fill>
        <patternFill>
          <bgColor rgb="FFEFFEE3"/>
        </patternFill>
      </fill>
    </dxf>
    <dxf>
      <font>
        <color rgb="FF0E223A"/>
      </font>
      <fill>
        <patternFill>
          <bgColor rgb="FFF9CBAD"/>
        </patternFill>
      </fill>
    </dxf>
    <dxf>
      <font>
        <color rgb="FF0E223A"/>
      </font>
      <fill>
        <patternFill>
          <bgColor rgb="FFFFBE2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0E223A"/>
      </font>
      <fill>
        <patternFill>
          <bgColor rgb="FFEFFEE3"/>
        </patternFill>
      </fill>
    </dxf>
    <dxf>
      <font>
        <color rgb="FF0E223A"/>
      </font>
      <fill>
        <patternFill>
          <bgColor rgb="FFF9CBAD"/>
        </patternFill>
      </fill>
    </dxf>
    <dxf>
      <font>
        <color theme="1"/>
      </font>
      <fill>
        <patternFill>
          <bgColor rgb="FFFFBE29"/>
        </patternFill>
      </fill>
    </dxf>
    <dxf>
      <font>
        <color rgb="FF0E223A"/>
      </font>
      <fill>
        <patternFill>
          <bgColor rgb="FFEFFDE3"/>
        </patternFill>
      </fill>
    </dxf>
    <dxf>
      <fill>
        <patternFill>
          <bgColor theme="5" tint="0.59996337778862885"/>
        </patternFill>
      </fill>
    </dxf>
    <dxf>
      <font>
        <color rgb="FF4F5F69"/>
      </font>
      <fill>
        <patternFill>
          <bgColor rgb="FF4F5F69"/>
        </patternFill>
      </fill>
    </dxf>
    <dxf>
      <font>
        <color rgb="FF4F5F69"/>
      </font>
      <fill>
        <patternFill>
          <bgColor rgb="FF4F5F69"/>
        </patternFill>
      </fill>
    </dxf>
    <dxf>
      <font>
        <color theme="0"/>
      </font>
      <fill>
        <patternFill>
          <bgColor rgb="FF506069"/>
        </patternFill>
      </fill>
    </dxf>
    <dxf>
      <fill>
        <patternFill>
          <bgColor rgb="FFEFFDE3"/>
        </patternFill>
      </fill>
    </dxf>
    <dxf>
      <font>
        <color theme="0"/>
      </font>
      <fill>
        <patternFill>
          <bgColor rgb="FFCC092F"/>
        </patternFill>
      </fill>
    </dxf>
    <dxf>
      <fill>
        <patternFill>
          <bgColor rgb="FFEFFDE3"/>
        </patternFill>
      </fill>
    </dxf>
    <dxf>
      <font>
        <color theme="0"/>
      </font>
      <fill>
        <patternFill>
          <bgColor rgb="FF506069"/>
        </patternFill>
      </fill>
    </dxf>
    <dxf>
      <font>
        <color theme="0"/>
      </font>
      <fill>
        <patternFill>
          <bgColor rgb="FFCC092F"/>
        </patternFill>
      </fill>
    </dxf>
    <dxf>
      <font>
        <color theme="0"/>
      </font>
      <fill>
        <patternFill>
          <bgColor rgb="FFCC092F"/>
        </patternFill>
      </fill>
    </dxf>
    <dxf>
      <font>
        <color theme="1"/>
      </font>
      <fill>
        <patternFill>
          <bgColor rgb="FFEFFDE3"/>
        </patternFill>
      </fill>
    </dxf>
    <dxf>
      <font>
        <color theme="0"/>
      </font>
      <fill>
        <patternFill>
          <bgColor rgb="FF506069"/>
        </patternFill>
      </fill>
    </dxf>
    <dxf>
      <font>
        <color theme="1"/>
      </font>
      <fill>
        <patternFill>
          <bgColor rgb="FFEFFEE3"/>
        </patternFill>
      </fill>
    </dxf>
    <dxf>
      <font>
        <color theme="0"/>
      </font>
      <fill>
        <patternFill>
          <bgColor rgb="FF4F5F69"/>
        </patternFill>
      </fill>
    </dxf>
    <dxf>
      <font>
        <color theme="0"/>
      </font>
      <fill>
        <patternFill>
          <bgColor rgb="FFCC082E"/>
        </patternFill>
      </fill>
    </dxf>
    <dxf>
      <fill>
        <patternFill>
          <bgColor rgb="FFEFFDE3"/>
        </patternFill>
      </fill>
    </dxf>
    <dxf>
      <font>
        <color theme="0"/>
      </font>
      <fill>
        <patternFill>
          <bgColor rgb="FF506069"/>
        </patternFill>
      </fill>
    </dxf>
    <dxf>
      <font>
        <color theme="0"/>
      </font>
      <fill>
        <patternFill>
          <bgColor rgb="FFCC082E"/>
        </patternFill>
      </fill>
    </dxf>
    <dxf>
      <fill>
        <patternFill>
          <bgColor rgb="FFEFFDE3"/>
        </patternFill>
      </fill>
    </dxf>
    <dxf>
      <font>
        <color theme="0"/>
      </font>
      <fill>
        <patternFill>
          <bgColor rgb="FF506069"/>
        </patternFill>
      </fill>
    </dxf>
    <dxf>
      <font>
        <color rgb="FF4F5F69"/>
      </font>
      <fill>
        <patternFill>
          <bgColor rgb="FF505E69"/>
        </patternFill>
      </fill>
    </dxf>
    <dxf>
      <font>
        <color rgb="FF506069"/>
      </font>
      <fill>
        <patternFill>
          <bgColor rgb="FF506069"/>
        </patternFill>
      </fill>
    </dxf>
    <dxf>
      <font>
        <color rgb="FF505E69"/>
      </font>
      <fill>
        <patternFill>
          <bgColor rgb="FF505E69"/>
        </patternFill>
      </fill>
    </dxf>
    <dxf>
      <font>
        <color rgb="FF506069"/>
      </font>
      <fill>
        <patternFill>
          <bgColor rgb="FF506069"/>
        </patternFill>
      </fill>
    </dxf>
    <dxf>
      <font>
        <color rgb="FF505E69"/>
      </font>
      <fill>
        <patternFill>
          <bgColor rgb="FF505E69"/>
        </patternFill>
      </fill>
    </dxf>
    <dxf>
      <font>
        <color rgb="FF4F5F69"/>
      </font>
      <fill>
        <patternFill>
          <bgColor rgb="FF4F5F69"/>
        </patternFill>
      </fill>
    </dxf>
    <dxf>
      <font>
        <color theme="1"/>
      </font>
      <fill>
        <patternFill>
          <bgColor rgb="FFF9CBAD"/>
        </patternFill>
      </fill>
    </dxf>
    <dxf>
      <font>
        <color rgb="FF0E223A"/>
      </font>
      <fill>
        <patternFill>
          <bgColor rgb="FFFFBE29"/>
        </patternFill>
      </fill>
    </dxf>
    <dxf>
      <font>
        <color rgb="FF506069"/>
      </font>
      <fill>
        <patternFill>
          <bgColor rgb="FF506069"/>
        </patternFill>
      </fill>
    </dxf>
    <dxf>
      <font>
        <color theme="1"/>
      </font>
      <fill>
        <patternFill>
          <bgColor rgb="FFEFFDE3"/>
        </patternFill>
      </fill>
    </dxf>
    <dxf>
      <font>
        <color rgb="FF505E69"/>
      </font>
      <fill>
        <patternFill>
          <bgColor rgb="FF505E69"/>
        </patternFill>
      </fill>
    </dxf>
    <dxf>
      <font>
        <color theme="1"/>
      </font>
      <fill>
        <patternFill>
          <bgColor rgb="FFF9CBAD"/>
        </patternFill>
      </fill>
    </dxf>
    <dxf>
      <font>
        <color rgb="FF0E223A"/>
      </font>
      <fill>
        <patternFill>
          <bgColor rgb="FFFFBE29"/>
        </patternFill>
      </fill>
    </dxf>
    <dxf>
      <font>
        <color rgb="FF505E69"/>
      </font>
      <fill>
        <patternFill>
          <bgColor rgb="FF505E69"/>
        </patternFill>
      </fill>
    </dxf>
    <dxf>
      <font>
        <color rgb="FF506069"/>
      </font>
      <fill>
        <patternFill>
          <bgColor rgb="FF506069"/>
        </patternFill>
      </fill>
    </dxf>
    <dxf>
      <font>
        <color rgb="FF4F5F69"/>
      </font>
      <fill>
        <patternFill>
          <bgColor rgb="FF4F5F69"/>
        </patternFill>
      </fill>
    </dxf>
    <dxf>
      <font>
        <color theme="1"/>
      </font>
      <fill>
        <patternFill>
          <bgColor rgb="FFF9CBAD"/>
        </patternFill>
      </fill>
    </dxf>
    <dxf>
      <fill>
        <patternFill>
          <bgColor rgb="FFF9CBAD"/>
        </patternFill>
      </fill>
    </dxf>
    <dxf>
      <font>
        <color theme="1"/>
      </font>
      <fill>
        <patternFill>
          <bgColor rgb="FFEFFDE3"/>
        </patternFill>
      </fill>
    </dxf>
    <dxf>
      <fill>
        <patternFill>
          <bgColor theme="5" tint="0.59996337778862885"/>
        </patternFill>
      </fill>
    </dxf>
    <dxf>
      <font>
        <color theme="1"/>
      </font>
      <fill>
        <patternFill>
          <bgColor rgb="FFFFBE29"/>
        </patternFill>
      </fill>
    </dxf>
    <dxf>
      <font>
        <color theme="1"/>
      </font>
      <fill>
        <patternFill>
          <bgColor rgb="FFEFFDE3"/>
        </patternFill>
      </fill>
    </dxf>
    <dxf>
      <font>
        <color theme="1"/>
      </font>
      <fill>
        <patternFill>
          <bgColor rgb="FFFFBE29"/>
        </patternFill>
      </fill>
    </dxf>
    <dxf>
      <fill>
        <patternFill>
          <bgColor rgb="FFEFFDE3"/>
        </patternFill>
      </fill>
    </dxf>
    <dxf>
      <fill>
        <patternFill>
          <bgColor rgb="FFFFBE29"/>
        </patternFill>
      </fill>
    </dxf>
    <dxf>
      <font>
        <color rgb="FF4F5F69"/>
      </font>
      <fill>
        <patternFill>
          <bgColor rgb="FF4F5F69"/>
        </patternFill>
      </fill>
    </dxf>
    <dxf>
      <font>
        <color rgb="FF505F69"/>
      </font>
      <fill>
        <patternFill>
          <bgColor rgb="FF50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4F5F69"/>
      </font>
      <fill>
        <patternFill>
          <bgColor rgb="FF4F5F69"/>
        </patternFill>
      </fill>
    </dxf>
    <dxf>
      <fill>
        <patternFill>
          <bgColor rgb="FFEFFDE3"/>
        </patternFill>
      </fill>
    </dxf>
    <dxf>
      <fill>
        <patternFill>
          <bgColor rgb="FFFFBE29"/>
        </patternFill>
      </fill>
    </dxf>
    <dxf>
      <fill>
        <patternFill>
          <bgColor rgb="FFF9CBAD"/>
        </patternFill>
      </fill>
    </dxf>
    <dxf>
      <font>
        <color rgb="FF505F69"/>
      </font>
      <fill>
        <patternFill>
          <bgColor rgb="FF505F69"/>
        </patternFill>
      </fill>
    </dxf>
    <dxf>
      <font>
        <color rgb="FF505F69"/>
      </font>
      <fill>
        <patternFill>
          <bgColor rgb="FF505F69"/>
        </patternFill>
      </fill>
    </dxf>
    <dxf>
      <font>
        <color rgb="FF505E69"/>
      </font>
      <fill>
        <patternFill>
          <bgColor rgb="FF505E69"/>
        </patternFill>
      </fill>
    </dxf>
    <dxf>
      <font>
        <color rgb="FF505F69"/>
      </font>
      <fill>
        <patternFill>
          <bgColor rgb="FF505F69"/>
        </patternFill>
      </fill>
    </dxf>
    <dxf>
      <font>
        <color rgb="FF505E69"/>
      </font>
      <fill>
        <patternFill>
          <bgColor rgb="FF4F5F69"/>
        </patternFill>
      </fill>
    </dxf>
    <dxf>
      <font>
        <color rgb="FF505E69"/>
      </font>
      <fill>
        <patternFill>
          <bgColor rgb="FF505E69"/>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rgb="FF505F69"/>
      </font>
      <fill>
        <patternFill>
          <bgColor rgb="FF505F69"/>
        </patternFill>
      </fill>
    </dxf>
    <dxf>
      <font>
        <color theme="1"/>
      </font>
      <fill>
        <patternFill>
          <bgColor rgb="FFEFFDE3"/>
        </patternFill>
      </fill>
    </dxf>
    <dxf>
      <fill>
        <patternFill>
          <bgColor theme="5" tint="0.59996337778862885"/>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F69"/>
      </font>
      <fill>
        <patternFill>
          <bgColor rgb="FF505F69"/>
        </patternFill>
      </fill>
    </dxf>
    <dxf>
      <font>
        <color theme="1"/>
      </font>
      <fill>
        <patternFill>
          <bgColor rgb="FFEFFDE3"/>
        </patternFill>
      </fill>
    </dxf>
    <dxf>
      <fill>
        <patternFill>
          <bgColor theme="5" tint="0.59996337778862885"/>
        </patternFill>
      </fill>
    </dxf>
    <dxf>
      <font>
        <color theme="1"/>
      </font>
      <fill>
        <patternFill>
          <bgColor rgb="FFEFFDE3"/>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ill>
        <patternFill>
          <bgColor theme="5" tint="0.59996337778862885"/>
        </patternFill>
      </fill>
    </dxf>
    <dxf>
      <font>
        <color theme="1"/>
      </font>
      <fill>
        <patternFill>
          <bgColor rgb="FFEFFDE3"/>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ill>
        <patternFill>
          <bgColor theme="5" tint="0.59996337778862885"/>
        </patternFill>
      </fill>
    </dxf>
    <dxf>
      <font>
        <color theme="1"/>
      </font>
      <fill>
        <patternFill>
          <bgColor rgb="FFEFFDE3"/>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0E223A"/>
      </font>
      <fill>
        <patternFill>
          <bgColor rgb="FFEFFEE3"/>
        </patternFill>
      </fill>
    </dxf>
    <dxf>
      <fill>
        <patternFill>
          <bgColor rgb="FFF9CBAD"/>
        </patternFill>
      </fill>
    </dxf>
    <dxf>
      <font>
        <color rgb="FF4F5F69"/>
      </font>
      <fill>
        <patternFill>
          <bgColor rgb="FF4F5F69"/>
        </patternFill>
      </fill>
    </dxf>
    <dxf>
      <font>
        <color rgb="FF505F69"/>
      </font>
      <fill>
        <patternFill>
          <bgColor rgb="FF505F69"/>
        </patternFill>
      </fill>
    </dxf>
    <dxf>
      <font>
        <color rgb="FF0E223A"/>
      </font>
      <fill>
        <patternFill>
          <bgColor rgb="FFFFBE2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5E69"/>
      </font>
      <fill>
        <patternFill>
          <bgColor rgb="FF505E69"/>
        </patternFill>
      </fill>
    </dxf>
    <dxf>
      <font>
        <color rgb="FF505E69"/>
      </font>
      <fill>
        <patternFill>
          <bgColor rgb="FF505E69"/>
        </patternFill>
      </fill>
    </dxf>
    <dxf>
      <font>
        <color rgb="FF505F69"/>
      </font>
      <fill>
        <patternFill>
          <bgColor rgb="FF505F69"/>
        </patternFill>
      </fill>
    </dxf>
    <dxf>
      <font>
        <color rgb="FF505E69"/>
      </font>
      <fill>
        <patternFill>
          <bgColor rgb="FF505E69"/>
        </patternFill>
      </fill>
    </dxf>
    <dxf>
      <font>
        <color theme="1"/>
      </font>
      <fill>
        <patternFill>
          <bgColor rgb="FFEFFDE3"/>
        </patternFill>
      </fill>
    </dxf>
    <dxf>
      <fill>
        <patternFill>
          <bgColor theme="5" tint="0.59996337778862885"/>
        </patternFill>
      </fill>
    </dxf>
    <dxf>
      <font>
        <color rgb="FF506069"/>
      </font>
      <fill>
        <patternFill>
          <bgColor rgb="FF506069"/>
        </patternFill>
      </fill>
    </dxf>
    <dxf>
      <font>
        <color rgb="FF506069"/>
      </font>
      <fill>
        <patternFill>
          <bgColor rgb="FF506069"/>
        </patternFill>
      </fill>
    </dxf>
    <dxf>
      <font>
        <color rgb="FF4F5F69"/>
      </font>
      <fill>
        <patternFill>
          <bgColor rgb="FF4F5F69"/>
        </patternFill>
      </fill>
    </dxf>
    <dxf>
      <font>
        <color rgb="FF506069"/>
      </font>
      <fill>
        <patternFill>
          <bgColor rgb="FF506069"/>
        </patternFill>
      </fill>
    </dxf>
    <dxf>
      <font>
        <color auto="1"/>
      </font>
      <fill>
        <patternFill>
          <bgColor rgb="FFF9CBAD"/>
        </patternFill>
      </fill>
    </dxf>
    <dxf>
      <font>
        <color theme="1"/>
      </font>
      <fill>
        <patternFill>
          <bgColor rgb="FFEFFDE3"/>
        </patternFill>
      </fill>
    </dxf>
    <dxf>
      <font>
        <color rgb="FF4F5F69"/>
      </font>
      <fill>
        <patternFill>
          <bgColor rgb="FF4F5F69"/>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506069"/>
      </font>
      <fill>
        <patternFill>
          <bgColor rgb="FF506069"/>
        </patternFill>
      </fill>
    </dxf>
    <dxf>
      <font>
        <color rgb="FF505E69"/>
      </font>
      <fill>
        <patternFill>
          <bgColor rgb="FF505E69"/>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rgb="FF506069"/>
      </font>
      <fill>
        <patternFill>
          <bgColor rgb="FF506069"/>
        </patternFill>
      </fill>
    </dxf>
    <dxf>
      <font>
        <color rgb="FF4F5F69"/>
      </font>
      <fill>
        <patternFill>
          <bgColor rgb="FF4F5F69"/>
        </patternFill>
      </fill>
    </dxf>
    <dxf>
      <font>
        <color theme="1"/>
      </font>
      <fill>
        <patternFill>
          <bgColor rgb="FFEFFDE3"/>
        </patternFill>
      </fill>
    </dxf>
    <dxf>
      <fill>
        <patternFill>
          <bgColor theme="5" tint="0.59996337778862885"/>
        </patternFill>
      </fill>
    </dxf>
    <dxf>
      <font>
        <color theme="1"/>
      </font>
      <fill>
        <patternFill>
          <bgColor rgb="FFF9CBAD"/>
        </patternFill>
      </fill>
    </dxf>
    <dxf>
      <font>
        <color theme="1"/>
      </font>
      <fill>
        <patternFill>
          <bgColor rgb="FFEFFDE3"/>
        </patternFill>
      </fill>
    </dxf>
    <dxf>
      <font>
        <color rgb="FF0E223A"/>
      </font>
      <fill>
        <patternFill>
          <bgColor rgb="FFFFBE2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theme="1"/>
      </font>
      <fill>
        <patternFill>
          <bgColor rgb="FFEFFDE3"/>
        </patternFill>
      </fill>
    </dxf>
    <dxf>
      <fill>
        <patternFill>
          <bgColor theme="5" tint="0.59996337778862885"/>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4F5F69"/>
      </font>
      <fill>
        <patternFill>
          <bgColor rgb="FF4F5F69"/>
        </patternFill>
      </fill>
    </dxf>
    <dxf>
      <font>
        <color rgb="FF505E69"/>
      </font>
      <fill>
        <patternFill>
          <bgColor rgb="FF505E69"/>
        </patternFill>
      </fill>
    </dxf>
    <dxf>
      <font>
        <color rgb="FF4F5F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0E223A"/>
      </font>
      <fill>
        <patternFill>
          <bgColor rgb="FFFFBE29"/>
        </patternFill>
      </fill>
    </dxf>
    <dxf>
      <font>
        <color theme="1"/>
      </font>
      <fill>
        <patternFill>
          <bgColor rgb="FFEFFDE3"/>
        </patternFill>
      </fill>
    </dxf>
    <dxf>
      <font>
        <color theme="1"/>
      </font>
      <fill>
        <patternFill>
          <bgColor rgb="FFF9CBAD"/>
        </patternFill>
      </fill>
    </dxf>
    <dxf>
      <font>
        <color theme="1"/>
      </font>
      <fill>
        <patternFill>
          <bgColor theme="1" tint="0.24994659260841701"/>
        </patternFill>
      </fill>
    </dxf>
    <dxf>
      <font>
        <color rgb="FF505F69"/>
      </font>
      <fill>
        <patternFill>
          <bgColor rgb="FF505F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505E69"/>
      </font>
      <fill>
        <patternFill>
          <bgColor rgb="FF505E69"/>
        </patternFill>
      </fill>
    </dxf>
    <dxf>
      <font>
        <color rgb="FF505E69"/>
      </font>
      <fill>
        <patternFill>
          <bgColor rgb="FF505E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ont>
        <color rgb="FF4F5F69"/>
      </font>
      <fill>
        <patternFill>
          <bgColor rgb="FF4F5F69"/>
        </patternFill>
      </fill>
    </dxf>
    <dxf>
      <fill>
        <patternFill>
          <bgColor rgb="FFEFFDE3"/>
        </patternFill>
      </fill>
    </dxf>
    <dxf>
      <font>
        <color rgb="FF0E223A"/>
      </font>
      <fill>
        <patternFill>
          <bgColor rgb="FFEFFDE3"/>
        </patternFill>
      </fill>
    </dxf>
    <dxf>
      <font>
        <color theme="1"/>
      </font>
      <fill>
        <patternFill patternType="solid">
          <fgColor theme="0"/>
          <bgColor theme="0" tint="-0.24994659260841701"/>
        </patternFill>
      </fill>
    </dxf>
    <dxf>
      <font>
        <color rgb="FF0E223A"/>
      </font>
      <fill>
        <patternFill>
          <bgColor rgb="FFEFFDE3"/>
        </patternFill>
      </fill>
    </dxf>
    <dxf>
      <font>
        <color theme="1"/>
      </font>
      <fill>
        <patternFill>
          <bgColor rgb="FFEFFD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rgb="FF4F5F69"/>
      </font>
      <fill>
        <patternFill>
          <bgColor rgb="FF506069"/>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1"/>
      </font>
      <fill>
        <patternFill>
          <bgColor rgb="FFEFFDE3"/>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4F5F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0"/>
      </font>
      <fill>
        <patternFill>
          <fgColor auto="1"/>
          <bgColor rgb="FF4F5F69"/>
        </patternFill>
      </fill>
    </dxf>
    <dxf>
      <font>
        <color theme="0"/>
      </font>
      <fill>
        <patternFill>
          <bgColor rgb="FF4F5F69"/>
        </patternFill>
      </fill>
    </dxf>
    <dxf>
      <font>
        <color theme="0"/>
      </font>
      <fill>
        <patternFill>
          <bgColor rgb="FF4F5F69"/>
        </patternFill>
      </fill>
    </dxf>
    <dxf>
      <font>
        <color rgb="FF4F5F69"/>
      </font>
      <fill>
        <patternFill>
          <bgColor rgb="FF4F5F69"/>
        </patternFill>
      </fill>
    </dxf>
    <dxf>
      <font>
        <color theme="0"/>
      </font>
      <fill>
        <patternFill>
          <bgColor rgb="FF4F5F69"/>
        </patternFill>
      </fill>
    </dxf>
    <dxf>
      <font>
        <color rgb="FF4F5F69"/>
      </font>
      <fill>
        <patternFill>
          <bgColor rgb="FF4F5F69"/>
        </patternFill>
      </fill>
    </dxf>
    <dxf>
      <font>
        <color rgb="FF0E223A"/>
      </font>
      <fill>
        <patternFill>
          <bgColor rgb="FFEFFEE3"/>
        </patternFill>
      </fill>
    </dxf>
    <dxf>
      <font>
        <color rgb="FF4F5F69"/>
      </font>
      <fill>
        <patternFill>
          <bgColor rgb="FF4F5F69"/>
        </patternFill>
      </fill>
    </dxf>
    <dxf>
      <font>
        <color theme="0"/>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rgb="FF4F5F69"/>
      </font>
      <fill>
        <patternFill>
          <bgColor rgb="FF506069"/>
        </patternFill>
      </fill>
    </dxf>
    <dxf>
      <font>
        <color theme="1"/>
      </font>
      <fill>
        <patternFill>
          <bgColor rgb="FFEFFDE3"/>
        </patternFill>
      </fill>
    </dxf>
    <dxf>
      <font>
        <color theme="0"/>
      </font>
      <fill>
        <patternFill>
          <fgColor auto="1"/>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rgb="FF0E223A"/>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rgb="FF0E223A"/>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1"/>
      </font>
      <fill>
        <patternFill>
          <bgColor rgb="FFEFFDE3"/>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fgColor theme="0"/>
          <bgColor rgb="FF506069"/>
        </patternFill>
      </fill>
    </dxf>
    <dxf>
      <font>
        <color theme="1"/>
      </font>
      <fill>
        <patternFill>
          <bgColor rgb="FFEFFDE3"/>
        </patternFill>
      </fill>
    </dxf>
    <dxf>
      <font>
        <color theme="0"/>
      </font>
      <fill>
        <patternFill>
          <bgColor rgb="FF4F5F69"/>
        </patternFill>
      </fill>
    </dxf>
    <dxf>
      <font>
        <color theme="1"/>
      </font>
      <fill>
        <patternFill>
          <bgColor rgb="FFEFFDE3"/>
        </patternFill>
      </fill>
    </dxf>
    <dxf>
      <font>
        <color theme="0"/>
      </font>
      <fill>
        <patternFill>
          <bgColor rgb="FF505F69"/>
        </patternFill>
      </fill>
    </dxf>
    <dxf>
      <fill>
        <patternFill>
          <bgColor theme="5" tint="0.59996337778862885"/>
        </patternFill>
      </fill>
    </dxf>
    <dxf>
      <font>
        <color theme="0"/>
      </font>
      <fill>
        <patternFill>
          <bgColor rgb="FF505F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rgb="FF506069"/>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rgb="FF4F5F69"/>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1"/>
      </font>
      <fill>
        <patternFill>
          <bgColor rgb="FFEFFDE3"/>
        </patternFill>
      </fill>
    </dxf>
    <dxf>
      <font>
        <color theme="0"/>
      </font>
      <fill>
        <patternFill>
          <bgColor rgb="FF505F69"/>
        </patternFill>
      </fill>
    </dxf>
    <dxf>
      <font>
        <color theme="0"/>
      </font>
      <fill>
        <patternFill>
          <bgColor rgb="FFCC082E"/>
        </patternFill>
      </fill>
    </dxf>
    <dxf>
      <font>
        <color theme="1"/>
      </font>
      <fill>
        <patternFill>
          <bgColor rgb="FFFFBD29"/>
        </patternFill>
      </fill>
    </dxf>
    <dxf>
      <font>
        <color theme="1"/>
      </font>
      <fill>
        <patternFill>
          <bgColor rgb="FFFFBD29"/>
        </patternFill>
      </fill>
    </dxf>
    <dxf>
      <font>
        <color theme="1"/>
      </font>
      <fill>
        <patternFill>
          <bgColor rgb="FFFFBD29"/>
        </patternFill>
      </fill>
    </dxf>
    <dxf>
      <font>
        <color theme="1"/>
      </font>
      <fill>
        <patternFill>
          <bgColor rgb="FFFFBD2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4F5F69"/>
      </font>
      <fill>
        <patternFill>
          <bgColor rgb="FF4F5F69"/>
        </patternFill>
      </fill>
    </dxf>
    <dxf>
      <font>
        <color theme="1"/>
      </font>
      <fill>
        <patternFill>
          <bgColor rgb="FFEFFDE3"/>
        </patternFill>
      </fill>
    </dxf>
    <dxf>
      <font>
        <color theme="0"/>
      </font>
      <fill>
        <patternFill>
          <bgColor rgb="FFCC092F"/>
        </patternFill>
      </fill>
    </dxf>
    <dxf>
      <font>
        <color theme="0"/>
      </font>
      <fill>
        <patternFill>
          <bgColor rgb="FF4F5F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dxf>
    <dxf>
      <font>
        <color rgb="FF506069"/>
      </font>
      <fill>
        <patternFill>
          <bgColor rgb="FF506069"/>
        </patternFill>
      </fill>
      <border>
        <left style="thin">
          <color auto="1"/>
        </left>
        <right style="thin">
          <color auto="1"/>
        </right>
        <top style="thin">
          <color auto="1"/>
        </top>
        <bottom style="thin">
          <color auto="1"/>
        </bottom>
      </border>
    </dxf>
    <dxf>
      <font>
        <color rgb="FF506069"/>
      </font>
      <fill>
        <patternFill>
          <bgColor rgb="FF506069"/>
        </patternFill>
      </fill>
    </dxf>
    <dxf>
      <font>
        <color theme="1"/>
      </font>
      <fill>
        <patternFill>
          <bgColor rgb="FFCC092F"/>
        </patternFill>
      </fill>
    </dxf>
    <dxf>
      <font>
        <color theme="1"/>
      </font>
      <fill>
        <patternFill>
          <bgColor rgb="FFEFFEE3"/>
        </patternFill>
      </fill>
    </dxf>
    <dxf>
      <font>
        <color theme="1"/>
      </font>
      <fill>
        <patternFill>
          <bgColor rgb="FFEFFEE3"/>
        </patternFill>
      </fill>
    </dxf>
    <dxf>
      <font>
        <color rgb="FF505F69"/>
      </font>
      <fill>
        <patternFill>
          <bgColor rgb="FF506069"/>
        </patternFill>
      </fill>
    </dxf>
    <dxf>
      <font>
        <color rgb="FF505F69"/>
      </font>
      <fill>
        <patternFill>
          <bgColor rgb="FF506069"/>
        </patternFill>
      </fill>
    </dxf>
    <dxf>
      <font>
        <color rgb="FF505F69"/>
      </font>
      <fill>
        <patternFill>
          <bgColor rgb="FF505F69"/>
        </patternFill>
      </fill>
    </dxf>
    <dxf>
      <font>
        <color theme="1"/>
      </font>
      <fill>
        <patternFill>
          <bgColor rgb="FFEFFEE3"/>
        </patternFill>
      </fill>
    </dxf>
    <dxf>
      <fill>
        <patternFill>
          <bgColor theme="5" tint="0.59996337778862885"/>
        </patternFill>
      </fill>
    </dxf>
    <dxf>
      <font>
        <color theme="0"/>
      </font>
      <fill>
        <patternFill>
          <bgColor rgb="FF4F5F69"/>
        </patternFill>
      </fill>
    </dxf>
    <dxf>
      <font>
        <color rgb="FF0E223A"/>
      </font>
      <fill>
        <patternFill>
          <bgColor rgb="FFFFBE29"/>
        </patternFill>
      </fill>
    </dxf>
    <dxf>
      <font>
        <color rgb="FF0E223A"/>
      </font>
      <fill>
        <patternFill>
          <bgColor rgb="FFFFBE29"/>
        </patternFill>
      </fill>
    </dxf>
    <dxf>
      <font>
        <color rgb="FF0E223A"/>
      </font>
      <fill>
        <patternFill>
          <bgColor rgb="FFFFBE29"/>
        </patternFill>
      </fill>
    </dxf>
    <dxf>
      <font>
        <color rgb="FF0E223A"/>
      </font>
      <fill>
        <patternFill>
          <bgColor rgb="FFFFBE29"/>
        </patternFill>
      </fill>
    </dxf>
    <dxf>
      <font>
        <color rgb="FF0E223A"/>
      </font>
      <fill>
        <patternFill>
          <bgColor rgb="FFEFFEE3"/>
        </patternFill>
      </fill>
    </dxf>
    <dxf>
      <font>
        <color theme="0"/>
      </font>
      <fill>
        <patternFill>
          <bgColor rgb="FF505F69"/>
        </patternFill>
      </fill>
    </dxf>
    <dxf>
      <font>
        <color theme="0"/>
      </font>
      <fill>
        <patternFill>
          <bgColor rgb="FF505F69"/>
        </patternFill>
      </fill>
    </dxf>
    <dxf>
      <font>
        <color theme="0"/>
      </font>
      <fill>
        <patternFill>
          <bgColor rgb="FFCC082E"/>
        </patternFill>
      </fill>
    </dxf>
    <dxf>
      <font>
        <color rgb="FF4F5F69"/>
      </font>
      <fill>
        <patternFill>
          <bgColor rgb="FF4F5F69"/>
        </patternFill>
      </fill>
    </dxf>
    <dxf>
      <fill>
        <patternFill>
          <bgColor theme="5" tint="0.59996337778862885"/>
        </patternFill>
      </fill>
    </dxf>
    <dxf>
      <font>
        <color theme="0"/>
      </font>
      <fill>
        <patternFill>
          <bgColor rgb="FF505F69"/>
        </patternFill>
      </fill>
    </dxf>
    <dxf>
      <font>
        <color theme="0"/>
      </font>
      <fill>
        <patternFill>
          <bgColor rgb="FFCC082E"/>
        </patternFill>
      </fill>
    </dxf>
    <dxf>
      <font>
        <color theme="1"/>
      </font>
      <fill>
        <patternFill>
          <bgColor rgb="FFEFFEE3"/>
        </patternFill>
      </fill>
    </dxf>
    <dxf>
      <font>
        <color theme="0"/>
      </font>
      <fill>
        <patternFill>
          <bgColor rgb="FF4F5F69"/>
        </patternFill>
      </fill>
    </dxf>
    <dxf>
      <font>
        <color rgb="FF4F5F69"/>
      </font>
      <fill>
        <patternFill>
          <bgColor rgb="FF4F5F69"/>
        </patternFill>
      </fill>
    </dxf>
    <dxf>
      <font>
        <color theme="0"/>
      </font>
      <fill>
        <patternFill>
          <bgColor rgb="FF4F5F69"/>
        </patternFill>
      </fill>
    </dxf>
    <dxf>
      <font>
        <color theme="0"/>
      </font>
      <fill>
        <patternFill>
          <bgColor rgb="FF4F5F69"/>
        </patternFill>
      </fill>
    </dxf>
    <dxf>
      <font>
        <color theme="0"/>
      </font>
      <fill>
        <patternFill>
          <bgColor rgb="FF505F69"/>
        </patternFill>
      </fill>
    </dxf>
    <dxf>
      <font>
        <color theme="1"/>
      </font>
      <fill>
        <patternFill>
          <bgColor rgb="FFFFBD29"/>
        </patternFill>
      </fill>
    </dxf>
    <dxf>
      <font>
        <color theme="0"/>
      </font>
      <fill>
        <patternFill>
          <bgColor rgb="FFCC082E"/>
        </patternFill>
      </fill>
    </dxf>
    <dxf>
      <font>
        <color theme="0"/>
      </font>
      <fill>
        <patternFill>
          <bgColor rgb="FFCC082E"/>
        </patternFill>
      </fill>
    </dxf>
    <dxf>
      <font>
        <color theme="0"/>
      </font>
      <fill>
        <patternFill>
          <bgColor rgb="FF505F69"/>
        </patternFill>
      </fill>
    </dxf>
    <dxf>
      <font>
        <color rgb="FF4F5F69"/>
      </font>
      <fill>
        <patternFill>
          <bgColor rgb="FF4F5F69"/>
        </patternFill>
      </fill>
    </dxf>
    <dxf>
      <font>
        <color theme="0"/>
      </font>
      <fill>
        <patternFill>
          <bgColor rgb="FFCC082E"/>
        </patternFill>
      </fill>
    </dxf>
    <dxf>
      <font>
        <color theme="0"/>
      </font>
      <fill>
        <patternFill>
          <bgColor rgb="FFCC082E"/>
        </patternFill>
      </fill>
    </dxf>
    <dxf>
      <font>
        <color theme="0"/>
      </font>
      <fill>
        <patternFill>
          <bgColor rgb="FFCC082E"/>
        </patternFill>
      </fill>
    </dxf>
    <dxf>
      <font>
        <color theme="1"/>
      </font>
      <fill>
        <patternFill>
          <bgColor rgb="FFEFFDE3"/>
        </patternFill>
      </fill>
    </dxf>
    <dxf>
      <font>
        <color theme="0"/>
      </font>
      <fill>
        <patternFill>
          <bgColor rgb="FF4F5F69"/>
        </patternFill>
      </fill>
    </dxf>
    <dxf>
      <font>
        <color theme="1"/>
      </font>
      <fill>
        <patternFill>
          <bgColor rgb="FFEFFDE3"/>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theme="1"/>
      </font>
      <fill>
        <patternFill>
          <bgColor rgb="FFEFFDE3"/>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fgColor theme="1"/>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dxf>
    <dxf>
      <font>
        <color rgb="FF4F5F69"/>
      </font>
      <fill>
        <patternFill>
          <bgColor rgb="FF506069"/>
        </patternFill>
      </fill>
      <border>
        <left style="thin">
          <color auto="1"/>
        </left>
        <right style="thin">
          <color auto="1"/>
        </right>
        <top style="thin">
          <color auto="1"/>
        </top>
        <bottom style="thin">
          <color auto="1"/>
        </bottom>
        <vertical/>
        <horizontal/>
      </border>
    </dxf>
    <dxf>
      <font>
        <color rgb="FF4F5F69"/>
      </font>
      <fill>
        <patternFill>
          <bgColor rgb="FF506069"/>
        </patternFill>
      </fill>
    </dxf>
    <dxf>
      <font>
        <color rgb="FF4F5F69"/>
      </font>
      <fill>
        <patternFill>
          <bgColor rgb="FF506069"/>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rgb="FF0E223A"/>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D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1"/>
      </font>
      <fill>
        <patternFill>
          <bgColor rgb="FFEFFEE3"/>
        </patternFill>
      </fill>
    </dxf>
    <dxf>
      <font>
        <color theme="0"/>
      </font>
      <fill>
        <patternFill>
          <bgColor rgb="FF505F69"/>
        </patternFill>
      </fill>
    </dxf>
    <dxf>
      <font>
        <color theme="1"/>
      </font>
      <fill>
        <patternFill>
          <bgColor rgb="FFEFFEE3"/>
        </patternFill>
      </fill>
    </dxf>
    <dxf>
      <font>
        <color theme="1"/>
      </font>
      <fill>
        <patternFill>
          <bgColor rgb="FFEFFDE3"/>
        </patternFill>
      </fill>
    </dxf>
    <dxf>
      <font>
        <color theme="0"/>
      </font>
      <fill>
        <patternFill>
          <bgColor rgb="FFCC092F"/>
        </patternFill>
      </fill>
    </dxf>
    <dxf>
      <font>
        <color theme="0"/>
      </font>
      <fill>
        <patternFill>
          <bgColor rgb="FF4F5F69"/>
        </patternFill>
      </fill>
    </dxf>
    <dxf>
      <font>
        <color theme="0"/>
      </font>
      <fill>
        <patternFill>
          <bgColor rgb="FF4F5F69"/>
        </patternFill>
      </fill>
    </dxf>
    <dxf>
      <font>
        <color theme="1"/>
      </font>
      <fill>
        <patternFill>
          <bgColor rgb="FFEFFDE3"/>
        </patternFill>
      </fill>
    </dxf>
    <dxf>
      <font>
        <color theme="1"/>
      </font>
      <fill>
        <patternFill>
          <bgColor rgb="FFEFFDE3"/>
        </patternFill>
      </fill>
    </dxf>
    <dxf>
      <font>
        <color theme="0"/>
      </font>
      <fill>
        <patternFill>
          <bgColor rgb="FF506069"/>
        </patternFill>
      </fill>
    </dxf>
    <dxf>
      <font>
        <color theme="0"/>
      </font>
      <fill>
        <patternFill>
          <bgColor rgb="FF506069"/>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1"/>
      </font>
      <fill>
        <patternFill>
          <bgColor rgb="FFEFFDE3"/>
        </patternFill>
      </fill>
    </dxf>
    <dxf>
      <font>
        <color theme="0"/>
      </font>
      <fill>
        <patternFill>
          <bgColor rgb="FF506069"/>
        </patternFill>
      </fill>
    </dxf>
    <dxf>
      <font>
        <color theme="0"/>
      </font>
      <fill>
        <patternFill>
          <bgColor rgb="FFCC092F"/>
        </patternFill>
      </fill>
    </dxf>
    <dxf>
      <font>
        <color theme="0"/>
      </font>
      <fill>
        <patternFill>
          <bgColor rgb="FFCC092F"/>
        </patternFill>
      </fill>
    </dxf>
    <dxf>
      <font>
        <u val="none"/>
        <color theme="0"/>
      </font>
      <fill>
        <patternFill>
          <bgColor theme="5" tint="-0.24994659260841701"/>
        </patternFill>
      </fill>
    </dxf>
    <dxf>
      <font>
        <color theme="0"/>
      </font>
      <fill>
        <patternFill>
          <bgColor rgb="FFCC082E"/>
        </patternFill>
      </fill>
    </dxf>
    <dxf>
      <font>
        <color theme="0"/>
      </font>
      <fill>
        <patternFill>
          <bgColor rgb="FFCC082E"/>
        </patternFill>
      </fill>
    </dxf>
    <dxf>
      <font>
        <color theme="0"/>
      </font>
      <fill>
        <patternFill>
          <bgColor rgb="FFCC082E"/>
        </patternFill>
      </fill>
    </dxf>
    <dxf>
      <font>
        <color rgb="FF506069"/>
      </font>
      <fill>
        <patternFill>
          <bgColor rgb="FF506069"/>
        </patternFill>
      </fill>
    </dxf>
    <dxf>
      <font>
        <color theme="1"/>
      </font>
      <fill>
        <patternFill>
          <bgColor rgb="FFEFFDE3"/>
        </patternFill>
      </fill>
    </dxf>
    <dxf>
      <font>
        <color theme="0"/>
      </font>
      <fill>
        <patternFill>
          <bgColor rgb="FFCC092F"/>
        </patternFill>
      </fill>
    </dxf>
  </dxfs>
  <tableStyles count="0" defaultTableStyle="TableStyleMedium2" defaultPivotStyle="PivotStyleLight16"/>
  <colors>
    <mruColors>
      <color rgb="FFEFFEE3"/>
      <color rgb="FF0E223A"/>
      <color rgb="FFFFBE29"/>
      <color rgb="FF4F5F69"/>
      <color rgb="FFF2F8F9"/>
      <color rgb="FFF9CBAD"/>
      <color rgb="FFFFBD29"/>
      <color rgb="FFCC082E"/>
      <color rgb="FF505F69"/>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6350</xdr:colOff>
      <xdr:row>1</xdr:row>
      <xdr:rowOff>15875</xdr:rowOff>
    </xdr:from>
    <xdr:ext cx="695281" cy="650386"/>
    <xdr:pic>
      <xdr:nvPicPr>
        <xdr:cNvPr id="2" name="Picture 1">
          <a:extLst>
            <a:ext uri="{FF2B5EF4-FFF2-40B4-BE49-F238E27FC236}">
              <a16:creationId xmlns:a16="http://schemas.microsoft.com/office/drawing/2014/main" id="{0F7B8AB5-9AD8-9144-95A6-BDD7ABDFB2AE}"/>
            </a:ext>
          </a:extLst>
        </xdr:cNvPr>
        <xdr:cNvPicPr>
          <a:picLocks noChangeAspect="1"/>
        </xdr:cNvPicPr>
      </xdr:nvPicPr>
      <xdr:blipFill rotWithShape="1">
        <a:blip xmlns:r="http://schemas.openxmlformats.org/officeDocument/2006/relationships" r:embed="rId1"/>
        <a:srcRect t="3654"/>
        <a:stretch/>
      </xdr:blipFill>
      <xdr:spPr>
        <a:xfrm>
          <a:off x="222250" y="219075"/>
          <a:ext cx="704073" cy="644525"/>
        </a:xfrm>
        <a:prstGeom prst="rect">
          <a:avLst/>
        </a:prstGeom>
      </xdr:spPr>
    </xdr:pic>
    <xdr:clientData/>
  </xdr:oneCellAnchor>
  <xdr:twoCellAnchor editAs="oneCell">
    <xdr:from>
      <xdr:col>2</xdr:col>
      <xdr:colOff>29304</xdr:colOff>
      <xdr:row>7</xdr:row>
      <xdr:rowOff>126999</xdr:rowOff>
    </xdr:from>
    <xdr:to>
      <xdr:col>5</xdr:col>
      <xdr:colOff>57150</xdr:colOff>
      <xdr:row>23</xdr:row>
      <xdr:rowOff>104775</xdr:rowOff>
    </xdr:to>
    <xdr:pic>
      <xdr:nvPicPr>
        <xdr:cNvPr id="3" name="Picture 2">
          <a:extLst>
            <a:ext uri="{FF2B5EF4-FFF2-40B4-BE49-F238E27FC236}">
              <a16:creationId xmlns:a16="http://schemas.microsoft.com/office/drawing/2014/main" id="{0618441B-10F4-AAE5-5040-F0C0A5D97DCE}"/>
            </a:ext>
          </a:extLst>
        </xdr:cNvPr>
        <xdr:cNvPicPr>
          <a:picLocks noChangeAspect="1"/>
        </xdr:cNvPicPr>
      </xdr:nvPicPr>
      <xdr:blipFill>
        <a:blip xmlns:r="http://schemas.openxmlformats.org/officeDocument/2006/relationships" r:embed="rId2"/>
        <a:stretch>
          <a:fillRect/>
        </a:stretch>
      </xdr:blipFill>
      <xdr:spPr>
        <a:xfrm>
          <a:off x="378554" y="2180166"/>
          <a:ext cx="4937044" cy="330476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38100</xdr:colOff>
      <xdr:row>1</xdr:row>
      <xdr:rowOff>38100</xdr:rowOff>
    </xdr:from>
    <xdr:to>
      <xdr:col>17</xdr:col>
      <xdr:colOff>561975</xdr:colOff>
      <xdr:row>1</xdr:row>
      <xdr:rowOff>657225</xdr:rowOff>
    </xdr:to>
    <xdr:pic>
      <xdr:nvPicPr>
        <xdr:cNvPr id="3" name="Picture 2">
          <a:extLst>
            <a:ext uri="{FF2B5EF4-FFF2-40B4-BE49-F238E27FC236}">
              <a16:creationId xmlns:a16="http://schemas.microsoft.com/office/drawing/2014/main" id="{167D79CC-69B2-E042-87D5-B45DD9F944C2}"/>
            </a:ext>
          </a:extLst>
        </xdr:cNvPr>
        <xdr:cNvPicPr>
          <a:picLocks noChangeAspect="1"/>
        </xdr:cNvPicPr>
      </xdr:nvPicPr>
      <xdr:blipFill>
        <a:blip xmlns:r="http://schemas.openxmlformats.org/officeDocument/2006/relationships" r:embed="rId1"/>
        <a:stretch>
          <a:fillRect/>
        </a:stretch>
      </xdr:blipFill>
      <xdr:spPr>
        <a:xfrm>
          <a:off x="254000" y="241300"/>
          <a:ext cx="5994400" cy="622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50800</xdr:colOff>
      <xdr:row>1</xdr:row>
      <xdr:rowOff>25400</xdr:rowOff>
    </xdr:from>
    <xdr:to>
      <xdr:col>1</xdr:col>
      <xdr:colOff>762000</xdr:colOff>
      <xdr:row>2</xdr:row>
      <xdr:rowOff>0</xdr:rowOff>
    </xdr:to>
    <xdr:pic>
      <xdr:nvPicPr>
        <xdr:cNvPr id="3" name="Picture 2">
          <a:extLst>
            <a:ext uri="{FF2B5EF4-FFF2-40B4-BE49-F238E27FC236}">
              <a16:creationId xmlns:a16="http://schemas.microsoft.com/office/drawing/2014/main" id="{61F60BB8-D6AF-F94F-9DBA-2D3B475F57F8}"/>
            </a:ext>
          </a:extLst>
        </xdr:cNvPr>
        <xdr:cNvPicPr>
          <a:picLocks noChangeAspect="1"/>
        </xdr:cNvPicPr>
      </xdr:nvPicPr>
      <xdr:blipFill rotWithShape="1">
        <a:blip xmlns:r="http://schemas.openxmlformats.org/officeDocument/2006/relationships" r:embed="rId1"/>
        <a:srcRect t="3654"/>
        <a:stretch/>
      </xdr:blipFill>
      <xdr:spPr>
        <a:xfrm>
          <a:off x="266700" y="228600"/>
          <a:ext cx="712066" cy="6445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3" name="Picture 2">
          <a:extLst>
            <a:ext uri="{FF2B5EF4-FFF2-40B4-BE49-F238E27FC236}">
              <a16:creationId xmlns:a16="http://schemas.microsoft.com/office/drawing/2014/main" id="{C3F46A99-1388-804B-AD82-BB44A27DD573}"/>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12700</xdr:colOff>
      <xdr:row>1</xdr:row>
      <xdr:rowOff>0</xdr:rowOff>
    </xdr:from>
    <xdr:to>
      <xdr:col>1</xdr:col>
      <xdr:colOff>727075</xdr:colOff>
      <xdr:row>1</xdr:row>
      <xdr:rowOff>647700</xdr:rowOff>
    </xdr:to>
    <xdr:pic>
      <xdr:nvPicPr>
        <xdr:cNvPr id="3" name="Picture 2">
          <a:extLst>
            <a:ext uri="{FF2B5EF4-FFF2-40B4-BE49-F238E27FC236}">
              <a16:creationId xmlns:a16="http://schemas.microsoft.com/office/drawing/2014/main" id="{3C6BD553-E181-084C-BE1E-B99E49A3436D}"/>
            </a:ext>
          </a:extLst>
        </xdr:cNvPr>
        <xdr:cNvPicPr>
          <a:picLocks noChangeAspect="1"/>
        </xdr:cNvPicPr>
      </xdr:nvPicPr>
      <xdr:blipFill rotWithShape="1">
        <a:blip xmlns:r="http://schemas.openxmlformats.org/officeDocument/2006/relationships" r:embed="rId1"/>
        <a:srcRect t="3654"/>
        <a:stretch/>
      </xdr:blipFill>
      <xdr:spPr>
        <a:xfrm>
          <a:off x="838200" y="203200"/>
          <a:ext cx="714375" cy="6477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712066" cy="644525"/>
    <xdr:pic>
      <xdr:nvPicPr>
        <xdr:cNvPr id="2" name="Picture 1">
          <a:extLst>
            <a:ext uri="{FF2B5EF4-FFF2-40B4-BE49-F238E27FC236}">
              <a16:creationId xmlns:a16="http://schemas.microsoft.com/office/drawing/2014/main" id="{DAE31C28-F1FE-5B4B-B2C1-5878DB8A20BD}"/>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712066" cy="644525"/>
    <xdr:pic>
      <xdr:nvPicPr>
        <xdr:cNvPr id="3" name="Picture 2">
          <a:extLst>
            <a:ext uri="{FF2B5EF4-FFF2-40B4-BE49-F238E27FC236}">
              <a16:creationId xmlns:a16="http://schemas.microsoft.com/office/drawing/2014/main" id="{DA9223FA-0698-9643-9BFD-755625F85F86}"/>
            </a:ext>
          </a:extLst>
        </xdr:cNvPr>
        <xdr:cNvPicPr>
          <a:picLocks noChangeAspect="1"/>
        </xdr:cNvPicPr>
      </xdr:nvPicPr>
      <xdr:blipFill rotWithShape="1">
        <a:blip xmlns:r="http://schemas.openxmlformats.org/officeDocument/2006/relationships" r:embed="rId1"/>
        <a:srcRect t="3654"/>
        <a:stretch/>
      </xdr:blipFill>
      <xdr:spPr>
        <a:xfrm>
          <a:off x="215900" y="190500"/>
          <a:ext cx="712066" cy="644525"/>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712066" cy="644525"/>
    <xdr:pic>
      <xdr:nvPicPr>
        <xdr:cNvPr id="2" name="Picture 1">
          <a:extLst>
            <a:ext uri="{FF2B5EF4-FFF2-40B4-BE49-F238E27FC236}">
              <a16:creationId xmlns:a16="http://schemas.microsoft.com/office/drawing/2014/main" id="{40A4096D-8522-EA45-A71A-044DDDF82D49}"/>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2" name="Picture 1">
          <a:extLst>
            <a:ext uri="{FF2B5EF4-FFF2-40B4-BE49-F238E27FC236}">
              <a16:creationId xmlns:a16="http://schemas.microsoft.com/office/drawing/2014/main" id="{0510E429-7CD3-414D-8A0C-A6256FBA6B07}"/>
            </a:ext>
          </a:extLst>
        </xdr:cNvPr>
        <xdr:cNvPicPr>
          <a:picLocks noChangeAspect="1"/>
        </xdr:cNvPicPr>
      </xdr:nvPicPr>
      <xdr:blipFill rotWithShape="1">
        <a:blip xmlns:r="http://schemas.openxmlformats.org/officeDocument/2006/relationships" r:embed="rId1"/>
        <a:srcRect t="3654"/>
        <a:stretch/>
      </xdr:blipFill>
      <xdr:spPr>
        <a:xfrm>
          <a:off x="825500" y="190500"/>
          <a:ext cx="712066" cy="6445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0</xdr:colOff>
      <xdr:row>1</xdr:row>
      <xdr:rowOff>0</xdr:rowOff>
    </xdr:from>
    <xdr:ext cx="712066" cy="644525"/>
    <xdr:pic>
      <xdr:nvPicPr>
        <xdr:cNvPr id="2" name="Picture 1">
          <a:extLst>
            <a:ext uri="{FF2B5EF4-FFF2-40B4-BE49-F238E27FC236}">
              <a16:creationId xmlns:a16="http://schemas.microsoft.com/office/drawing/2014/main" id="{3C1E75BC-47A0-4E4D-9AF5-109B823EBD17}"/>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3" name="Picture 2">
          <a:extLst>
            <a:ext uri="{FF2B5EF4-FFF2-40B4-BE49-F238E27FC236}">
              <a16:creationId xmlns:a16="http://schemas.microsoft.com/office/drawing/2014/main" id="{0DE1058D-CE1F-7546-BBE1-6A8C15E20ED5}"/>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2" name="Picture 1">
          <a:extLst>
            <a:ext uri="{FF2B5EF4-FFF2-40B4-BE49-F238E27FC236}">
              <a16:creationId xmlns:a16="http://schemas.microsoft.com/office/drawing/2014/main" id="{D6559012-1725-7446-852C-B5B53ADC1E0F}"/>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3" name="Picture 2">
          <a:extLst>
            <a:ext uri="{FF2B5EF4-FFF2-40B4-BE49-F238E27FC236}">
              <a16:creationId xmlns:a16="http://schemas.microsoft.com/office/drawing/2014/main" id="{57F956BF-C783-1D4C-BCB8-EB0F04DC30E3}"/>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3" name="Picture 2">
          <a:extLst>
            <a:ext uri="{FF2B5EF4-FFF2-40B4-BE49-F238E27FC236}">
              <a16:creationId xmlns:a16="http://schemas.microsoft.com/office/drawing/2014/main" id="{74F9FC93-9A1E-1745-B6AA-735B90CC57A9}"/>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714375</xdr:colOff>
      <xdr:row>1</xdr:row>
      <xdr:rowOff>647700</xdr:rowOff>
    </xdr:to>
    <xdr:pic>
      <xdr:nvPicPr>
        <xdr:cNvPr id="2" name="Picture 1">
          <a:extLst>
            <a:ext uri="{FF2B5EF4-FFF2-40B4-BE49-F238E27FC236}">
              <a16:creationId xmlns:a16="http://schemas.microsoft.com/office/drawing/2014/main" id="{F0C52B6F-34E7-8445-97E3-707FACA211FC}"/>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101600</xdr:colOff>
      <xdr:row>1</xdr:row>
      <xdr:rowOff>36475</xdr:rowOff>
    </xdr:from>
    <xdr:to>
      <xdr:col>4</xdr:col>
      <xdr:colOff>333375</xdr:colOff>
      <xdr:row>2</xdr:row>
      <xdr:rowOff>0</xdr:rowOff>
    </xdr:to>
    <xdr:pic>
      <xdr:nvPicPr>
        <xdr:cNvPr id="3" name="Picture 2">
          <a:extLst>
            <a:ext uri="{FF2B5EF4-FFF2-40B4-BE49-F238E27FC236}">
              <a16:creationId xmlns:a16="http://schemas.microsoft.com/office/drawing/2014/main" id="{844A7700-F907-2F45-954D-6F5528E5A868}"/>
            </a:ext>
          </a:extLst>
        </xdr:cNvPr>
        <xdr:cNvPicPr>
          <a:picLocks noChangeAspect="1"/>
        </xdr:cNvPicPr>
      </xdr:nvPicPr>
      <xdr:blipFill rotWithShape="1">
        <a:blip xmlns:r="http://schemas.openxmlformats.org/officeDocument/2006/relationships" r:embed="rId1"/>
        <a:srcRect t="3654"/>
        <a:stretch/>
      </xdr:blipFill>
      <xdr:spPr>
        <a:xfrm>
          <a:off x="317500" y="239675"/>
          <a:ext cx="685800" cy="620750"/>
        </a:xfrm>
        <a:prstGeom prst="rect">
          <a:avLst/>
        </a:prstGeom>
      </xdr:spPr>
    </xdr:pic>
    <xdr:clientData/>
  </xdr:twoCellAnchor>
  <xdr:twoCellAnchor editAs="oneCell">
    <xdr:from>
      <xdr:col>0</xdr:col>
      <xdr:colOff>203200</xdr:colOff>
      <xdr:row>4</xdr:row>
      <xdr:rowOff>63500</xdr:rowOff>
    </xdr:from>
    <xdr:to>
      <xdr:col>7</xdr:col>
      <xdr:colOff>114300</xdr:colOff>
      <xdr:row>11</xdr:row>
      <xdr:rowOff>104775</xdr:rowOff>
    </xdr:to>
    <xdr:pic>
      <xdr:nvPicPr>
        <xdr:cNvPr id="2" name="Picture 1">
          <a:extLst>
            <a:ext uri="{FF2B5EF4-FFF2-40B4-BE49-F238E27FC236}">
              <a16:creationId xmlns:a16="http://schemas.microsoft.com/office/drawing/2014/main" id="{9DEC7109-6DBD-6A4D-9570-47749CF08D95}"/>
            </a:ext>
          </a:extLst>
        </xdr:cNvPr>
        <xdr:cNvPicPr>
          <a:picLocks noChangeAspect="1"/>
        </xdr:cNvPicPr>
      </xdr:nvPicPr>
      <xdr:blipFill>
        <a:blip xmlns:r="http://schemas.openxmlformats.org/officeDocument/2006/relationships" r:embed="rId2"/>
        <a:stretch>
          <a:fillRect/>
        </a:stretch>
      </xdr:blipFill>
      <xdr:spPr>
        <a:xfrm>
          <a:off x="203200" y="1397000"/>
          <a:ext cx="2908300" cy="19467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712066" cy="644525"/>
    <xdr:pic>
      <xdr:nvPicPr>
        <xdr:cNvPr id="3" name="Picture 2">
          <a:extLst>
            <a:ext uri="{FF2B5EF4-FFF2-40B4-BE49-F238E27FC236}">
              <a16:creationId xmlns:a16="http://schemas.microsoft.com/office/drawing/2014/main" id="{7AF2D49B-B386-4347-91DC-805913B72A52}"/>
            </a:ext>
          </a:extLst>
        </xdr:cNvPr>
        <xdr:cNvPicPr>
          <a:picLocks noChangeAspect="1"/>
        </xdr:cNvPicPr>
      </xdr:nvPicPr>
      <xdr:blipFill rotWithShape="1">
        <a:blip xmlns:r="http://schemas.openxmlformats.org/officeDocument/2006/relationships" r:embed="rId1"/>
        <a:srcRect t="3654"/>
        <a:stretch/>
      </xdr:blipFill>
      <xdr:spPr>
        <a:xfrm>
          <a:off x="825500" y="190500"/>
          <a:ext cx="712066" cy="6445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712066" cy="644525"/>
    <xdr:pic>
      <xdr:nvPicPr>
        <xdr:cNvPr id="2" name="Picture 1">
          <a:extLst>
            <a:ext uri="{FF2B5EF4-FFF2-40B4-BE49-F238E27FC236}">
              <a16:creationId xmlns:a16="http://schemas.microsoft.com/office/drawing/2014/main" id="{1943BD93-FB19-7F49-8CDB-DD0F48F1FA51}"/>
            </a:ext>
          </a:extLst>
        </xdr:cNvPr>
        <xdr:cNvPicPr>
          <a:picLocks noChangeAspect="1"/>
        </xdr:cNvPicPr>
      </xdr:nvPicPr>
      <xdr:blipFill rotWithShape="1">
        <a:blip xmlns:r="http://schemas.openxmlformats.org/officeDocument/2006/relationships" r:embed="rId1"/>
        <a:srcRect t="3654"/>
        <a:stretch/>
      </xdr:blipFill>
      <xdr:spPr>
        <a:xfrm>
          <a:off x="215900" y="203200"/>
          <a:ext cx="712066" cy="64452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752475</xdr:colOff>
      <xdr:row>2</xdr:row>
      <xdr:rowOff>0</xdr:rowOff>
    </xdr:to>
    <xdr:pic>
      <xdr:nvPicPr>
        <xdr:cNvPr id="2" name="Picture 1">
          <a:extLst>
            <a:ext uri="{FF2B5EF4-FFF2-40B4-BE49-F238E27FC236}">
              <a16:creationId xmlns:a16="http://schemas.microsoft.com/office/drawing/2014/main" id="{95115B97-DBB8-214C-A91B-9C0AFC1F0927}"/>
            </a:ext>
          </a:extLst>
        </xdr:cNvPr>
        <xdr:cNvPicPr>
          <a:picLocks noChangeAspect="1"/>
        </xdr:cNvPicPr>
      </xdr:nvPicPr>
      <xdr:blipFill rotWithShape="1">
        <a:blip xmlns:r="http://schemas.openxmlformats.org/officeDocument/2006/relationships" r:embed="rId1"/>
        <a:srcRect t="3654"/>
        <a:stretch/>
      </xdr:blipFill>
      <xdr:spPr>
        <a:xfrm>
          <a:off x="254000" y="241300"/>
          <a:ext cx="712066" cy="6445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25400</xdr:colOff>
      <xdr:row>1</xdr:row>
      <xdr:rowOff>0</xdr:rowOff>
    </xdr:from>
    <xdr:to>
      <xdr:col>1</xdr:col>
      <xdr:colOff>733425</xdr:colOff>
      <xdr:row>1</xdr:row>
      <xdr:rowOff>647700</xdr:rowOff>
    </xdr:to>
    <xdr:pic>
      <xdr:nvPicPr>
        <xdr:cNvPr id="3" name="Picture 2">
          <a:extLst>
            <a:ext uri="{FF2B5EF4-FFF2-40B4-BE49-F238E27FC236}">
              <a16:creationId xmlns:a16="http://schemas.microsoft.com/office/drawing/2014/main" id="{3BA31008-797A-C349-8C24-9BE12F5D3775}"/>
            </a:ext>
          </a:extLst>
        </xdr:cNvPr>
        <xdr:cNvPicPr>
          <a:picLocks noChangeAspect="1"/>
        </xdr:cNvPicPr>
      </xdr:nvPicPr>
      <xdr:blipFill rotWithShape="1">
        <a:blip xmlns:r="http://schemas.openxmlformats.org/officeDocument/2006/relationships" r:embed="rId1"/>
        <a:srcRect t="3654"/>
        <a:stretch/>
      </xdr:blipFill>
      <xdr:spPr>
        <a:xfrm>
          <a:off x="241300" y="203200"/>
          <a:ext cx="712066" cy="6445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25400</xdr:rowOff>
    </xdr:from>
    <xdr:to>
      <xdr:col>1</xdr:col>
      <xdr:colOff>752475</xdr:colOff>
      <xdr:row>2</xdr:row>
      <xdr:rowOff>0</xdr:rowOff>
    </xdr:to>
    <xdr:pic>
      <xdr:nvPicPr>
        <xdr:cNvPr id="3" name="Picture 2">
          <a:extLst>
            <a:ext uri="{FF2B5EF4-FFF2-40B4-BE49-F238E27FC236}">
              <a16:creationId xmlns:a16="http://schemas.microsoft.com/office/drawing/2014/main" id="{78907312-55E0-B446-93E5-EAE2ACA97989}"/>
            </a:ext>
          </a:extLst>
        </xdr:cNvPr>
        <xdr:cNvPicPr>
          <a:picLocks noChangeAspect="1"/>
        </xdr:cNvPicPr>
      </xdr:nvPicPr>
      <xdr:blipFill rotWithShape="1">
        <a:blip xmlns:r="http://schemas.openxmlformats.org/officeDocument/2006/relationships" r:embed="rId1"/>
        <a:srcRect t="3654"/>
        <a:stretch/>
      </xdr:blipFill>
      <xdr:spPr>
        <a:xfrm>
          <a:off x="254000" y="228600"/>
          <a:ext cx="712066" cy="6445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4</xdr:col>
      <xdr:colOff>714375</xdr:colOff>
      <xdr:row>1</xdr:row>
      <xdr:rowOff>647700</xdr:rowOff>
    </xdr:to>
    <xdr:pic>
      <xdr:nvPicPr>
        <xdr:cNvPr id="3" name="Picture 2">
          <a:extLst>
            <a:ext uri="{FF2B5EF4-FFF2-40B4-BE49-F238E27FC236}">
              <a16:creationId xmlns:a16="http://schemas.microsoft.com/office/drawing/2014/main" id="{C9CFD7A9-BE84-D842-B7EE-7218570B4D6D}"/>
            </a:ext>
          </a:extLst>
        </xdr:cNvPr>
        <xdr:cNvPicPr>
          <a:picLocks noChangeAspect="1"/>
        </xdr:cNvPicPr>
      </xdr:nvPicPr>
      <xdr:blipFill rotWithShape="1">
        <a:blip xmlns:r="http://schemas.openxmlformats.org/officeDocument/2006/relationships" r:embed="rId1"/>
        <a:srcRect t="3654"/>
        <a:stretch/>
      </xdr:blipFill>
      <xdr:spPr>
        <a:xfrm>
          <a:off x="7378700" y="203200"/>
          <a:ext cx="712066" cy="64452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3" Type="http://schemas.openxmlformats.org/officeDocument/2006/relationships/hyperlink" Target="mailto:administrator@vsphere.local" TargetMode="External"/><Relationship Id="rId2" Type="http://schemas.openxmlformats.org/officeDocument/2006/relationships/hyperlink" Target="mailto:administrator@vsphere.local" TargetMode="External"/><Relationship Id="rId1" Type="http://schemas.openxmlformats.org/officeDocument/2006/relationships/hyperlink" Target="mailto:administrator@vsphere.local" TargetMode="External"/><Relationship Id="rId5" Type="http://schemas.openxmlformats.org/officeDocument/2006/relationships/drawing" Target="../drawings/drawing10.xml"/><Relationship Id="rId4" Type="http://schemas.openxmlformats.org/officeDocument/2006/relationships/hyperlink" Target="mailto:administrator@vsphere.local"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hyperlink" Target="mailto:svc-cbo-vsphere@sfo.rainpole.io"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techdocs.broadcom.com/us/en/vmware-cis/vcf/vvs/9-X/on-prem-ransomware-recovery-for-vmware-cloud-foundation.html" TargetMode="External"/><Relationship Id="rId1" Type="http://schemas.openxmlformats.org/officeDocument/2006/relationships/hyperlink" Target="https://techdocs.broadcom.com/us/en/vmware-cis/vcf/vvs/9-X/site-protection-and-disaster-recovery-for-vmware-cloud-foundation.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invalid:URI%20mailto:VMw@re1!VMw@re1!" TargetMode="External"/><Relationship Id="rId1" Type="http://schemas.openxmlformats.org/officeDocument/2006/relationships/hyperlink" Target="mailto:my_offline_depot@rainpole.io"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CC14-7A1F-2245-A183-B47410360F37}">
  <sheetPr codeName="Sheet8">
    <tabColor theme="3"/>
  </sheetPr>
  <dimension ref="A1:G85"/>
  <sheetViews>
    <sheetView showGridLines="0" zoomScaleNormal="100" workbookViewId="0">
      <pane ySplit="4" topLeftCell="A5" activePane="bottomLeft" state="frozen"/>
      <selection pane="bottomLeft"/>
    </sheetView>
  </sheetViews>
  <sheetFormatPr baseColWidth="10" defaultColWidth="10.83203125" defaultRowHeight="16" x14ac:dyDescent="0.2"/>
  <cols>
    <col min="1" max="1" width="2.83203125" style="2" customWidth="1"/>
    <col min="2" max="2" width="63.83203125" style="2" customWidth="1"/>
    <col min="3" max="3" width="54.83203125" style="11" customWidth="1"/>
    <col min="4" max="4" width="65.83203125" style="3" customWidth="1"/>
    <col min="5" max="5" width="99.5" style="3" customWidth="1"/>
    <col min="6" max="9" width="10.83203125" style="2" customWidth="1"/>
    <col min="10" max="16384" width="10.83203125" style="2"/>
  </cols>
  <sheetData>
    <row r="1" spans="1:7" ht="16" customHeight="1" x14ac:dyDescent="0.2">
      <c r="A1" s="1"/>
      <c r="C1" s="2"/>
      <c r="D1" s="2"/>
      <c r="E1" s="2"/>
    </row>
    <row r="2" spans="1:7" ht="54" customHeight="1" x14ac:dyDescent="0.2">
      <c r="B2" s="430" t="s">
        <v>3290</v>
      </c>
      <c r="C2" s="430"/>
      <c r="D2" s="430"/>
      <c r="E2" s="430"/>
      <c r="F2" s="244"/>
      <c r="G2" s="244"/>
    </row>
    <row r="3" spans="1:7" ht="20" customHeight="1" x14ac:dyDescent="0.2">
      <c r="B3" s="51" t="s">
        <v>3291</v>
      </c>
      <c r="C3" s="431"/>
      <c r="D3" s="431"/>
      <c r="E3" s="431"/>
      <c r="F3" s="21"/>
      <c r="G3" s="21"/>
    </row>
    <row r="6" spans="1:7" s="125" customFormat="1" ht="34" customHeight="1" x14ac:dyDescent="0.2">
      <c r="B6" s="435" t="s">
        <v>3292</v>
      </c>
      <c r="C6" s="435"/>
      <c r="D6" s="435"/>
      <c r="E6" s="435"/>
    </row>
    <row r="7" spans="1:7" ht="20" customHeight="1" x14ac:dyDescent="0.2">
      <c r="B7" s="223" t="s">
        <v>3293</v>
      </c>
      <c r="C7" s="292" t="s">
        <v>3294</v>
      </c>
      <c r="D7" s="434" t="s">
        <v>21</v>
      </c>
      <c r="E7" s="434"/>
    </row>
    <row r="8" spans="1:7" ht="68" x14ac:dyDescent="0.2">
      <c r="B8" s="8" t="s">
        <v>3295</v>
      </c>
      <c r="C8" s="286" t="s">
        <v>4109</v>
      </c>
      <c r="D8" s="437" t="s">
        <v>3296</v>
      </c>
      <c r="E8" s="438"/>
    </row>
    <row r="9" spans="1:7" ht="20" customHeight="1" x14ac:dyDescent="0.2">
      <c r="B9" s="8" t="s">
        <v>2167</v>
      </c>
      <c r="C9" s="241" t="s">
        <v>3297</v>
      </c>
      <c r="D9" s="437" t="s">
        <v>2153</v>
      </c>
      <c r="E9" s="438"/>
    </row>
    <row r="10" spans="1:7" ht="50" customHeight="1" x14ac:dyDescent="0.2">
      <c r="B10" s="8" t="s">
        <v>3298</v>
      </c>
      <c r="C10" s="241" t="s">
        <v>3297</v>
      </c>
      <c r="D10" s="437" t="s">
        <v>3299</v>
      </c>
      <c r="E10" s="438"/>
    </row>
    <row r="11" spans="1:7" ht="50" customHeight="1" x14ac:dyDescent="0.2">
      <c r="B11" s="8" t="s">
        <v>3300</v>
      </c>
      <c r="C11" s="241" t="s">
        <v>3301</v>
      </c>
      <c r="D11" s="437" t="s">
        <v>3302</v>
      </c>
      <c r="E11" s="438"/>
    </row>
    <row r="12" spans="1:7" ht="96" customHeight="1" x14ac:dyDescent="0.2">
      <c r="B12" s="8" t="s">
        <v>3303</v>
      </c>
      <c r="C12" s="241" t="s">
        <v>3297</v>
      </c>
      <c r="D12" s="432" t="s">
        <v>3304</v>
      </c>
      <c r="E12" s="432"/>
    </row>
    <row r="13" spans="1:7" ht="90" customHeight="1" x14ac:dyDescent="0.2">
      <c r="B13" s="8" t="s">
        <v>3305</v>
      </c>
      <c r="C13" s="241" t="s">
        <v>3297</v>
      </c>
      <c r="D13" s="432" t="s">
        <v>3306</v>
      </c>
      <c r="E13" s="432"/>
    </row>
    <row r="14" spans="1:7" ht="90" customHeight="1" x14ac:dyDescent="0.2">
      <c r="B14" s="8" t="s">
        <v>3307</v>
      </c>
      <c r="C14" s="241" t="s">
        <v>3297</v>
      </c>
      <c r="D14" s="445" t="s">
        <v>3308</v>
      </c>
      <c r="E14" s="446"/>
    </row>
    <row r="15" spans="1:7" ht="34" x14ac:dyDescent="0.2">
      <c r="B15" s="8" t="s">
        <v>3309</v>
      </c>
      <c r="C15" s="241" t="s">
        <v>3297</v>
      </c>
      <c r="D15" s="306" t="s">
        <v>3310</v>
      </c>
      <c r="E15" s="307"/>
    </row>
    <row r="16" spans="1:7" ht="34" x14ac:dyDescent="0.2">
      <c r="B16" s="8" t="s">
        <v>3311</v>
      </c>
      <c r="C16" s="241" t="s">
        <v>3297</v>
      </c>
      <c r="D16" s="306" t="s">
        <v>3310</v>
      </c>
      <c r="E16" s="307"/>
    </row>
    <row r="17" spans="2:5" ht="34" x14ac:dyDescent="0.2">
      <c r="B17" s="8" t="s">
        <v>3312</v>
      </c>
      <c r="C17" s="286" t="s">
        <v>3313</v>
      </c>
      <c r="D17" s="436" t="s">
        <v>3314</v>
      </c>
      <c r="E17" s="436"/>
    </row>
    <row r="19" spans="2:5" s="125" customFormat="1" ht="34" customHeight="1" x14ac:dyDescent="0.2">
      <c r="B19" s="435" t="s">
        <v>3315</v>
      </c>
      <c r="C19" s="435"/>
      <c r="D19" s="435"/>
      <c r="E19" s="435"/>
    </row>
    <row r="20" spans="2:5" ht="20" customHeight="1" x14ac:dyDescent="0.2">
      <c r="B20" s="223" t="s">
        <v>3293</v>
      </c>
      <c r="C20" s="292" t="s">
        <v>3294</v>
      </c>
      <c r="D20" s="434" t="s">
        <v>21</v>
      </c>
      <c r="E20" s="434"/>
    </row>
    <row r="21" spans="2:5" ht="20" customHeight="1" x14ac:dyDescent="0.2">
      <c r="B21" s="8" t="s">
        <v>3316</v>
      </c>
      <c r="C21" s="241" t="s">
        <v>3317</v>
      </c>
      <c r="D21" s="447" t="s">
        <v>3318</v>
      </c>
      <c r="E21" s="448"/>
    </row>
    <row r="22" spans="2:5" ht="20" customHeight="1" x14ac:dyDescent="0.2">
      <c r="B22" s="8" t="s">
        <v>2167</v>
      </c>
      <c r="C22" s="241" t="s">
        <v>3301</v>
      </c>
      <c r="D22" s="449"/>
      <c r="E22" s="450"/>
    </row>
    <row r="23" spans="2:5" ht="20" customHeight="1" x14ac:dyDescent="0.2">
      <c r="B23" s="8" t="s">
        <v>3298</v>
      </c>
      <c r="C23" s="241" t="s">
        <v>3301</v>
      </c>
      <c r="D23" s="449"/>
      <c r="E23" s="450"/>
    </row>
    <row r="24" spans="2:5" ht="20" customHeight="1" x14ac:dyDescent="0.2">
      <c r="B24" s="8" t="s">
        <v>3300</v>
      </c>
      <c r="C24" s="241" t="s">
        <v>3301</v>
      </c>
      <c r="D24" s="449"/>
      <c r="E24" s="450"/>
    </row>
    <row r="25" spans="2:5" ht="20" customHeight="1" x14ac:dyDescent="0.2">
      <c r="B25" s="8" t="s">
        <v>3319</v>
      </c>
      <c r="C25" s="241" t="s">
        <v>3301</v>
      </c>
      <c r="D25" s="449"/>
      <c r="E25" s="450"/>
    </row>
    <row r="26" spans="2:5" ht="20" customHeight="1" x14ac:dyDescent="0.2">
      <c r="B26" s="8" t="s">
        <v>3320</v>
      </c>
      <c r="C26" s="241" t="s">
        <v>3301</v>
      </c>
      <c r="D26" s="449"/>
      <c r="E26" s="450"/>
    </row>
    <row r="27" spans="2:5" ht="20" customHeight="1" x14ac:dyDescent="0.2">
      <c r="B27" s="8" t="s">
        <v>3307</v>
      </c>
      <c r="C27" s="241" t="s">
        <v>3301</v>
      </c>
      <c r="D27" s="449"/>
      <c r="E27" s="450"/>
    </row>
    <row r="28" spans="2:5" ht="20" customHeight="1" x14ac:dyDescent="0.2">
      <c r="B28" s="8" t="s">
        <v>3309</v>
      </c>
      <c r="C28" s="241" t="s">
        <v>3301</v>
      </c>
      <c r="D28" s="449"/>
      <c r="E28" s="450"/>
    </row>
    <row r="29" spans="2:5" ht="20" customHeight="1" x14ac:dyDescent="0.2">
      <c r="B29" s="8" t="s">
        <v>3311</v>
      </c>
      <c r="C29" s="241" t="s">
        <v>3301</v>
      </c>
      <c r="D29" s="449"/>
      <c r="E29" s="450"/>
    </row>
    <row r="30" spans="2:5" ht="49" customHeight="1" x14ac:dyDescent="0.2">
      <c r="B30" s="8" t="s">
        <v>3312</v>
      </c>
      <c r="C30" s="286" t="s">
        <v>3313</v>
      </c>
      <c r="D30" s="432" t="s">
        <v>3321</v>
      </c>
      <c r="E30" s="432"/>
    </row>
    <row r="32" spans="2:5" s="125" customFormat="1" ht="34" customHeight="1" x14ac:dyDescent="0.2">
      <c r="B32" s="435" t="s">
        <v>3322</v>
      </c>
      <c r="C32" s="435"/>
      <c r="D32" s="435"/>
      <c r="E32" s="435"/>
    </row>
    <row r="33" spans="2:5" ht="20" customHeight="1" x14ac:dyDescent="0.2">
      <c r="B33" s="223" t="s">
        <v>18</v>
      </c>
      <c r="C33" s="223" t="s">
        <v>10</v>
      </c>
      <c r="D33" s="434" t="s">
        <v>21</v>
      </c>
      <c r="E33" s="434"/>
    </row>
    <row r="34" spans="2:5" ht="105" customHeight="1" x14ac:dyDescent="0.2">
      <c r="B34" s="442" t="s">
        <v>3323</v>
      </c>
      <c r="C34" s="8" t="s">
        <v>3324</v>
      </c>
      <c r="D34" s="432" t="s">
        <v>3325</v>
      </c>
      <c r="E34" s="433"/>
    </row>
    <row r="35" spans="2:5" ht="34" customHeight="1" x14ac:dyDescent="0.2">
      <c r="B35" s="443"/>
      <c r="C35" s="26" t="s">
        <v>3326</v>
      </c>
      <c r="D35" s="433" t="s">
        <v>3327</v>
      </c>
      <c r="E35" s="433"/>
    </row>
    <row r="36" spans="2:5" ht="20" customHeight="1" x14ac:dyDescent="0.2">
      <c r="B36" s="443"/>
      <c r="C36" s="26" t="s">
        <v>3328</v>
      </c>
      <c r="D36" s="432" t="s">
        <v>3329</v>
      </c>
      <c r="E36" s="432"/>
    </row>
    <row r="37" spans="2:5" ht="20" customHeight="1" x14ac:dyDescent="0.2">
      <c r="B37" s="443"/>
      <c r="C37" s="26" t="s">
        <v>3330</v>
      </c>
      <c r="D37" s="432" t="s">
        <v>3331</v>
      </c>
      <c r="E37" s="432"/>
    </row>
    <row r="38" spans="2:5" ht="120" customHeight="1" x14ac:dyDescent="0.2">
      <c r="B38" s="444"/>
      <c r="C38" s="26" t="s">
        <v>3332</v>
      </c>
      <c r="D38" s="432" t="s">
        <v>3333</v>
      </c>
      <c r="E38" s="433"/>
    </row>
    <row r="40" spans="2:5" s="125" customFormat="1" ht="34" customHeight="1" x14ac:dyDescent="0.2">
      <c r="B40" s="435" t="s">
        <v>3334</v>
      </c>
      <c r="C40" s="435"/>
      <c r="D40" s="435"/>
      <c r="E40" s="435"/>
    </row>
    <row r="41" spans="2:5" ht="20" customHeight="1" x14ac:dyDescent="0.2">
      <c r="B41" s="223" t="s">
        <v>3335</v>
      </c>
      <c r="C41" s="292" t="s">
        <v>3336</v>
      </c>
      <c r="D41" s="223" t="s">
        <v>3337</v>
      </c>
      <c r="E41" s="223" t="s">
        <v>21</v>
      </c>
    </row>
    <row r="42" spans="2:5" ht="17" x14ac:dyDescent="0.2">
      <c r="B42" s="8" t="s">
        <v>3338</v>
      </c>
      <c r="C42" s="241" t="s">
        <v>3339</v>
      </c>
      <c r="D42" s="26" t="s">
        <v>4108</v>
      </c>
      <c r="E42" s="26"/>
    </row>
    <row r="43" spans="2:5" ht="34" x14ac:dyDescent="0.2">
      <c r="B43" s="8" t="s">
        <v>3340</v>
      </c>
      <c r="C43" s="241" t="s">
        <v>3339</v>
      </c>
      <c r="D43" s="26" t="s">
        <v>3341</v>
      </c>
      <c r="E43" s="26" t="s">
        <v>3342</v>
      </c>
    </row>
    <row r="45" spans="2:5" ht="34" customHeight="1" x14ac:dyDescent="0.2">
      <c r="B45" s="435" t="s">
        <v>3343</v>
      </c>
      <c r="C45" s="435"/>
      <c r="D45" s="435"/>
      <c r="E45" s="435"/>
    </row>
    <row r="46" spans="2:5" ht="20" customHeight="1" x14ac:dyDescent="0.2">
      <c r="B46" s="223" t="s">
        <v>3335</v>
      </c>
      <c r="C46" s="292" t="s">
        <v>3344</v>
      </c>
      <c r="D46" s="223" t="s">
        <v>3345</v>
      </c>
      <c r="E46" s="223" t="s">
        <v>21</v>
      </c>
    </row>
    <row r="47" spans="2:5" ht="20" customHeight="1" x14ac:dyDescent="0.2">
      <c r="B47" s="8" t="s">
        <v>3346</v>
      </c>
      <c r="C47" s="8" t="s">
        <v>3347</v>
      </c>
      <c r="D47" s="8" t="s">
        <v>3348</v>
      </c>
      <c r="E47" s="8" t="s">
        <v>4110</v>
      </c>
    </row>
    <row r="49" spans="2:5" ht="34" customHeight="1" x14ac:dyDescent="0.2">
      <c r="B49" s="435" t="s">
        <v>3349</v>
      </c>
      <c r="C49" s="435"/>
      <c r="D49" s="435"/>
      <c r="E49" s="435"/>
    </row>
    <row r="50" spans="2:5" ht="20" customHeight="1" x14ac:dyDescent="0.2">
      <c r="B50" s="223" t="s">
        <v>3350</v>
      </c>
      <c r="C50" s="292" t="s">
        <v>3351</v>
      </c>
      <c r="D50" s="223" t="s">
        <v>60</v>
      </c>
      <c r="E50" s="223" t="s">
        <v>21</v>
      </c>
    </row>
    <row r="51" spans="2:5" ht="40" customHeight="1" x14ac:dyDescent="0.2">
      <c r="B51" s="8" t="s">
        <v>3352</v>
      </c>
      <c r="C51" s="322" t="s">
        <v>3353</v>
      </c>
      <c r="D51" s="322" t="s">
        <v>1393</v>
      </c>
      <c r="E51" s="323" t="s">
        <v>3354</v>
      </c>
    </row>
    <row r="52" spans="2:5" ht="40" customHeight="1" x14ac:dyDescent="0.2">
      <c r="B52" s="8" t="s">
        <v>3355</v>
      </c>
      <c r="C52" s="8"/>
      <c r="D52" s="8"/>
      <c r="E52" s="26" t="s">
        <v>3356</v>
      </c>
    </row>
    <row r="53" spans="2:5" ht="40" customHeight="1" x14ac:dyDescent="0.2">
      <c r="B53" s="8" t="s">
        <v>3357</v>
      </c>
      <c r="C53" s="8"/>
      <c r="D53" s="8"/>
      <c r="E53" s="26" t="s">
        <v>3358</v>
      </c>
    </row>
    <row r="54" spans="2:5" ht="20" customHeight="1" x14ac:dyDescent="0.2">
      <c r="B54" s="8" t="s">
        <v>3359</v>
      </c>
      <c r="C54" s="8"/>
      <c r="D54" s="8"/>
      <c r="E54" s="26" t="s">
        <v>3360</v>
      </c>
    </row>
    <row r="56" spans="2:5" s="125" customFormat="1" ht="34" customHeight="1" x14ac:dyDescent="0.2">
      <c r="B56" s="435" t="s">
        <v>3361</v>
      </c>
      <c r="C56" s="435"/>
      <c r="D56" s="435"/>
      <c r="E56" s="435"/>
    </row>
    <row r="57" spans="2:5" ht="20" customHeight="1" x14ac:dyDescent="0.2">
      <c r="B57" s="297" t="s">
        <v>18</v>
      </c>
      <c r="C57" s="440" t="s">
        <v>21</v>
      </c>
      <c r="D57" s="440"/>
      <c r="E57" s="440"/>
    </row>
    <row r="58" spans="2:5" ht="34" customHeight="1" x14ac:dyDescent="0.2">
      <c r="B58" s="8" t="s">
        <v>3362</v>
      </c>
      <c r="C58" s="441" t="s">
        <v>3363</v>
      </c>
      <c r="D58" s="441"/>
      <c r="E58" s="441"/>
    </row>
    <row r="60" spans="2:5" ht="34" customHeight="1" x14ac:dyDescent="0.2">
      <c r="B60" s="435" t="s">
        <v>1087</v>
      </c>
      <c r="C60" s="435"/>
      <c r="D60" s="435"/>
      <c r="E60" s="435"/>
    </row>
    <row r="61" spans="2:5" ht="20" customHeight="1" x14ac:dyDescent="0.2">
      <c r="B61" s="297" t="s">
        <v>18</v>
      </c>
      <c r="C61" s="298" t="s">
        <v>3351</v>
      </c>
      <c r="D61" s="298" t="s">
        <v>3364</v>
      </c>
      <c r="E61" s="298" t="s">
        <v>21</v>
      </c>
    </row>
    <row r="62" spans="2:5" ht="20" customHeight="1" x14ac:dyDescent="0.2">
      <c r="B62" s="8" t="s">
        <v>3365</v>
      </c>
      <c r="C62" s="8" t="s">
        <v>3366</v>
      </c>
      <c r="D62" s="8" t="s">
        <v>3367</v>
      </c>
      <c r="E62" s="26" t="s">
        <v>3368</v>
      </c>
    </row>
    <row r="63" spans="2:5" ht="102" x14ac:dyDescent="0.2">
      <c r="B63" s="8"/>
      <c r="C63" s="8" t="s">
        <v>3369</v>
      </c>
      <c r="D63" s="8" t="s">
        <v>3370</v>
      </c>
      <c r="E63" s="26" t="s">
        <v>3371</v>
      </c>
    </row>
    <row r="64" spans="2:5" ht="20" customHeight="1" x14ac:dyDescent="0.2">
      <c r="B64" s="8" t="s">
        <v>3372</v>
      </c>
      <c r="C64" s="8" t="s">
        <v>3373</v>
      </c>
      <c r="D64" s="8"/>
      <c r="E64" s="26" t="s">
        <v>3374</v>
      </c>
    </row>
    <row r="66" spans="2:5" ht="34" customHeight="1" x14ac:dyDescent="0.2">
      <c r="B66" s="435" t="s">
        <v>1100</v>
      </c>
      <c r="C66" s="435"/>
      <c r="D66" s="435"/>
      <c r="E66" s="435"/>
    </row>
    <row r="67" spans="2:5" ht="20" customHeight="1" x14ac:dyDescent="0.2">
      <c r="B67" s="223" t="s">
        <v>18</v>
      </c>
      <c r="C67" s="223" t="s">
        <v>3375</v>
      </c>
      <c r="D67" s="434" t="s">
        <v>21</v>
      </c>
      <c r="E67" s="434"/>
    </row>
    <row r="68" spans="2:5" ht="77" customHeight="1" x14ac:dyDescent="0.2">
      <c r="B68" s="8" t="s">
        <v>3376</v>
      </c>
      <c r="C68" s="8"/>
      <c r="D68" s="432" t="s">
        <v>4112</v>
      </c>
      <c r="E68" s="432"/>
    </row>
    <row r="69" spans="2:5" ht="340" customHeight="1" x14ac:dyDescent="0.2">
      <c r="B69" s="8" t="s">
        <v>3377</v>
      </c>
      <c r="C69" s="26" t="s">
        <v>4111</v>
      </c>
      <c r="D69" s="432" t="s">
        <v>3378</v>
      </c>
      <c r="E69" s="432"/>
    </row>
    <row r="71" spans="2:5" s="125" customFormat="1" ht="34" customHeight="1" x14ac:dyDescent="0.2">
      <c r="B71" s="435" t="s">
        <v>3379</v>
      </c>
      <c r="C71" s="435"/>
      <c r="D71" s="435"/>
      <c r="E71" s="435"/>
    </row>
    <row r="72" spans="2:5" ht="20" customHeight="1" x14ac:dyDescent="0.2">
      <c r="B72" s="223" t="s">
        <v>18</v>
      </c>
      <c r="C72" s="434" t="s">
        <v>21</v>
      </c>
      <c r="D72" s="434"/>
      <c r="E72" s="434"/>
    </row>
    <row r="73" spans="2:5" ht="34" customHeight="1" x14ac:dyDescent="0.2">
      <c r="B73" s="8" t="s">
        <v>3380</v>
      </c>
      <c r="C73" s="439" t="s">
        <v>3381</v>
      </c>
      <c r="D73" s="439"/>
      <c r="E73" s="439"/>
    </row>
    <row r="75" spans="2:5" s="125" customFormat="1" ht="34" customHeight="1" x14ac:dyDescent="0.2">
      <c r="B75" s="435" t="s">
        <v>54</v>
      </c>
      <c r="C75" s="435"/>
      <c r="D75" s="435"/>
      <c r="E75" s="435"/>
    </row>
    <row r="76" spans="2:5" ht="20" customHeight="1" x14ac:dyDescent="0.2">
      <c r="B76" s="223" t="s">
        <v>18</v>
      </c>
      <c r="C76" s="434" t="s">
        <v>21</v>
      </c>
      <c r="D76" s="434"/>
      <c r="E76" s="434"/>
    </row>
    <row r="77" spans="2:5" ht="50" customHeight="1" x14ac:dyDescent="0.2">
      <c r="B77" s="8" t="s">
        <v>54</v>
      </c>
      <c r="C77" s="439" t="s">
        <v>3382</v>
      </c>
      <c r="D77" s="439"/>
      <c r="E77" s="439" t="s">
        <v>3383</v>
      </c>
    </row>
    <row r="79" spans="2:5" s="125" customFormat="1" ht="34" customHeight="1" x14ac:dyDescent="0.2">
      <c r="B79" s="435" t="s">
        <v>1596</v>
      </c>
      <c r="C79" s="435"/>
      <c r="D79" s="435"/>
      <c r="E79" s="435"/>
    </row>
    <row r="80" spans="2:5" ht="20" customHeight="1" x14ac:dyDescent="0.2">
      <c r="B80" s="223" t="s">
        <v>18</v>
      </c>
      <c r="C80" s="434" t="s">
        <v>21</v>
      </c>
      <c r="D80" s="434"/>
      <c r="E80" s="434"/>
    </row>
    <row r="81" spans="2:5" ht="34" customHeight="1" x14ac:dyDescent="0.2">
      <c r="B81" s="8" t="s">
        <v>1596</v>
      </c>
      <c r="C81" s="439" t="s">
        <v>4113</v>
      </c>
      <c r="D81" s="439"/>
      <c r="E81" s="439"/>
    </row>
    <row r="83" spans="2:5" s="125" customFormat="1" ht="34" customHeight="1" x14ac:dyDescent="0.2">
      <c r="B83" s="435" t="s">
        <v>3384</v>
      </c>
      <c r="C83" s="435"/>
      <c r="D83" s="435"/>
      <c r="E83" s="435"/>
    </row>
    <row r="84" spans="2:5" ht="20" customHeight="1" x14ac:dyDescent="0.2">
      <c r="B84" s="223" t="s">
        <v>18</v>
      </c>
      <c r="C84" s="434" t="s">
        <v>21</v>
      </c>
      <c r="D84" s="434"/>
      <c r="E84" s="434"/>
    </row>
    <row r="85" spans="2:5" ht="86" customHeight="1" x14ac:dyDescent="0.2">
      <c r="B85" s="8" t="s">
        <v>3384</v>
      </c>
      <c r="C85" s="439" t="s">
        <v>4114</v>
      </c>
      <c r="D85" s="439"/>
      <c r="E85" s="439"/>
    </row>
  </sheetData>
  <sheetProtection algorithmName="SHA-512" hashValue="gNZx+wnKojLo3bn9oQYbrHu0IjdselnIDHq0EMOmxdoUhvF3hmcjgwZroClK0miOXEdY+xbyCOU8aEks4wV2rQ==" saltValue="XOO0UBBOTNC+3ivip9UVBA==" spinCount="100000" sheet="1" objects="1" scenarios="1"/>
  <mergeCells count="47">
    <mergeCell ref="D10:E10"/>
    <mergeCell ref="D11:E11"/>
    <mergeCell ref="D14:E14"/>
    <mergeCell ref="D21:E29"/>
    <mergeCell ref="C85:E85"/>
    <mergeCell ref="B83:E83"/>
    <mergeCell ref="B75:E75"/>
    <mergeCell ref="B79:E79"/>
    <mergeCell ref="B40:E40"/>
    <mergeCell ref="B45:E45"/>
    <mergeCell ref="C76:E76"/>
    <mergeCell ref="C77:E77"/>
    <mergeCell ref="C72:E72"/>
    <mergeCell ref="C73:E73"/>
    <mergeCell ref="D69:E69"/>
    <mergeCell ref="D67:E67"/>
    <mergeCell ref="B49:E49"/>
    <mergeCell ref="B56:E56"/>
    <mergeCell ref="D38:E38"/>
    <mergeCell ref="C80:E80"/>
    <mergeCell ref="B34:B38"/>
    <mergeCell ref="D36:E36"/>
    <mergeCell ref="D37:E37"/>
    <mergeCell ref="C81:E81"/>
    <mergeCell ref="C84:E84"/>
    <mergeCell ref="C57:E57"/>
    <mergeCell ref="B71:E71"/>
    <mergeCell ref="B60:E60"/>
    <mergeCell ref="B66:E66"/>
    <mergeCell ref="C58:E58"/>
    <mergeCell ref="D68:E68"/>
    <mergeCell ref="B2:E2"/>
    <mergeCell ref="C3:E3"/>
    <mergeCell ref="D34:E34"/>
    <mergeCell ref="D35:E35"/>
    <mergeCell ref="D33:E33"/>
    <mergeCell ref="B32:E32"/>
    <mergeCell ref="D12:E12"/>
    <mergeCell ref="D13:E13"/>
    <mergeCell ref="D17:E17"/>
    <mergeCell ref="B6:E6"/>
    <mergeCell ref="D30:E30"/>
    <mergeCell ref="B19:E19"/>
    <mergeCell ref="D7:E7"/>
    <mergeCell ref="D20:E20"/>
    <mergeCell ref="D8:E8"/>
    <mergeCell ref="D9:E9"/>
  </mergeCell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1EBC3-85BE-C748-A400-585AA8D3149E}">
  <sheetPr codeName="Sheet4">
    <tabColor theme="7" tint="0.59999389629810485"/>
  </sheetPr>
  <dimension ref="A1:J453"/>
  <sheetViews>
    <sheetView showGridLines="0" workbookViewId="0">
      <pane ySplit="4" topLeftCell="A5" activePane="bottomLeft" state="frozen"/>
      <selection pane="bottomLeft"/>
    </sheetView>
  </sheetViews>
  <sheetFormatPr baseColWidth="10" defaultRowHeight="16" x14ac:dyDescent="0.2"/>
  <cols>
    <col min="1" max="1" width="2.83203125" style="9" customWidth="1"/>
    <col min="2" max="2" width="75.83203125" style="9" customWidth="1"/>
    <col min="3" max="4" width="75.83203125" style="2" customWidth="1"/>
    <col min="5" max="5" width="125.83203125" style="2" customWidth="1"/>
    <col min="6" max="8" width="10.83203125" style="9" customWidth="1"/>
    <col min="9" max="16384" width="10.83203125" style="9"/>
  </cols>
  <sheetData>
    <row r="1" spans="1:10" s="2" customFormat="1" ht="16" customHeight="1" x14ac:dyDescent="0.2">
      <c r="A1" s="1"/>
      <c r="F1" s="9"/>
      <c r="G1" s="9"/>
      <c r="H1" s="9"/>
      <c r="I1" s="9"/>
      <c r="J1" s="9"/>
    </row>
    <row r="2" spans="1:10" s="2" customFormat="1" ht="54" customHeight="1" x14ac:dyDescent="0.2">
      <c r="B2" s="602" t="s">
        <v>960</v>
      </c>
      <c r="C2" s="603"/>
      <c r="D2" s="603"/>
      <c r="E2" s="604"/>
      <c r="F2" s="9"/>
      <c r="G2" s="9"/>
      <c r="H2" s="9"/>
      <c r="I2" s="9"/>
      <c r="J2" s="9"/>
    </row>
    <row r="3" spans="1:10" s="2" customFormat="1" ht="20" customHeight="1" x14ac:dyDescent="0.2">
      <c r="B3" s="605" t="s">
        <v>660</v>
      </c>
      <c r="C3" s="606"/>
      <c r="D3" s="606"/>
      <c r="E3" s="607"/>
      <c r="F3" s="9"/>
      <c r="G3" s="9"/>
      <c r="H3" s="9"/>
      <c r="I3" s="9"/>
      <c r="J3" s="9"/>
    </row>
    <row r="4" spans="1:10" s="2" customFormat="1" x14ac:dyDescent="0.2">
      <c r="B4" s="2" t="s">
        <v>836</v>
      </c>
      <c r="D4" s="11"/>
      <c r="E4" s="3"/>
      <c r="F4" s="3"/>
    </row>
    <row r="6" spans="1:10" ht="34" customHeight="1" x14ac:dyDescent="0.2">
      <c r="B6" s="45" t="s">
        <v>961</v>
      </c>
      <c r="C6" s="46"/>
      <c r="D6" s="46"/>
      <c r="E6" s="302"/>
    </row>
    <row r="7" spans="1:10" ht="20" customHeight="1" x14ac:dyDescent="0.2">
      <c r="B7" s="191" t="s">
        <v>962</v>
      </c>
      <c r="C7" s="192" t="s">
        <v>10</v>
      </c>
      <c r="D7" s="192" t="s">
        <v>11</v>
      </c>
      <c r="E7" s="192" t="s">
        <v>12</v>
      </c>
    </row>
    <row r="8" spans="1:10" ht="20" customHeight="1" x14ac:dyDescent="0.2">
      <c r="B8" s="101" t="s">
        <v>963</v>
      </c>
      <c r="C8" s="303" t="s">
        <v>964</v>
      </c>
      <c r="D8" s="304" t="str">
        <f>IF(mgmt_domain_deployment_type_chosen="VMware vSphere Foundation","Excluded",
IF(vcf_granular_option_chosen&lt;&gt;"Create Cluster","Excluded",
IF(AND(cluster_chosen="Deploy a Multi-Rack Layer 3 Cluster",cluster_multi_rack_count_chosen="Exclude",cluster_compute_hosts_per_rack_result="Excluded"),"Excluded",
IF(AND(cluster_chosen="Deploy a Single-Rack / Multi-Rack Layer 2 Cluster",cluster_compute_hosts_per_rack_result="Excluded"),"Excluded",
IF(AND(cluster_chosen="Deploy a Multi-Rack Layer 3 Cluster",AND(cluster_principal_storage_chosen&lt;&gt;"vSAN-ESA",cluster_principal_storage_chosen&lt;&gt;"vSAN-OSA",cluster_principal_storage_chosen&lt;&gt;"vSAN Compute Cluster")),"Excluded",
IF(OR(cluster_chosen="Deploy a Multi-Rack Layer 3 Cluster",cluster_chosen="Deploy a Single-Rack / Multi-Rack Layer 2 Cluster",),"Included","Excluded"))))))</f>
        <v>Excluded</v>
      </c>
      <c r="E8" s="305" t="str">
        <f>IF(mgmt_domain_deployment_type_chosen="VMware vSphere Foundation","Cannot be performed on a VMware vSphere Foundation deployment",
IF(vcf_granular_option_chosen&lt;&gt;"Create Cluster","Cluster Deployment not selected on VCF &amp; VVF Planning Tab",
IF(AND(cluster_chosen="Deploy a Multi-Rack Layer 3 Cluster",AND(cluster_principal_storage_chosen&lt;&gt;"vSAN-ESA",cluster_principal_storage_chosen&lt;&gt;"vSAN-OSA",cluster_principal_storage_chosen&lt;&gt;"vSAN Compute Cluster")),"Cause: Multi Rack Configuration is only supported with vSAN as Principal Storage or vSAN Compute Clusters",
IF(AND(OR(cluster_principal_storage_chosen="vSAN-ESA",cluster_principal_storage_chosen="vSAN-OSA"),wld_compute_total_number_hosts&lt;3,cluster_chosen="Deploy a Single-Rack / Multi-Rack Layer 2 Cluster"),"Cause: Minimum number of hosts for storage type not selected",
IF(AND(OR(cluster_principal_storage_chosen="NFSv3",cluster_principal_storage_chosen="VMFS on Fibre Channel (FC)"),wld_compute_total_number_hosts&lt;2,cluster_chosen="Deploy a Single-Rack / Multi-Rack Layer 2 Cluster"),"Cause: Minimum number of hosts for storage type not selected",
IF(cluster_chosen="Deploy a Multi-Rack Layer 3 Cluster","A new layer 3 cluster will be added to the chosen Workloaded Domain - Additional Racks Tab must also be filled out",
IF(cluster_chosen="Deploy a Single-Rack / Multi-Rack Layer 2 Cluster","A new layer 2 cluster will be added to the chosen Workloaded Domain",
IF(cluster_result="Excluded","New Cluster Deployment Not Selected",""
))))))))</f>
        <v>Cluster Deployment not selected on VCF &amp; VVF Planning Tab</v>
      </c>
    </row>
    <row r="9" spans="1:10" ht="20" customHeight="1" x14ac:dyDescent="0.2">
      <c r="A9" s="148"/>
      <c r="B9" s="301" t="s">
        <v>13</v>
      </c>
      <c r="C9" s="303" t="s">
        <v>662</v>
      </c>
      <c r="D9" s="140" t="str">
        <f>IF(mgmt_domain_deployment_type_chosen="VMware vSphere Foundation","Excluded",
IF(vcf_granular_option_chosen&lt;&gt;"Create Cluster","Excluded",
IF(AND(OR(cluster_principal_storage_chosen="vSAN-ESA",cluster_principal_storage_chosen="vSAN-OSA"),wld_compute_total_number_hosts&lt;3,cluster_chosen="Deploy a Single-Rack / Multi-Rack Layer 2 Cluster"),"Excluded",
IF(AND(OR(cluster_principal_storage_chosen="NFSv3",cluster_principal_storage_chosen="VMFS on Fibre Channel (FC)"),wld_compute_total_number_hosts&lt;2,cluster_chosen="Deploy a Single-Rack / Multi-Rack Layer 2 Cluster"),"Excluded",
IF(AND(OR(cluster_principal_storage_chosen="vVOLS on FC",cluster_principal_storage_chosen="vVOLS on NFS",cluster_principal_storage_chosen="vVOLS on iSCSI",cluster_chosen="Deploy a Single-Rack / Multi-Rack Layer 2 Cluster"),wld_compute_total_number_hosts&lt;2),"Excluded",
IF(AND(cluster_chosen="Deploy a Multi-Rack Layer 3 Cluster",cluster_multi_rack_count_chosen="Exclude"),"Excluded",
IF(AND(cluster_chosen="Deploy a Multi-Rack Layer 3 Cluster",PRODUCT(cluster_multi_rack_count_chosen,cluster_compute_hosts_per_rack_chosen)&gt;64),"Excluded",
IF(cluster_compute_hosts_per_rack_chosen="Exclude","Excluded","Incuded")
)))))))</f>
        <v>Excluded</v>
      </c>
      <c r="E9" s="8" t="str">
        <f>IF(vcf_granular_option_chosen&lt;&gt;"Create Cluster","Option Not Required for current deployment type",
IF(cluster_compute_hosts_per_rack_chosen="Exclude","Required: Minimum Number of hosts must be selected",
IF(AND(OR(cluster_principal_storage_chosen="vSAN-ESA",cluster_principal_storage_chosen="vSAN-OSA"),wld_compute_total_number_hosts&lt;3,cluster_chosen="Deploy a Single-Rack / Multi-Rack Layer 2 Cluster"),"Cause: Minimum number of hosts for storage type not selected",
IF(AND(OR(cluster_principal_storage_chosen="NFSv3",cluster_principal_storage_chosen="VMFS on Fibre Channel (FC)"),wld_compute_total_number_hosts&lt;2,cluster_chosen="Deploy a Single-Rack / Multi-Rack Layer 2 Cluster"),"Cause: Minimum number of hosts for storage type not selected",
IF(AND(wld_multirack_calc="Include",cluster_multi_rack_count_chosen="Exclude"),"Cause: Number of Additional Racks not selected",
IF(AND(cluster_chosen="Deploy a Multi-Rack Layer 3 Cluster",wld_multirack_calc="Exclude"),"Cause: Multi Rack not enabled",
IF(AND(cluster_chosen="Deploy a Multi-Rack Layer 3 Cluster",PRODUCT(cluster_multi_rack_count_chosen,cluster_compute_hosts_per_rack_chosen)&gt;64),CONCATENATE("Cause: Max number of Hosts per Cluster is 64."),
IF(cluster_chosen="Deploy a Multi-Rack Layer 3 Cluster",CONCATENATE(PRODUCT(cluster_multi_rack_count_chosen+1,cluster_compute_hosts_per_rack_chosen)," Hosts currenty defined for the Compute vSphere Cluster "),CONCATENATE(cluster_compute_hosts_per_rack_chosen," Hosts currenty defined for the Compute vSphere Cluster")))))))))</f>
        <v>Option Not Required for current deployment type</v>
      </c>
    </row>
    <row r="10" spans="1:10" ht="20" customHeight="1" x14ac:dyDescent="0.2">
      <c r="B10" s="301" t="s">
        <v>13</v>
      </c>
      <c r="C10" s="65" t="s">
        <v>663</v>
      </c>
      <c r="D10" s="140" t="str">
        <f>IF(mgmt_domain_deployment_type_chosen="VMware vSphere Foundation","Excluded",
IF(AND(vcf_granular_option_chosen&lt;&gt;"Deploy a new VCF fleet",vcf_granular_option_chosen&lt;&gt;"Deploy a VCF Instance in an existing VCF fleet",vcf_granular_option_chosen&lt;&gt;"Create Workload Domain",vcf_granular_option_chosen&lt;&gt;"Create Cluster"),"Excluded",
IF(cluster_multi_rack_count_chosen="Exclude","Excluded",
IF(wld_multirack_result="Excluded","Excluded",
IF(AND(cluster_chosen="Deploy a Single-Rack / Multi-Rack Layer 2 Cluster",cluster_multi_rack_count_chosen&lt;&gt;"Exclude"),"Excluded",
IF(AND(cluster_chosen="Deploy a Multi-Rack Layer 3 Cluster",PRODUCT(cluster_multi_rack_count_chosen,cluster_compute_hosts_per_rack_chosen)&gt;64),"Excluded",
IF(cluster_multi_rack_count_chosen="Exclude","Excluded","Included")))))))</f>
        <v>Excluded</v>
      </c>
      <c r="E10" s="8" t="str">
        <f>IF(vcf_granular_option_chosen="None Chosen","No Deployment Type Chosen",
IF(vcf_granular_option_chosen&lt;&gt;"Create Cluster","Option Not Required for current deployment type",
IF(AND(cluster_chosen="Deploy a Single-Rack / Multi-Rack Layer 2 Cluster",cluster_multi_rack_count_chosen&lt;&gt;"Exclude"),"Not Required: Completing the additional Rack Tab is only required for Layer 3 Multi-Rack deployments",
IF(AND(cluster_chosen="Deploy a Multi-Rack Layer 3 Cluster",cluster_multi_rack_count_chosen="Exclude"),"Required: Minimum Number of additional racks must be selected",
IF(AND(cluster_chosen="Deploy a Multi-Rack Layer 3 Cluster",PRODUCT(cluster_multi_rack_count_chosen,cluster_compute_hosts_per_rack_chosen)&gt;64),CONCATENATE("Cause: Max number of Hosts per Cluster is 64."),
IF(cluster_chosen="Deploy a Single-Rack / Multi-Rack Layer 2 Cluster","Not Required: Completing the additional Rack Tab is only required for Layer 3 Multi-Rack deployments","Multi Rack Configuration will be deployed"))))))</f>
        <v>Option Not Required for current deployment type</v>
      </c>
    </row>
    <row r="11" spans="1:10" ht="20" customHeight="1" x14ac:dyDescent="0.2">
      <c r="B11" s="101" t="s">
        <v>665</v>
      </c>
      <c r="C11" s="303" t="s">
        <v>666</v>
      </c>
      <c r="D11" s="99" t="str">
        <f>IF((cluster_result="Excluded"),"Excluded",
IF(AND(cluster_chosen="Deploy a Multi-Rack Layer 3 Cluster",AND(cluster_principal_storage_chosen&lt;&gt;"vSAN-ESA",cluster_principal_storage_chosen&lt;&gt;"vSAN-OSA",cluster_principal_storage_chosen&lt;&gt;"vSAN Compute Cluster")),"Excluded","Included"))</f>
        <v>Excluded</v>
      </c>
      <c r="E11" s="300" t="str">
        <f>IF(vcf_granular_option_chosen&lt;&gt;"Create Cluster","Option Not Required for current deployment type",
IF(AND(cluster_chosen="Deploy a Multi-Rack Layer 3 Cluster",AND(cluster_principal_storage_chosen&lt;&gt;"vSAN-ESA",cluster_principal_storage_chosen&lt;&gt;"vSAN-OSA",cluster_principal_storage_chosen&lt;&gt;"vSAN Compute Cluster")),"Cause: Multi Rack Configuration is only supported with vSAN as Principal Storage or vSAN Compute Clusters",
IF(cluster_principal_storage_chosen="NFSv3","Principal Storage will be NFS based",
IF(cluster_principal_storage_chosen="VMFS on FC","Principal Storage will be VMFS on FC based",
IF(cluster_principal_storage_chosen="vSAN Storage Cluster","Principal Storage will be vSan Storage Cluster",
IF(cluster_principal_storage_chosen="vSAN Compute Cluster","Principal Storage will be vSan Compute Cluster",
IF(cluster_principal_storage_chosen="vSAN-ESA","Principal Storage will be vSAN-ESA based. This can be used as a vSAN Max Server Cluster",
IF(cluster_principal_storage_chosen="vSAN-OSA","Principal Storage will be vSAN-OSA based. This can be used as a HCI Mesh vSAN Server Cluster",
))))))))</f>
        <v>Option Not Required for current deployment type</v>
      </c>
    </row>
    <row r="12" spans="1:10" ht="20" customHeight="1" x14ac:dyDescent="0.2">
      <c r="B12" s="101" t="s">
        <v>13</v>
      </c>
      <c r="C12" s="65" t="s">
        <v>965</v>
      </c>
      <c r="D12" s="99" t="str">
        <f>IF(mgmt_domain_deployment_type_chosen="VMware vSphere Foundation","Excluded",
IF(OR(AND(cluster_principal_storage_chosen="NFSv3",cluster_secondary_storage_chosen="Secondary NFS Storage Network")),"Excluded",
IF(AND(cluster_secondary_storage_chosen="vSAN Storage Client Network",cluster_principal_storage_chosen&lt;&gt;"vSAN Storage Cluster"),"Excluded",
IF(cluster_secondary_storage_chosen="Exclude","Excluded","Included"))))</f>
        <v>Excluded</v>
      </c>
      <c r="E12" s="140" t="str">
        <f>IF(mgmt_domain_deployment_type_chosen="VMware vSphere Foundation","Cannot be performed on a VMware vSphere Foundation deployment",
IF(vcf_granular_option_chosen&lt;&gt;"Create Cluster","Option Not Required for current deployment type",
IF(wld_domain_chosen="Import Workload Domain","Feature not supported for Imported Workload Domains",
IF(cluster_secondary_storage_chosen="Exclude","Cause: Not Selected. Cluster will not be prepared with Secondary Storage Network",
IF(OR(AND(cluster_principal_storage_chosen="NFSv3",cluster_secondary_storage_chosen="Secondary NFS Storage Network"),AND(cluster_principal_storage_chosen="vVOLS on NFS",cluster_principal_storage_chosen="Secondary NFS Storage Network")),"Secondary Storage NFS configuration not required as Principal Storage is NFS based",
IF(AND(cluster_secondary_storage_chosen="vSAN Storage Client Network",cluster_principal_storage_chosen&lt;&gt;"vSAN Storage Cluster"),"vSAN Storage Client Network is only supported with vSAN Storage Clusters",CONCATENATE("Workload Domain will be prepared with a ",cluster_secondary_storage_chosen)))))))</f>
        <v>Option Not Required for current deployment type</v>
      </c>
    </row>
    <row r="13" spans="1:10" ht="20" customHeight="1" x14ac:dyDescent="0.2">
      <c r="B13" s="101" t="s">
        <v>242</v>
      </c>
      <c r="C13" s="65" t="s">
        <v>667</v>
      </c>
      <c r="D13" s="99" t="str">
        <f>IF((cluster_result="Excluded"),"Excluded","Included")</f>
        <v>Excluded</v>
      </c>
      <c r="E13" s="140" t="str">
        <f>IF(vcf_granular_option_chosen&lt;&gt;"Create Cluster","Option Not Required for current deployment type",
IF(cluster_az1_reuse_vcf_networkpool_chosen="Re-use an existing VCF Network Pool","The exsiting VCF Network Pool will be reused","A new VCF Network Pool will be created"))</f>
        <v>Option Not Required for current deployment type</v>
      </c>
    </row>
    <row r="14" spans="1:10" ht="20" customHeight="1" x14ac:dyDescent="0.2">
      <c r="B14" s="349" t="s">
        <v>13</v>
      </c>
      <c r="C14" s="65" t="s">
        <v>15</v>
      </c>
      <c r="D14" s="293" t="str">
        <f>IF(cluster_chosen="Deploy a Multi-Rack Layer 3 Cluster","Excluded",
IF(cluster_stretched_cluster_chosen="Exclude","Excluded","Included"))</f>
        <v>Excluded</v>
      </c>
      <c r="E14" s="324" t="str">
        <f>IF(vcf_granular_option_chosen&lt;&gt;"Create Cluster","Option Not Required for current deployment type",
IF(AND((cluster_stretched_cluster_chosen="Include"),(cluster_chosen="Deploy a Multi-Rack Layer 3 Cluster")),"Cause: Stretched Cluster is not supported with Multi Rack Layer 3 Cluster",
IF(cluster_stretched_cluster_chosen="Exclude","Cause: Not Selected. Stretched Cluster will not be deployed","Stretched Cluster will be deployed")))</f>
        <v>Option Not Required for current deployment type</v>
      </c>
    </row>
    <row r="15" spans="1:10" ht="16" customHeight="1" x14ac:dyDescent="0.2"/>
    <row r="16" spans="1:10" ht="34" customHeight="1" x14ac:dyDescent="0.2">
      <c r="B16" s="569" t="s">
        <v>671</v>
      </c>
      <c r="C16" s="570"/>
      <c r="D16" s="570"/>
      <c r="E16" s="571"/>
    </row>
    <row r="17" spans="2:5" ht="20" customHeight="1" x14ac:dyDescent="0.2">
      <c r="B17" s="63" t="s">
        <v>18</v>
      </c>
      <c r="C17" s="63" t="s">
        <v>19</v>
      </c>
      <c r="D17" s="63" t="s">
        <v>20</v>
      </c>
      <c r="E17" s="63" t="s">
        <v>21</v>
      </c>
    </row>
    <row r="18" spans="2:5" ht="20" customHeight="1" x14ac:dyDescent="0.2">
      <c r="B18" s="424" t="s">
        <v>563</v>
      </c>
      <c r="C18" s="425"/>
      <c r="D18" s="425"/>
      <c r="E18" s="426"/>
    </row>
    <row r="19" spans="2:5" ht="20" customHeight="1" x14ac:dyDescent="0.2">
      <c r="B19" s="4" t="s">
        <v>254</v>
      </c>
      <c r="C19" s="103" t="str">
        <f>IF(cluster_wld_domain_chosen="Workload Domain",
IF(mgmt_domain_chosen="First Instance",CONCATENATE(this_instance,"-w0",wld_domain_number_chosen),CONCATENATE(other_instance,"-w0",wld_domain_number_chosen)),
IF(cluster_wld_domain_chosen="MGMT Workload Domain",
IF(mgmt_domain_chosen="First Instance",CONCATENATE(this_instance,"-m01"),CONCATENATE(other_instance,"-m01"))))</f>
        <v>sfo-w01</v>
      </c>
      <c r="D19" s="66"/>
      <c r="E19" s="113"/>
    </row>
    <row r="20" spans="2:5" ht="16" customHeight="1" x14ac:dyDescent="0.2"/>
    <row r="21" spans="2:5" ht="34" customHeight="1" x14ac:dyDescent="0.2">
      <c r="B21" s="569" t="s">
        <v>703</v>
      </c>
      <c r="C21" s="570"/>
      <c r="D21" s="570"/>
      <c r="E21" s="571"/>
    </row>
    <row r="22" spans="2:5" ht="20" customHeight="1" x14ac:dyDescent="0.2">
      <c r="B22" s="63" t="s">
        <v>18</v>
      </c>
      <c r="C22" s="63" t="s">
        <v>19</v>
      </c>
      <c r="D22" s="63" t="s">
        <v>20</v>
      </c>
      <c r="E22" s="63" t="s">
        <v>21</v>
      </c>
    </row>
    <row r="23" spans="2:5" ht="20" customHeight="1" x14ac:dyDescent="0.2">
      <c r="B23" s="424" t="s">
        <v>206</v>
      </c>
      <c r="C23" s="425"/>
      <c r="D23" s="425"/>
      <c r="E23" s="426"/>
    </row>
    <row r="24" spans="2:5" ht="20" customHeight="1" x14ac:dyDescent="0.2">
      <c r="B24" s="4" t="s">
        <v>85</v>
      </c>
      <c r="C24" s="103" t="str">
        <f>IF(cluster_wld_domain_chosen="Workload Domain",CONCATENATE(prefix_wld_az1_vlan,"11"),CONCATENATE(prefix_mgmt_az1_vlan,"11"))</f>
        <v>1311</v>
      </c>
      <c r="D24" s="66"/>
      <c r="E24" s="113"/>
    </row>
    <row r="25" spans="2:5" ht="20" customHeight="1" x14ac:dyDescent="0.2">
      <c r="B25" s="4" t="s">
        <v>182</v>
      </c>
      <c r="C25" s="103" t="str">
        <f>IF(cluster_wld_domain_chosen="Workload Domain",CONCATENATE(prefix_wld_az1_cidr,"11.1"),CONCATENATE(prefix_mgmt_az1_cidr,"11.1"))</f>
        <v>10.13.11.1</v>
      </c>
      <c r="D25" s="66"/>
      <c r="E25" s="8"/>
    </row>
    <row r="26" spans="2:5" ht="20" customHeight="1" x14ac:dyDescent="0.2">
      <c r="B26" s="4" t="s">
        <v>183</v>
      </c>
      <c r="C26" s="103" t="str">
        <f>IF(cluster_wld_domain_chosen="Workload Domain",CONCATENATE(prefix_wld_az1_cidr,"11.0/24"),CONCATENATE(prefix_mgmt_az1_cidr,"11.0/24"))</f>
        <v>10.13.11.0/24</v>
      </c>
      <c r="D26" s="66"/>
      <c r="E26" s="8"/>
    </row>
    <row r="27" spans="2:5" ht="20" customHeight="1" x14ac:dyDescent="0.2">
      <c r="B27" s="4" t="s">
        <v>157</v>
      </c>
      <c r="C27" s="103">
        <v>1500</v>
      </c>
      <c r="D27" s="66"/>
      <c r="E27" s="8"/>
    </row>
    <row r="28" spans="2:5" ht="20" customHeight="1" x14ac:dyDescent="0.2">
      <c r="B28" s="556" t="s">
        <v>207</v>
      </c>
      <c r="C28" s="557"/>
      <c r="D28" s="557"/>
      <c r="E28" s="558"/>
    </row>
    <row r="29" spans="2:5" ht="20" customHeight="1" x14ac:dyDescent="0.2">
      <c r="B29" s="23" t="s">
        <v>208</v>
      </c>
      <c r="C29" s="109" t="str">
        <f>IF(cluster_wld_domain_chosen="Workload Domain",CONCATENATE(prefix_wld_az1_cidr,"11.101"),CONCATENATE(prefix_mgmt_az1_cidr,"11.101"))</f>
        <v>10.13.11.101</v>
      </c>
      <c r="D29" s="66"/>
      <c r="E29" s="163" t="s">
        <v>209</v>
      </c>
    </row>
    <row r="30" spans="2:5" ht="20" customHeight="1" x14ac:dyDescent="0.2">
      <c r="B30" s="23" t="s">
        <v>210</v>
      </c>
      <c r="C30" s="109" t="str">
        <f>IF(cluster_wld_domain_chosen="Workload Domain",CONCATENATE(prefix_wld_az1_cidr,"11.102"),CONCATENATE(prefix_mgmt_az1_cidr,"11.102"))</f>
        <v>10.13.11.102</v>
      </c>
      <c r="D30" s="66"/>
      <c r="E30" s="163" t="s">
        <v>211</v>
      </c>
    </row>
    <row r="31" spans="2:5" ht="20" customHeight="1" x14ac:dyDescent="0.2">
      <c r="B31" s="23" t="s">
        <v>212</v>
      </c>
      <c r="C31" s="109" t="str">
        <f>IF(cluster_wld_domain_chosen="Workload Domain",CONCATENATE(prefix_wld_az1_cidr,"11.103"),CONCATENATE(prefix_mgmt_az1_cidr,"11.103"))</f>
        <v>10.13.11.103</v>
      </c>
      <c r="D31" s="66"/>
      <c r="E31" s="163" t="s">
        <v>213</v>
      </c>
    </row>
    <row r="32" spans="2:5" ht="20" customHeight="1" x14ac:dyDescent="0.2">
      <c r="B32" s="23" t="s">
        <v>214</v>
      </c>
      <c r="C32" s="109" t="str">
        <f>IF(cluster_wld_domain_chosen="Workload Domain",CONCATENATE(prefix_wld_az1_cidr,"11.104"),CONCATENATE(prefix_mgmt_az1_cidr,"11.104"))</f>
        <v>10.13.11.104</v>
      </c>
      <c r="D32" s="66"/>
      <c r="E32" s="163" t="s">
        <v>215</v>
      </c>
    </row>
    <row r="33" spans="2:5" ht="20" customHeight="1" x14ac:dyDescent="0.2">
      <c r="B33" s="23" t="s">
        <v>216</v>
      </c>
      <c r="C33" s="109" t="str">
        <f>IF(cluster_wld_domain_chosen="Workload Domain",CONCATENATE(prefix_wld_az1_cidr,"11.105"),CONCATENATE(prefix_mgmt_az1_cidr,"11.105"))</f>
        <v>10.13.11.105</v>
      </c>
      <c r="D33" s="66"/>
      <c r="E33" s="163" t="s">
        <v>217</v>
      </c>
    </row>
    <row r="34" spans="2:5" ht="20" customHeight="1" x14ac:dyDescent="0.2">
      <c r="B34" s="23" t="s">
        <v>218</v>
      </c>
      <c r="C34" s="109" t="str">
        <f>IF(cluster_wld_domain_chosen="Workload Domain",CONCATENATE(prefix_wld_az1_cidr,"11.106"),CONCATENATE(prefix_mgmt_az1_cidr,"11.106"))</f>
        <v>10.13.11.106</v>
      </c>
      <c r="D34" s="66"/>
      <c r="E34" s="163" t="s">
        <v>219</v>
      </c>
    </row>
    <row r="35" spans="2:5" ht="20" customHeight="1" x14ac:dyDescent="0.2">
      <c r="B35" s="23" t="s">
        <v>220</v>
      </c>
      <c r="C35" s="109" t="str">
        <f>IF(cluster_wld_domain_chosen="Workload Domain",CONCATENATE(prefix_wld_az1_cidr,"11.107"),CONCATENATE(prefix_mgmt_az1_cidr,"11.107"))</f>
        <v>10.13.11.107</v>
      </c>
      <c r="D35" s="66"/>
      <c r="E35" s="163" t="s">
        <v>221</v>
      </c>
    </row>
    <row r="36" spans="2:5" ht="20" customHeight="1" x14ac:dyDescent="0.2">
      <c r="B36" s="23" t="s">
        <v>222</v>
      </c>
      <c r="C36" s="109" t="str">
        <f>IF(cluster_wld_domain_chosen="Workload Domain",CONCATENATE(prefix_wld_az1_cidr,"11.108"),CONCATENATE(prefix_mgmt_az1_cidr,"11.108"))</f>
        <v>10.13.11.108</v>
      </c>
      <c r="D36" s="66"/>
      <c r="E36" s="163" t="s">
        <v>223</v>
      </c>
    </row>
    <row r="37" spans="2:5" ht="20" customHeight="1" x14ac:dyDescent="0.2">
      <c r="B37" s="23" t="s">
        <v>224</v>
      </c>
      <c r="C37" s="109" t="str">
        <f>IF(cluster_wld_domain_chosen="Workload Domain",CONCATENATE(prefix_wld_az1_cidr,"11.109"),CONCATENATE(prefix_mgmt_az1_cidr,"11.109"))</f>
        <v>10.13.11.109</v>
      </c>
      <c r="D37" s="66"/>
      <c r="E37" s="163" t="s">
        <v>225</v>
      </c>
    </row>
    <row r="38" spans="2:5" ht="20" customHeight="1" x14ac:dyDescent="0.2">
      <c r="B38" s="23" t="s">
        <v>226</v>
      </c>
      <c r="C38" s="109" t="str">
        <f>IF(cluster_wld_domain_chosen="Workload Domain",CONCATENATE(prefix_wld_az1_cidr,"11.110"),CONCATENATE(prefix_mgmt_az1_cidr,"11.110"))</f>
        <v>10.13.11.110</v>
      </c>
      <c r="D38" s="66"/>
      <c r="E38" s="163" t="s">
        <v>227</v>
      </c>
    </row>
    <row r="39" spans="2:5" ht="20" customHeight="1" x14ac:dyDescent="0.2">
      <c r="B39" s="23" t="s">
        <v>228</v>
      </c>
      <c r="C39" s="109" t="str">
        <f>IF(cluster_wld_domain_chosen="Workload Domain",CONCATENATE(prefix_wld_az1_cidr,"11.111"),CONCATENATE(prefix_mgmt_az1_cidr,"11.111"))</f>
        <v>10.13.11.111</v>
      </c>
      <c r="D39" s="66"/>
      <c r="E39" s="163" t="s">
        <v>229</v>
      </c>
    </row>
    <row r="40" spans="2:5" ht="20" customHeight="1" x14ac:dyDescent="0.2">
      <c r="B40" s="23" t="s">
        <v>230</v>
      </c>
      <c r="C40" s="109" t="str">
        <f>IF(cluster_wld_domain_chosen="Workload Domain",CONCATENATE(prefix_wld_az1_cidr,"11.112"),CONCATENATE(prefix_mgmt_az1_cidr,"11.112"))</f>
        <v>10.13.11.112</v>
      </c>
      <c r="D40" s="66"/>
      <c r="E40" s="163" t="s">
        <v>231</v>
      </c>
    </row>
    <row r="41" spans="2:5" ht="20" customHeight="1" x14ac:dyDescent="0.2">
      <c r="B41" s="23" t="s">
        <v>232</v>
      </c>
      <c r="C41" s="109" t="str">
        <f>IF(cluster_wld_domain_chosen="Workload Domain",CONCATENATE(prefix_wld_az1_cidr,"11.113"),CONCATENATE(prefix_mgmt_az1_cidr,"11.113"))</f>
        <v>10.13.11.113</v>
      </c>
      <c r="D41" s="66"/>
      <c r="E41" s="163" t="s">
        <v>233</v>
      </c>
    </row>
    <row r="42" spans="2:5" ht="20" customHeight="1" x14ac:dyDescent="0.2">
      <c r="B42" s="23" t="s">
        <v>234</v>
      </c>
      <c r="C42" s="109" t="str">
        <f>IF(cluster_wld_domain_chosen="Workload Domain",CONCATENATE(prefix_wld_az1_cidr,"11.114"),CONCATENATE(prefix_mgmt_az1_cidr,"11.114"))</f>
        <v>10.13.11.114</v>
      </c>
      <c r="D42" s="66"/>
      <c r="E42" s="163" t="s">
        <v>235</v>
      </c>
    </row>
    <row r="43" spans="2:5" ht="20" customHeight="1" x14ac:dyDescent="0.2">
      <c r="B43" s="23" t="s">
        <v>236</v>
      </c>
      <c r="C43" s="109" t="str">
        <f>IF(cluster_wld_domain_chosen="Workload Domain",CONCATENATE(prefix_wld_az1_cidr,"11.115"),CONCATENATE(prefix_mgmt_az1_cidr,"11.115"))</f>
        <v>10.13.11.115</v>
      </c>
      <c r="D43" s="66"/>
      <c r="E43" s="163" t="s">
        <v>237</v>
      </c>
    </row>
    <row r="44" spans="2:5" ht="20" customHeight="1" x14ac:dyDescent="0.2">
      <c r="B44" s="23" t="s">
        <v>238</v>
      </c>
      <c r="C44" s="109" t="str">
        <f>IF(cluster_wld_domain_chosen="Workload Domain",CONCATENATE(prefix_wld_az1_cidr,"11.116"),CONCATENATE(prefix_mgmt_az1_cidr,"11.116"))</f>
        <v>10.13.11.116</v>
      </c>
      <c r="D44" s="66"/>
      <c r="E44" s="163" t="s">
        <v>239</v>
      </c>
    </row>
    <row r="45" spans="2:5" ht="16" customHeight="1" x14ac:dyDescent="0.2"/>
    <row r="46" spans="2:5" ht="34" customHeight="1" x14ac:dyDescent="0.2">
      <c r="B46" s="569" t="str">
        <f>IF(cluster_az1_reuse_vcf_networkpool_result="Excluded","Create Network Pool","Current Network Pool")</f>
        <v>Create Network Pool</v>
      </c>
      <c r="C46" s="570"/>
      <c r="D46" s="570"/>
      <c r="E46" s="571"/>
    </row>
    <row r="47" spans="2:5" ht="20" customHeight="1" x14ac:dyDescent="0.2">
      <c r="B47" s="63" t="s">
        <v>18</v>
      </c>
      <c r="C47" s="63" t="s">
        <v>19</v>
      </c>
      <c r="D47" s="63" t="s">
        <v>20</v>
      </c>
      <c r="E47" s="63" t="s">
        <v>21</v>
      </c>
    </row>
    <row r="48" spans="2:5" ht="20" customHeight="1" x14ac:dyDescent="0.2">
      <c r="B48" s="23" t="s">
        <v>243</v>
      </c>
      <c r="C48" s="103" t="str">
        <f>IF(cluster_wld_domain_chosen="Workload Domain",CONCATENATE(this_instance,"01-w0",wld_domain_number_chosen,"-r01-network-pool-01"),CONCATENATE(this_instance,"01-m01","-r01-network-pool-01"))</f>
        <v>sfo01-w01-r01-network-pool-01</v>
      </c>
      <c r="D48" s="66"/>
      <c r="E48" s="8"/>
    </row>
    <row r="49" spans="2:5" ht="20" customHeight="1" x14ac:dyDescent="0.2">
      <c r="B49" s="424" t="s">
        <v>244</v>
      </c>
      <c r="C49" s="425"/>
      <c r="D49" s="425"/>
      <c r="E49" s="426"/>
    </row>
    <row r="50" spans="2:5" ht="20" customHeight="1" x14ac:dyDescent="0.2">
      <c r="B50" s="4" t="s">
        <v>3772</v>
      </c>
      <c r="C50" s="103" t="s">
        <v>3713</v>
      </c>
      <c r="D50" s="66" t="s">
        <v>3713</v>
      </c>
      <c r="E50" s="113"/>
    </row>
    <row r="51" spans="2:5" ht="20" customHeight="1" x14ac:dyDescent="0.2">
      <c r="B51" s="4" t="s">
        <v>85</v>
      </c>
      <c r="C51" s="103" t="str">
        <f>IF(cluster_wld_domain_chosen="Workload Domain",CONCATENATE(prefix_wld_az1_vlan,"12"),CONCATENATE(prefix_mgmt_az1_vlan,"12"))</f>
        <v>1312</v>
      </c>
      <c r="D51" s="66"/>
      <c r="E51" s="113"/>
    </row>
    <row r="52" spans="2:5" ht="20" customHeight="1" x14ac:dyDescent="0.2">
      <c r="B52" s="4" t="s">
        <v>157</v>
      </c>
      <c r="C52" s="103">
        <v>9000</v>
      </c>
      <c r="D52" s="66"/>
      <c r="E52" s="8"/>
    </row>
    <row r="53" spans="2:5" ht="20" customHeight="1" x14ac:dyDescent="0.2">
      <c r="B53" s="4" t="s">
        <v>3781</v>
      </c>
      <c r="C53" s="103" t="s">
        <v>105</v>
      </c>
      <c r="D53" s="66" t="s">
        <v>4118</v>
      </c>
      <c r="E53" s="8"/>
    </row>
    <row r="54" spans="2:5" ht="20" customHeight="1" x14ac:dyDescent="0.2">
      <c r="B54" s="4" t="s">
        <v>3775</v>
      </c>
      <c r="C54" s="103" t="str">
        <f>IF(cluster_wld_domain_chosen="Workload Domain",CONCATENATE(prefix_wld_az1_cidr,"12.1/24"),CONCATENATE(prefix_mgmt_az1_cidr,"12.1/24"))</f>
        <v>10.13.12.1/24</v>
      </c>
      <c r="D54" s="66"/>
      <c r="E54" s="8"/>
    </row>
    <row r="55" spans="2:5" ht="20" customHeight="1" x14ac:dyDescent="0.2">
      <c r="B55" s="4" t="s">
        <v>3776</v>
      </c>
      <c r="C55" s="103" t="str">
        <f>IF(cluster_wld_domain_chosen="Workload Domain",CONCATENATE(prefix_mgmt_ipv6_cidr,sample_wld_az1_vmotion_vlan,"::","1","/64"),CONCATENATE(prefix_mgmt_ipv6_cidr,sample_mgmt_az1_vmotion_vlan,"::","1","/64"))</f>
        <v>2001:db8:0:1312::1/64</v>
      </c>
      <c r="D55" s="66"/>
      <c r="E55" s="8"/>
    </row>
    <row r="56" spans="2:5" ht="20" customHeight="1" x14ac:dyDescent="0.2">
      <c r="B56" s="23" t="s">
        <v>3782</v>
      </c>
      <c r="C56" s="103" t="str">
        <f>IF(cluster_wld_domain_chosen="Workload Domain",CONCATENATE(prefix_wld_az1_cidr,"12.101"),CONCATENATE(prefix_mgmt_az1_cidr,"12.101"))</f>
        <v>10.13.12.101</v>
      </c>
      <c r="D56" s="66"/>
      <c r="E56" s="8"/>
    </row>
    <row r="57" spans="2:5" ht="20" customHeight="1" x14ac:dyDescent="0.2">
      <c r="B57" s="23" t="s">
        <v>3783</v>
      </c>
      <c r="C57" s="103" t="str">
        <f>IF(cluster_wld_domain_chosen="Workload Domain",CONCATENATE(prefix_wld_az1_cidr,"12.116"),CONCATENATE(prefix_mgmt_az1_cidr,"12.116"))</f>
        <v>10.13.12.116</v>
      </c>
      <c r="D57" s="66"/>
      <c r="E57" s="8"/>
    </row>
    <row r="58" spans="2:5" ht="20" customHeight="1" x14ac:dyDescent="0.2">
      <c r="B58" s="23" t="s">
        <v>3784</v>
      </c>
      <c r="C58" s="103" t="str">
        <f>IF(cluster_wld_domain_chosen="Workload Domain",CONCATENATE(prefix_mgmt_ipv6_cidr,sample_cluster_az1_vmotion_vlan,"::","101"),CONCATENATE(prefix_mgmt_ipv6_cidr,sample_cluster_az1_vmotion_vlan,"::","101",))</f>
        <v>2001:db8:0:1312::101</v>
      </c>
      <c r="D58" s="66"/>
      <c r="E58" s="8"/>
    </row>
    <row r="59" spans="2:5" ht="20" customHeight="1" x14ac:dyDescent="0.2">
      <c r="B59" s="23" t="s">
        <v>3785</v>
      </c>
      <c r="C59" s="103" t="str">
        <f>IF(cluster_wld_domain_chosen="Workload Domain",CONCATENATE(prefix_mgmt_ipv6_cidr,sample_cluster_az1_vmotion_vlan,"::","116"),CONCATENATE(prefix_mgmt_ipv6_cidr,sample_cluster_az1_vmotion_vlan,"::","116"))</f>
        <v>2001:db8:0:1312::116</v>
      </c>
      <c r="D59" s="66"/>
      <c r="E59" s="8"/>
    </row>
    <row r="60" spans="2:5" ht="20" customHeight="1" x14ac:dyDescent="0.2">
      <c r="B60" s="424" t="str">
        <f>IF(cluster_principal_storage_chosen="NFSv3","NFS Network","vSAN Network")</f>
        <v>vSAN Network</v>
      </c>
      <c r="C60" s="425"/>
      <c r="D60" s="425"/>
      <c r="E60" s="426"/>
    </row>
    <row r="61" spans="2:5" ht="20" customHeight="1" x14ac:dyDescent="0.2">
      <c r="B61" s="4" t="s">
        <v>3772</v>
      </c>
      <c r="C61" s="103" t="s">
        <v>3713</v>
      </c>
      <c r="D61" s="179" t="s">
        <v>3713</v>
      </c>
      <c r="E61" s="8"/>
    </row>
    <row r="62" spans="2:5" ht="20" customHeight="1" x14ac:dyDescent="0.2">
      <c r="B62" s="4" t="s">
        <v>85</v>
      </c>
      <c r="C62" s="103" t="str">
        <f>IF(cluster_wld_domain_chosen="Workload Domain",CONCATENATE(prefix_wld_az1_vlan,"13"),CONCATENATE(prefix_mgmt_az1_vlan,"13"))</f>
        <v>1313</v>
      </c>
      <c r="D62" s="179"/>
      <c r="E62" s="8"/>
    </row>
    <row r="63" spans="2:5" ht="20" customHeight="1" x14ac:dyDescent="0.2">
      <c r="B63" s="4" t="s">
        <v>157</v>
      </c>
      <c r="C63" s="103">
        <v>9000</v>
      </c>
      <c r="D63" s="66"/>
      <c r="E63" s="8"/>
    </row>
    <row r="64" spans="2:5" ht="20" customHeight="1" x14ac:dyDescent="0.2">
      <c r="B64" s="4" t="s">
        <v>3781</v>
      </c>
      <c r="C64" s="103" t="s">
        <v>105</v>
      </c>
      <c r="D64" s="66" t="s">
        <v>105</v>
      </c>
      <c r="E64" s="333"/>
    </row>
    <row r="65" spans="2:5" ht="20" customHeight="1" x14ac:dyDescent="0.2">
      <c r="B65" s="4" t="s">
        <v>3775</v>
      </c>
      <c r="C65" s="103" t="str">
        <f>IF(cluster_wld_domain_chosen="Workload Domain",CONCATENATE(prefix_wld_az1_cidr,"13.1/24"),CONCATENATE(prefix_mgmt_az1_cidr,"13.1/24"))</f>
        <v>10.13.13.1/24</v>
      </c>
      <c r="D65" s="66"/>
      <c r="E65" s="333"/>
    </row>
    <row r="66" spans="2:5" ht="20" customHeight="1" x14ac:dyDescent="0.2">
      <c r="B66" s="4" t="s">
        <v>3776</v>
      </c>
      <c r="C66" s="103" t="str">
        <f>IF(cluster_wld_domain_chosen="Workload Domain",CONCATENATE(prefix_mgmt_ipv6_cidr,sample_cluster_az1_principal_storage_vlan,"::","1","/64"),CONCATENATE(prefix_mgmt_ipv6_cidr,sample_cluster_az1_principal_storage_vlan,"::","1","/64"))</f>
        <v>2001:db8:0:1313::1/64</v>
      </c>
      <c r="D66" s="66"/>
      <c r="E66" s="333"/>
    </row>
    <row r="67" spans="2:5" ht="20" customHeight="1" x14ac:dyDescent="0.2">
      <c r="B67" s="23" t="s">
        <v>3782</v>
      </c>
      <c r="C67" s="103" t="str">
        <f>IF(cluster_wld_domain_chosen="Workload Domain",CONCATENATE(prefix_wld_az1_cidr,"13.101"),CONCATENATE(prefix_mgmt_az1_cidr,"13.101"))</f>
        <v>10.13.13.101</v>
      </c>
      <c r="D67" s="66"/>
      <c r="E67" s="333"/>
    </row>
    <row r="68" spans="2:5" ht="20" customHeight="1" x14ac:dyDescent="0.2">
      <c r="B68" s="23" t="s">
        <v>3783</v>
      </c>
      <c r="C68" s="103" t="str">
        <f>IF(cluster_wld_domain_chosen="Workload Domain",CONCATENATE(prefix_wld_az1_cidr,"13.116"),CONCATENATE(prefix_mgmt_az1_cidr,"13.116"))</f>
        <v>10.13.13.116</v>
      </c>
      <c r="D68" s="66"/>
      <c r="E68" s="333"/>
    </row>
    <row r="69" spans="2:5" ht="20" customHeight="1" x14ac:dyDescent="0.2">
      <c r="B69" s="23" t="s">
        <v>3784</v>
      </c>
      <c r="C69" s="166" t="str">
        <f>IF(cluster_wld_domain_chosen="Workload Domain",CONCATENATE(prefix_mgmt_ipv6_cidr,sample_cluster_az1_principal_storage_vlan,"::","101",),CONCATENATE(prefix_mgmt_ipv6_cidr,sample_cluster_az1_principal_storage_vlan,"::","101"))</f>
        <v>2001:db8:0:1313::101</v>
      </c>
      <c r="D69" s="66"/>
      <c r="E69" s="8"/>
    </row>
    <row r="70" spans="2:5" ht="20" customHeight="1" x14ac:dyDescent="0.2">
      <c r="B70" s="23" t="s">
        <v>3785</v>
      </c>
      <c r="C70" s="167" t="str">
        <f>IF(cluster_wld_domain_chosen="Workload Domain",CONCATENATE(prefix_mgmt_ipv6_cidr,sample_cluster_az1_principal_storage_vlan,"::","116"),CONCATENATE(prefix_mgmt_ipv6_cidr,sample_cluster_az1_principal_storage_vlan,"::","116"))</f>
        <v>2001:db8:0:1313::116</v>
      </c>
      <c r="D70" s="66"/>
      <c r="E70" s="8"/>
    </row>
    <row r="71" spans="2:5" ht="20" customHeight="1" x14ac:dyDescent="0.2">
      <c r="B71" s="424" t="str">
        <f>IF(cluster_secondary_storage_chosen="Secondary NFS Storage Network","NFS Storage Network","vSAN Storage Client")</f>
        <v>vSAN Storage Client</v>
      </c>
      <c r="C71" s="425"/>
      <c r="D71" s="425"/>
      <c r="E71" s="426"/>
    </row>
    <row r="72" spans="2:5" ht="20" customHeight="1" x14ac:dyDescent="0.2">
      <c r="B72" s="4" t="s">
        <v>3772</v>
      </c>
      <c r="C72" s="103" t="s">
        <v>3713</v>
      </c>
      <c r="D72" s="66" t="s">
        <v>3713</v>
      </c>
      <c r="E72" s="8"/>
    </row>
    <row r="73" spans="2:5" ht="20" customHeight="1" x14ac:dyDescent="0.2">
      <c r="B73" s="4" t="s">
        <v>85</v>
      </c>
      <c r="C73" s="103" t="str">
        <f>IF(cluster_wld_domain_chosen="Workload Domain",CONCATENATE(prefix_wld_az1_vlan,"15"),CONCATENATE(prefix_mgmt_az1_vlan,"15"))</f>
        <v>1315</v>
      </c>
      <c r="D73" s="66"/>
      <c r="E73" s="8"/>
    </row>
    <row r="74" spans="2:5" ht="20" customHeight="1" x14ac:dyDescent="0.2">
      <c r="B74" s="4" t="s">
        <v>157</v>
      </c>
      <c r="C74" s="103">
        <v>9000</v>
      </c>
      <c r="D74" s="66"/>
      <c r="E74" s="333"/>
    </row>
    <row r="75" spans="2:5" ht="20" customHeight="1" x14ac:dyDescent="0.2">
      <c r="B75" s="4" t="s">
        <v>3781</v>
      </c>
      <c r="C75" s="103" t="s">
        <v>105</v>
      </c>
      <c r="D75" s="66" t="s">
        <v>105</v>
      </c>
      <c r="E75" s="333"/>
    </row>
    <row r="76" spans="2:5" ht="20" customHeight="1" x14ac:dyDescent="0.2">
      <c r="B76" s="4" t="s">
        <v>3775</v>
      </c>
      <c r="C76" s="103" t="str">
        <f>IF(cluster_wld_domain_chosen="Workload Domain",CONCATENATE(prefix_wld_az1_cidr,"15.1/24"),CONCATENATE(prefix_mgmt_az1_cidr,"15.1/24"))</f>
        <v>10.13.15.1/24</v>
      </c>
      <c r="D76" s="66"/>
      <c r="E76" s="333"/>
    </row>
    <row r="77" spans="2:5" ht="20" customHeight="1" x14ac:dyDescent="0.2">
      <c r="B77" s="4" t="s">
        <v>3776</v>
      </c>
      <c r="C77" s="103" t="str">
        <f>IF(cluster_wld_domain_chosen="Workload Domain",CONCATENATE(prefix_mgmt_ipv6_cidr,sample_cluster_az1_secondary_storage_vlan,"::","1","/64"),CONCATENATE(prefix_mgmt_ipv6_cidr,sample_cluster_az1_secondary_storage_vlan,"::","1","/64"))</f>
        <v>2001:db8:0:1315::1/64</v>
      </c>
      <c r="D77" s="66"/>
      <c r="E77" s="333"/>
    </row>
    <row r="78" spans="2:5" ht="20" customHeight="1" x14ac:dyDescent="0.2">
      <c r="B78" s="23" t="s">
        <v>3782</v>
      </c>
      <c r="C78" s="103" t="str">
        <f>IF(cluster_wld_domain_chosen="Workload Domain",CONCATENATE(prefix_wld_az1_cidr,"15.101"),CONCATENATE(prefix_mgmt_az1_cidr,"15.101"))</f>
        <v>10.13.15.101</v>
      </c>
      <c r="D78" s="66"/>
      <c r="E78" s="333"/>
    </row>
    <row r="79" spans="2:5" ht="20" customHeight="1" x14ac:dyDescent="0.2">
      <c r="B79" s="23" t="s">
        <v>3783</v>
      </c>
      <c r="C79" s="103" t="str">
        <f>IF(cluster_wld_domain_chosen="Workload Domain",CONCATENATE(prefix_wld_az1_cidr,"15.116"),CONCATENATE(prefix_mgmt_az1_cidr,"15.116"))</f>
        <v>10.13.15.116</v>
      </c>
      <c r="D79" s="66"/>
      <c r="E79" s="333"/>
    </row>
    <row r="80" spans="2:5" ht="20" customHeight="1" x14ac:dyDescent="0.2">
      <c r="B80" s="23" t="s">
        <v>3784</v>
      </c>
      <c r="C80" s="103" t="str">
        <f>IF(cluster_wld_domain_chosen="Workload Domain",CONCATENATE(prefix_mgmt_ipv6_cidr,sample_cluster_az1_secondary_storage_vlan,"::","101",),CONCATENATE(prefix_mgmt_ipv6_cidr,sample_cluster_az1_secondary_storage_vlan,"::","101"))</f>
        <v>2001:db8:0:1315::101</v>
      </c>
      <c r="D80" s="66"/>
      <c r="E80" s="8"/>
    </row>
    <row r="81" spans="2:5" ht="20" customHeight="1" x14ac:dyDescent="0.2">
      <c r="B81" s="23" t="s">
        <v>3785</v>
      </c>
      <c r="C81" s="103" t="str">
        <f>IF(cluster_wld_domain_chosen="Workload Domain",CONCATENATE(prefix_mgmt_ipv6_cidr,sample_cluster_az1_secondary_storage_vlan,"::","116"),CONCATENATE(prefix_mgmt_ipv6_cidr,sample_cluster_az1_secondary_storage_vlan,"::","116"))</f>
        <v>2001:db8:0:1315::116</v>
      </c>
      <c r="D81" s="66"/>
      <c r="E81" s="8"/>
    </row>
    <row r="82" spans="2:5" ht="20" customHeight="1" x14ac:dyDescent="0.2">
      <c r="B82" s="424" t="s">
        <v>706</v>
      </c>
      <c r="C82" s="425"/>
      <c r="D82" s="425"/>
      <c r="E82" s="426"/>
    </row>
    <row r="83" spans="2:5" ht="20" customHeight="1" x14ac:dyDescent="0.2">
      <c r="B83" s="4" t="s">
        <v>3772</v>
      </c>
      <c r="C83" s="103" t="s">
        <v>3713</v>
      </c>
      <c r="D83" s="66" t="s">
        <v>3713</v>
      </c>
      <c r="E83" s="8"/>
    </row>
    <row r="84" spans="2:5" ht="20" customHeight="1" x14ac:dyDescent="0.2">
      <c r="B84" s="4" t="s">
        <v>85</v>
      </c>
      <c r="C84" s="103" t="str">
        <f>IF(cluster_wld_domain_chosen="Workload Domain",CONCATENATE(prefix_wld_az1_vlan,"16"),CONCATENATE(prefix_mgmt_az1_vlan,"16"))</f>
        <v>1316</v>
      </c>
      <c r="D84" s="66"/>
      <c r="E84" s="8"/>
    </row>
    <row r="85" spans="2:5" ht="20" customHeight="1" x14ac:dyDescent="0.2">
      <c r="B85" s="4" t="s">
        <v>157</v>
      </c>
      <c r="C85" s="103">
        <v>9000</v>
      </c>
      <c r="D85" s="66"/>
      <c r="E85" s="333"/>
    </row>
    <row r="86" spans="2:5" ht="20" customHeight="1" x14ac:dyDescent="0.2">
      <c r="B86" s="4" t="s">
        <v>3781</v>
      </c>
      <c r="C86" s="103" t="s">
        <v>105</v>
      </c>
      <c r="D86" s="66" t="s">
        <v>105</v>
      </c>
      <c r="E86" s="333"/>
    </row>
    <row r="87" spans="2:5" ht="20" customHeight="1" x14ac:dyDescent="0.2">
      <c r="B87" s="4" t="s">
        <v>3775</v>
      </c>
      <c r="C87" s="103" t="str">
        <f>IF(cluster_wld_domain_chosen="Workload Domain",CONCATENATE(prefix_wld_az1_cidr,"16.1/24"),CONCATENATE(prefix_mgmt_az1_cidr,"16.1/24"))</f>
        <v>10.13.16.1/24</v>
      </c>
      <c r="D87" s="66"/>
      <c r="E87" s="333"/>
    </row>
    <row r="88" spans="2:5" ht="20" customHeight="1" x14ac:dyDescent="0.2">
      <c r="B88" s="4" t="s">
        <v>3776</v>
      </c>
      <c r="C88" s="103" t="str">
        <f>IF(cluster_wld_domain_chosen="Workload Domain",CONCATENATE(prefix_mgmt_ipv6_cidr,sample_cluster_az1_storage_cluster_vlan,"::","1","/64"),CONCATENATE(prefix_mgmt_ipv6_cidr,sample_cluster_az1_storage_cluster_vlan,"::","1","/64"))</f>
        <v>2001:db8:0:1316::1/64</v>
      </c>
      <c r="D88" s="66"/>
      <c r="E88" s="333"/>
    </row>
    <row r="89" spans="2:5" ht="20" customHeight="1" x14ac:dyDescent="0.2">
      <c r="B89" s="23" t="s">
        <v>3782</v>
      </c>
      <c r="C89" s="103" t="str">
        <f>IF(cluster_wld_domain_chosen="Workload Domain",CONCATENATE(prefix_wld_az1_cidr,"16.101"),CONCATENATE(prefix_mgmt_az1_cidr,"16.101"))</f>
        <v>10.13.16.101</v>
      </c>
      <c r="D89" s="66"/>
      <c r="E89" s="333"/>
    </row>
    <row r="90" spans="2:5" ht="20" customHeight="1" x14ac:dyDescent="0.2">
      <c r="B90" s="23" t="s">
        <v>3783</v>
      </c>
      <c r="C90" s="103" t="str">
        <f>IF(cluster_wld_domain_chosen="Workload Domain",CONCATENATE(prefix_wld_az1_cidr,"16.116"),CONCATENATE(prefix_mgmt_az1_cidr,"16.116"))</f>
        <v>10.13.16.116</v>
      </c>
      <c r="D90" s="66"/>
      <c r="E90" s="333"/>
    </row>
    <row r="91" spans="2:5" ht="20" customHeight="1" x14ac:dyDescent="0.2">
      <c r="B91" s="23" t="s">
        <v>3784</v>
      </c>
      <c r="C91" s="103" t="str">
        <f>IF(cluster_wld_domain_chosen="Workload Domain",CONCATENATE(prefix_mgmt_ipv6_cidr,sample_cluster_az1_storage_cluster_vlan,"::","101",),CONCATENATE(prefix_mgmt_ipv6_cidr,sample_cluster_az1_storage_cluster_vlan,"::","101"))</f>
        <v>2001:db8:0:1316::101</v>
      </c>
      <c r="D91" s="66"/>
      <c r="E91" s="8"/>
    </row>
    <row r="92" spans="2:5" ht="20" customHeight="1" x14ac:dyDescent="0.2">
      <c r="B92" s="23" t="s">
        <v>3785</v>
      </c>
      <c r="C92" s="103" t="str">
        <f>IF(cluster_wld_domain_chosen="Workload Domain",CONCATENATE(prefix_mgmt_ipv6_cidr,sample_cluster_az1_storage_cluster_vlan,"::","116"),CONCATENATE(prefix_mgmt_ipv6_cidr,sample_cluster_az1_storage_cluster_vlan,"::","116"))</f>
        <v>2001:db8:0:1316::116</v>
      </c>
      <c r="D92" s="66"/>
      <c r="E92" s="8"/>
    </row>
    <row r="93" spans="2:5" ht="16" customHeight="1" x14ac:dyDescent="0.2"/>
    <row r="94" spans="2:5" ht="34" customHeight="1" x14ac:dyDescent="0.2">
      <c r="B94" s="569" t="s">
        <v>707</v>
      </c>
      <c r="C94" s="570"/>
      <c r="D94" s="570"/>
      <c r="E94" s="571"/>
    </row>
    <row r="95" spans="2:5" ht="20" customHeight="1" x14ac:dyDescent="0.2">
      <c r="B95" s="63" t="s">
        <v>18</v>
      </c>
      <c r="C95" s="63" t="s">
        <v>19</v>
      </c>
      <c r="D95" s="63" t="s">
        <v>20</v>
      </c>
      <c r="E95" s="63" t="s">
        <v>21</v>
      </c>
    </row>
    <row r="96" spans="2:5" ht="20" customHeight="1" x14ac:dyDescent="0.2">
      <c r="B96" s="23" t="s">
        <v>208</v>
      </c>
      <c r="C96" s="109" t="str">
        <f>IF(cluster_wld_domain_chosen="Workload Domain",CONCATENATE(this_instance,"01-w0",wld_domain_number_chosen,"-r01-esx01",".",sample_child_dns_zone),CONCATENATE(this_instance,"01-m01","-r01-esx01",".",sample_child_dns_zone))</f>
        <v>sfo01-w01-r01-esx01.sfo.rainpole.io</v>
      </c>
      <c r="D96" s="66"/>
      <c r="E96" s="8"/>
    </row>
    <row r="97" spans="2:5" ht="20" customHeight="1" x14ac:dyDescent="0.2">
      <c r="B97" s="23" t="s">
        <v>210</v>
      </c>
      <c r="C97" s="109" t="str">
        <f>IF(cluster_wld_domain_chosen="Workload Domain",CONCATENATE(this_instance,"01-w0",wld_domain_number_chosen,"-r01-esx02",".",sample_child_dns_zone),CONCATENATE(this_instance,"01-m01","-r01-esx02",".",sample_child_dns_zone))</f>
        <v>sfo01-w01-r01-esx02.sfo.rainpole.io</v>
      </c>
      <c r="D97" s="66"/>
      <c r="E97" s="8"/>
    </row>
    <row r="98" spans="2:5" ht="20" customHeight="1" x14ac:dyDescent="0.2">
      <c r="B98" s="23" t="s">
        <v>212</v>
      </c>
      <c r="C98" s="109" t="str">
        <f>IF(cluster_wld_domain_chosen="Workload Domain",CONCATENATE(this_instance,"01-w0",wld_domain_number_chosen,"-r01-esx03",".",sample_child_dns_zone),CONCATENATE(this_instance,"01-m01","-r01-esx03",".",sample_child_dns_zone))</f>
        <v>sfo01-w01-r01-esx03.sfo.rainpole.io</v>
      </c>
      <c r="D98" s="66"/>
      <c r="E98" s="8"/>
    </row>
    <row r="99" spans="2:5" ht="20" customHeight="1" x14ac:dyDescent="0.2">
      <c r="B99" s="23" t="s">
        <v>214</v>
      </c>
      <c r="C99" s="109" t="str">
        <f>IF(cluster_wld_domain_chosen="Workload Domain",CONCATENATE(this_instance,"01-w0",wld_domain_number_chosen,"-r01-esx04",".",sample_child_dns_zone),CONCATENATE(this_instance,"01-m01","-r01-esx04",".",sample_child_dns_zone))</f>
        <v>sfo01-w01-r01-esx04.sfo.rainpole.io</v>
      </c>
      <c r="D99" s="66"/>
      <c r="E99" s="8"/>
    </row>
    <row r="100" spans="2:5" ht="20" customHeight="1" x14ac:dyDescent="0.2">
      <c r="B100" s="23" t="s">
        <v>216</v>
      </c>
      <c r="C100" s="109" t="str">
        <f>IF(cluster_wld_domain_chosen="Workload Domain",CONCATENATE(this_instance,"01-w0",wld_domain_number_chosen,"-r01-esx05",".",sample_child_dns_zone),CONCATENATE(this_instance,"01-m01","-r01-esx05",".",sample_child_dns_zone))</f>
        <v>sfo01-w01-r01-esx05.sfo.rainpole.io</v>
      </c>
      <c r="D100" s="66"/>
      <c r="E100" s="8"/>
    </row>
    <row r="101" spans="2:5" ht="20" customHeight="1" x14ac:dyDescent="0.2">
      <c r="B101" s="23" t="s">
        <v>218</v>
      </c>
      <c r="C101" s="109" t="str">
        <f>IF(cluster_wld_domain_chosen="Workload Domain",CONCATENATE(this_instance,"01-w0",wld_domain_number_chosen,"-r01-esx06",".",sample_child_dns_zone),CONCATENATE(this_instance,"01-m01","-r01-esx06",".",sample_child_dns_zone))</f>
        <v>sfo01-w01-r01-esx06.sfo.rainpole.io</v>
      </c>
      <c r="D101" s="66"/>
      <c r="E101" s="8"/>
    </row>
    <row r="102" spans="2:5" ht="20" customHeight="1" x14ac:dyDescent="0.2">
      <c r="B102" s="23" t="s">
        <v>220</v>
      </c>
      <c r="C102" s="109" t="str">
        <f>IF(cluster_wld_domain_chosen="Workload Domain",CONCATENATE(this_instance,"01-w0",wld_domain_number_chosen,"-r01-esx07",".",sample_child_dns_zone),CONCATENATE(this_instance,"01-m01","-r01-esx07",".",sample_child_dns_zone))</f>
        <v>sfo01-w01-r01-esx07.sfo.rainpole.io</v>
      </c>
      <c r="D102" s="66"/>
      <c r="E102" s="8"/>
    </row>
    <row r="103" spans="2:5" ht="20" customHeight="1" x14ac:dyDescent="0.2">
      <c r="B103" s="23" t="s">
        <v>222</v>
      </c>
      <c r="C103" s="109" t="str">
        <f>IF(cluster_wld_domain_chosen="Workload Domain",CONCATENATE(this_instance,"01-w0",wld_domain_number_chosen,"-r01-esx08",".",sample_child_dns_zone),CONCATENATE(this_instance,"01-m01","-r01-esx08",".",sample_child_dns_zone))</f>
        <v>sfo01-w01-r01-esx08.sfo.rainpole.io</v>
      </c>
      <c r="D103" s="66"/>
      <c r="E103" s="8"/>
    </row>
    <row r="104" spans="2:5" ht="20" customHeight="1" x14ac:dyDescent="0.2">
      <c r="B104" s="23" t="s">
        <v>224</v>
      </c>
      <c r="C104" s="109" t="str">
        <f>IF(cluster_wld_domain_chosen="Workload Domain",CONCATENATE(this_instance,"01-w0",wld_domain_number_chosen,"-r01-esx09",".",sample_child_dns_zone),CONCATENATE(this_instance,"01-m01","-r01-esx09",".",sample_child_dns_zone))</f>
        <v>sfo01-w01-r01-esx09.sfo.rainpole.io</v>
      </c>
      <c r="D104" s="66"/>
      <c r="E104" s="8"/>
    </row>
    <row r="105" spans="2:5" ht="20" customHeight="1" x14ac:dyDescent="0.2">
      <c r="B105" s="23" t="s">
        <v>226</v>
      </c>
      <c r="C105" s="109" t="str">
        <f>IF(cluster_wld_domain_chosen="Workload Domain",CONCATENATE(this_instance,"01-w0",wld_domain_number_chosen,"-r01-esx10",".",sample_child_dns_zone),CONCATENATE(this_instance,"01-m01","-r01-esx10",".",sample_child_dns_zone))</f>
        <v>sfo01-w01-r01-esx10.sfo.rainpole.io</v>
      </c>
      <c r="D105" s="66"/>
      <c r="E105" s="8"/>
    </row>
    <row r="106" spans="2:5" ht="20" customHeight="1" x14ac:dyDescent="0.2">
      <c r="B106" s="23" t="s">
        <v>228</v>
      </c>
      <c r="C106" s="109" t="str">
        <f>IF(cluster_wld_domain_chosen="Workload Domain",CONCATENATE(this_instance,"01-w0",wld_domain_number_chosen,"-r01-esx11",".",sample_child_dns_zone),CONCATENATE(this_instance,"01-m01","-r01-esx11",".",sample_child_dns_zone))</f>
        <v>sfo01-w01-r01-esx11.sfo.rainpole.io</v>
      </c>
      <c r="D106" s="66"/>
      <c r="E106" s="8"/>
    </row>
    <row r="107" spans="2:5" ht="20" customHeight="1" x14ac:dyDescent="0.2">
      <c r="B107" s="23" t="s">
        <v>230</v>
      </c>
      <c r="C107" s="109" t="str">
        <f>IF(cluster_wld_domain_chosen="Workload Domain",CONCATENATE(this_instance,"01-w0",wld_domain_number_chosen,"-r01-esx12",".",sample_child_dns_zone),CONCATENATE(this_instance,"01-m01","-r01-esx12",".",sample_child_dns_zone))</f>
        <v>sfo01-w01-r01-esx12.sfo.rainpole.io</v>
      </c>
      <c r="D107" s="66"/>
      <c r="E107" s="8"/>
    </row>
    <row r="108" spans="2:5" ht="20" customHeight="1" x14ac:dyDescent="0.2">
      <c r="B108" s="23" t="s">
        <v>232</v>
      </c>
      <c r="C108" s="109" t="str">
        <f>IF(cluster_wld_domain_chosen="Workload Domain",CONCATENATE(this_instance,"01-w0",wld_domain_number_chosen,"-r01-esx13",".",sample_child_dns_zone),CONCATENATE(this_instance,"01-m01","-r01-esx13",".",sample_child_dns_zone))</f>
        <v>sfo01-w01-r01-esx13.sfo.rainpole.io</v>
      </c>
      <c r="D108" s="66"/>
      <c r="E108" s="8"/>
    </row>
    <row r="109" spans="2:5" ht="20" customHeight="1" x14ac:dyDescent="0.2">
      <c r="B109" s="23" t="s">
        <v>234</v>
      </c>
      <c r="C109" s="109" t="str">
        <f>IF(cluster_wld_domain_chosen="Workload Domain",CONCATENATE(this_instance,"01-w0",wld_domain_number_chosen,"-r01-esx14",".",sample_child_dns_zone),CONCATENATE(this_instance,"01-m01","-r01-esx14",".",sample_child_dns_zone))</f>
        <v>sfo01-w01-r01-esx14.sfo.rainpole.io</v>
      </c>
      <c r="D109" s="66"/>
      <c r="E109" s="8"/>
    </row>
    <row r="110" spans="2:5" ht="20" customHeight="1" x14ac:dyDescent="0.2">
      <c r="B110" s="23" t="s">
        <v>236</v>
      </c>
      <c r="C110" s="109" t="str">
        <f>IF(cluster_wld_domain_chosen="Workload Domain",CONCATENATE(this_instance,"01-w0",wld_domain_number_chosen,"-r01-esx15",".",sample_child_dns_zone),CONCATENATE(this_instance,"01-m01","-r01-esx15",".",sample_child_dns_zone))</f>
        <v>sfo01-w01-r01-esx15.sfo.rainpole.io</v>
      </c>
      <c r="D110" s="66"/>
      <c r="E110" s="8"/>
    </row>
    <row r="111" spans="2:5" ht="20" customHeight="1" x14ac:dyDescent="0.2">
      <c r="B111" s="23" t="s">
        <v>238</v>
      </c>
      <c r="C111" s="109" t="str">
        <f>IF(cluster_wld_domain_chosen="Workload Domain",CONCATENATE(this_instance,"01-w0",wld_domain_number_chosen,"-r01-esx16",".",sample_child_dns_zone),CONCATENATE(this_instance,"01-m01","-r01-esx16",".",sample_child_dns_zone))</f>
        <v>sfo01-w01-r01-esx16.sfo.rainpole.io</v>
      </c>
      <c r="D111" s="66"/>
      <c r="E111" s="8"/>
    </row>
    <row r="112" spans="2:5" ht="20" customHeight="1" x14ac:dyDescent="0.2">
      <c r="B112" s="23" t="s">
        <v>257</v>
      </c>
      <c r="C112" s="100" t="s">
        <v>258</v>
      </c>
      <c r="D112" s="8" t="str">
        <f>IF(OR(cluster_principal_storage_chosen="vSAN-ESA",cluster_principal_storage_chosen="vSAN Storage Cluster",cluster_principal_storage_chosen="vSAN-OSA",cluster_principal_storage_chosen="vSAN Compute Cluster"),"vSAN",
IF(cluster_principal_storage_chosen="VMFS on Fibre Channel (FC)","VMFS on FC",
IF(cluster_principal_storage_chosen="NFSv3","NFS")))</f>
        <v>vSAN</v>
      </c>
      <c r="E112" s="8"/>
    </row>
    <row r="113" spans="2:5" ht="20" customHeight="1" x14ac:dyDescent="0.2">
      <c r="B113" s="23" t="s">
        <v>259</v>
      </c>
      <c r="C113" s="100" t="s">
        <v>260</v>
      </c>
      <c r="D113" s="8" t="str">
        <f>IF(cluster_principal_storage_chosen="vSAN Storage Cluster","vSAN Storage",IF(cluster_principal_storage_chosen="vSAN Compute Cluster","Compute Cluster",IF(OR(cluster_principal_storage_chosen="vSAN-ESA",cluster_principal_storage_chosen="vSAN-OSA"),"vSAN HCI","")))</f>
        <v>vSAN HCI</v>
      </c>
      <c r="E113" s="4"/>
    </row>
    <row r="114" spans="2:5" ht="20" customHeight="1" x14ac:dyDescent="0.2">
      <c r="B114" s="23" t="s">
        <v>261</v>
      </c>
      <c r="C114" s="100" t="s">
        <v>156</v>
      </c>
      <c r="D114" s="8" t="str">
        <f>IF(OR(cluster_principal_storage_chosen="vSAN-ESA",cluster_principal_storage_chosen="vSAN Storage Cluster",cluster_principal_storage_chosen="vSAN Compute Cluster"),"Selected","Unselected")</f>
        <v>Selected</v>
      </c>
      <c r="E114" s="8"/>
    </row>
    <row r="115" spans="2:5" ht="20" customHeight="1" x14ac:dyDescent="0.2">
      <c r="B115" s="23" t="s">
        <v>243</v>
      </c>
      <c r="C115" s="100" t="str">
        <f>C48</f>
        <v>sfo01-w01-r01-network-pool-01</v>
      </c>
      <c r="D115" s="8" t="str">
        <f>cluster_az1_pool_name</f>
        <v>Value Missing</v>
      </c>
      <c r="E115" s="8"/>
    </row>
    <row r="116" spans="2:5" ht="20" customHeight="1" x14ac:dyDescent="0.2">
      <c r="B116" s="23" t="s">
        <v>47</v>
      </c>
      <c r="C116" s="100" t="s">
        <v>262</v>
      </c>
      <c r="D116" s="66"/>
      <c r="E116" s="8"/>
    </row>
    <row r="117" spans="2:5" ht="20" customHeight="1" x14ac:dyDescent="0.2">
      <c r="B117" s="23" t="s">
        <v>30</v>
      </c>
      <c r="C117" s="100" t="s">
        <v>31</v>
      </c>
      <c r="D117" s="66"/>
      <c r="E117" s="8"/>
    </row>
    <row r="118" spans="2:5" ht="16" customHeight="1" x14ac:dyDescent="0.2"/>
    <row r="119" spans="2:5" ht="34" customHeight="1" x14ac:dyDescent="0.2">
      <c r="B119" s="569" t="s">
        <v>966</v>
      </c>
      <c r="C119" s="570"/>
      <c r="D119" s="570"/>
      <c r="E119" s="571"/>
    </row>
    <row r="120" spans="2:5" ht="16" customHeight="1" x14ac:dyDescent="0.2"/>
    <row r="121" spans="2:5" ht="34" customHeight="1" x14ac:dyDescent="0.2">
      <c r="B121" s="427" t="s">
        <v>729</v>
      </c>
      <c r="C121" s="428"/>
      <c r="D121" s="428"/>
      <c r="E121" s="429"/>
    </row>
    <row r="122" spans="2:5" ht="20" customHeight="1" x14ac:dyDescent="0.2">
      <c r="B122" s="424" t="s">
        <v>967</v>
      </c>
      <c r="C122" s="425"/>
      <c r="D122" s="425"/>
      <c r="E122" s="426"/>
    </row>
    <row r="123" spans="2:5" ht="20" customHeight="1" x14ac:dyDescent="0.2">
      <c r="B123" s="63" t="s">
        <v>18</v>
      </c>
      <c r="C123" s="63" t="s">
        <v>19</v>
      </c>
      <c r="D123" s="63" t="s">
        <v>20</v>
      </c>
      <c r="E123" s="63" t="s">
        <v>21</v>
      </c>
    </row>
    <row r="124" spans="2:5" ht="20" customHeight="1" x14ac:dyDescent="0.2">
      <c r="B124" s="23" t="s">
        <v>729</v>
      </c>
      <c r="C124" s="65" t="s">
        <v>665</v>
      </c>
      <c r="D124" s="8" t="str">
        <f>IF(cluster_principal_storage_chosen="vSAN Storage Cluster","vSAN-ESA",cluster_principal_storage_chosen)</f>
        <v>vSAN-ESA</v>
      </c>
      <c r="E124" s="8"/>
    </row>
    <row r="125" spans="2:5" ht="16" customHeight="1" x14ac:dyDescent="0.2"/>
    <row r="126" spans="2:5" ht="34" customHeight="1" x14ac:dyDescent="0.2">
      <c r="B126" s="427" t="s">
        <v>968</v>
      </c>
      <c r="C126" s="428"/>
      <c r="D126" s="428"/>
      <c r="E126" s="429"/>
    </row>
    <row r="127" spans="2:5" ht="20" customHeight="1" x14ac:dyDescent="0.2">
      <c r="B127" s="424" t="s">
        <v>969</v>
      </c>
      <c r="C127" s="425"/>
      <c r="D127" s="425"/>
      <c r="E127" s="426"/>
    </row>
    <row r="128" spans="2:5" ht="20" customHeight="1" x14ac:dyDescent="0.2">
      <c r="B128" s="63" t="s">
        <v>18</v>
      </c>
      <c r="C128" s="63" t="s">
        <v>19</v>
      </c>
      <c r="D128" s="63" t="s">
        <v>20</v>
      </c>
      <c r="E128" s="63" t="s">
        <v>21</v>
      </c>
    </row>
    <row r="129" spans="2:5" ht="20" customHeight="1" x14ac:dyDescent="0.2">
      <c r="B129" s="23" t="s">
        <v>204</v>
      </c>
      <c r="C129" s="65" t="str">
        <f>IF(cluster_wld_domain_chosen="Workload Domain",CONCATENATE(this_instance,"-w0",wld_domain_number_chosen,"-cl02"),CONCATENATE(this_instance,"-m01","-cl02"))</f>
        <v>sfo-w01-cl02</v>
      </c>
      <c r="D129" s="66"/>
      <c r="E129" s="8"/>
    </row>
    <row r="130" spans="2:5" ht="16" customHeight="1" x14ac:dyDescent="0.2"/>
    <row r="131" spans="2:5" ht="34" customHeight="1" x14ac:dyDescent="0.2">
      <c r="B131" s="427" t="s">
        <v>718</v>
      </c>
      <c r="C131" s="428"/>
      <c r="D131" s="428"/>
      <c r="E131" s="429"/>
    </row>
    <row r="132" spans="2:5" ht="20" customHeight="1" x14ac:dyDescent="0.2">
      <c r="B132" s="424" t="s">
        <v>719</v>
      </c>
      <c r="C132" s="425"/>
      <c r="D132" s="425"/>
      <c r="E132" s="426"/>
    </row>
    <row r="133" spans="2:5" ht="20" customHeight="1" x14ac:dyDescent="0.2">
      <c r="B133" s="63" t="s">
        <v>18</v>
      </c>
      <c r="C133" s="63" t="s">
        <v>19</v>
      </c>
      <c r="D133" s="63" t="s">
        <v>20</v>
      </c>
      <c r="E133" s="63" t="s">
        <v>21</v>
      </c>
    </row>
    <row r="134" spans="2:5" ht="20" customHeight="1" x14ac:dyDescent="0.2">
      <c r="B134" s="23" t="s">
        <v>718</v>
      </c>
      <c r="C134" s="65" t="str">
        <f>IF(cluster_wld_domain_chosen="Workload Domain",CONCATENATE(this_instance,"-w0",wld_domain_number_chosen,"-cl02"),CONCATENATE(this_instance,"-m01","-cl02"))</f>
        <v>sfo-w01-cl02</v>
      </c>
      <c r="D134" s="66"/>
      <c r="E134" s="8"/>
    </row>
    <row r="135" spans="2:5" ht="16" customHeight="1" x14ac:dyDescent="0.2"/>
    <row r="136" spans="2:5" ht="34" customHeight="1" x14ac:dyDescent="0.2">
      <c r="B136" s="427" t="str">
        <f>IF(OR(wld_principal_storage_chosen="vSAN-ESA",wld_principal_storage_chosen="vSAN-OSA"),"vSAN Storage",IF(wld_principal_storage_chosen="NFSv3","NFS Storage",""))</f>
        <v>vSAN Storage</v>
      </c>
      <c r="C136" s="428"/>
      <c r="D136" s="428"/>
      <c r="E136" s="429"/>
    </row>
    <row r="137" spans="2:5" ht="20" customHeight="1" x14ac:dyDescent="0.2">
      <c r="B137" s="424" t="s">
        <v>970</v>
      </c>
      <c r="C137" s="425"/>
      <c r="D137" s="425"/>
      <c r="E137" s="426"/>
    </row>
    <row r="138" spans="2:5" ht="20" customHeight="1" x14ac:dyDescent="0.2">
      <c r="B138" s="63" t="s">
        <v>18</v>
      </c>
      <c r="C138" s="63" t="s">
        <v>19</v>
      </c>
      <c r="D138" s="63" t="s">
        <v>20</v>
      </c>
      <c r="E138" s="63" t="s">
        <v>21</v>
      </c>
    </row>
    <row r="139" spans="2:5" ht="20" customHeight="1" x14ac:dyDescent="0.2">
      <c r="B139" s="4" t="s">
        <v>732</v>
      </c>
      <c r="C139" s="65" t="s">
        <v>733</v>
      </c>
      <c r="D139" s="8" t="str">
        <f>cluster_vsan_type</f>
        <v>vSAN HCI</v>
      </c>
      <c r="E139" s="4" t="s">
        <v>971</v>
      </c>
    </row>
    <row r="140" spans="2:5" ht="20" customHeight="1" x14ac:dyDescent="0.2">
      <c r="B140" s="4" t="s">
        <v>972</v>
      </c>
      <c r="C140" s="65" t="str">
        <f>CONCATENATE(this_instance,"-w0",wld_domain_number_chosen,"-cl01")</f>
        <v>sfo-w01-cl01</v>
      </c>
      <c r="D140" s="66"/>
      <c r="E140" s="4"/>
    </row>
    <row r="141" spans="2:5" ht="20" customHeight="1" x14ac:dyDescent="0.2">
      <c r="B141" s="4" t="s">
        <v>272</v>
      </c>
      <c r="C141" s="65" t="str">
        <f>IF(cluster_wld_domain_chosen="Workload Domain",CONCATENATE(sample_wld_sddc_domain,"-",sample_cluster_name,"-vsan01"),CONCATENATE(sample_mgmt_sddc_domain,"-",sample_cluster_name,"-vsan01"))</f>
        <v>sfo-w01-sfo-w01-cl02-vsan01</v>
      </c>
      <c r="D141" s="66"/>
      <c r="E141" s="8"/>
    </row>
    <row r="142" spans="2:5" ht="20" customHeight="1" x14ac:dyDescent="0.2">
      <c r="B142" s="4" t="s">
        <v>734</v>
      </c>
      <c r="C142" s="65" t="s">
        <v>142</v>
      </c>
      <c r="D142" s="8" t="str">
        <f>IF(cluster_secondary_storage_result="Included","Selected","Unselected")</f>
        <v>Unselected</v>
      </c>
      <c r="E142" s="8" t="str">
        <f>IF(AND(cluster_secondary_storage_chosen&lt;&gt;"vSAN Storage Client Network",cluster_vsan_type="vSAN Storage"),"To use vSAN Storage Client Network it should be enabled in Deploy and New Cluster Options section","")</f>
        <v/>
      </c>
    </row>
    <row r="143" spans="2:5" ht="20" customHeight="1" x14ac:dyDescent="0.2">
      <c r="B143" s="4" t="str">
        <f>IF(wld_principal_storage_chosen="vSAN-ESA","Storage Policy", "vSAN: Failures to Tolerate (FTT)")</f>
        <v>Storage Policy</v>
      </c>
      <c r="C143" s="65">
        <v>1</v>
      </c>
      <c r="D143" s="66" t="s">
        <v>735</v>
      </c>
      <c r="E143" s="8"/>
    </row>
    <row r="144" spans="2:5" ht="20" customHeight="1" x14ac:dyDescent="0.2">
      <c r="B144" s="4" t="s">
        <v>736</v>
      </c>
      <c r="C144" s="65" t="s">
        <v>142</v>
      </c>
      <c r="D144" s="66" t="s">
        <v>142</v>
      </c>
      <c r="E144" s="8"/>
    </row>
    <row r="145" spans="2:5" ht="20" customHeight="1" x14ac:dyDescent="0.2">
      <c r="B145" s="183" t="s">
        <v>737</v>
      </c>
      <c r="C145" s="65" t="str">
        <f>IF(cluster_wld_domain_chosen="Workload Domain",CONCATENATE(this_instance,"-w0",wld_domain_number_chosen,"-cl02-ds-vmfs01"),CONCATENATE(this_instance,"-m01","-cl02-ds-vmfs01"))</f>
        <v>sfo-w01-cl02-ds-vmfs01</v>
      </c>
      <c r="D145" s="66"/>
      <c r="E145" s="8"/>
    </row>
    <row r="146" spans="2:5" ht="20" customHeight="1" x14ac:dyDescent="0.2">
      <c r="B146" s="30" t="s">
        <v>738</v>
      </c>
      <c r="C146" s="65" t="str">
        <f>IF(cluster_wld_domain_chosen="Workload Domain",CONCATENATE(this_instance,"-w0",wld_domain_number_chosen,"-cl02-ds-nfs01"),CONCATENATE(this_instance,"-m01","-cl02-ds-nfs01"))</f>
        <v>sfo-w01-cl02-ds-nfs01</v>
      </c>
      <c r="D146" s="66"/>
      <c r="E146" s="8"/>
    </row>
    <row r="147" spans="2:5" ht="20" customHeight="1" x14ac:dyDescent="0.2">
      <c r="B147" s="30" t="s">
        <v>739</v>
      </c>
      <c r="C147" s="65" t="str">
        <f>IF(cluster_wld_domain_chosen="Workload Domain",CONCATENATE(this_instance,"-w0",wld_domain_number_chosen,"-cl02-ds-nfs01-share"),CONCATENATE(this_instance,"-m01","-cl02-ds-nfs01-share"))</f>
        <v>sfo-w01-cl02-ds-nfs01-share</v>
      </c>
      <c r="D147" s="66"/>
      <c r="E147" s="8"/>
    </row>
    <row r="148" spans="2:5" ht="20" customHeight="1" x14ac:dyDescent="0.2">
      <c r="B148" s="30" t="s">
        <v>740</v>
      </c>
      <c r="C148" s="65" t="str">
        <f>IF(cluster_wld_domain_chosen="Workload Domain",CONCATENATE(prefix_wld_az1_cidr,"15.4"),CONCATENATE(prefix_mgmt_az1_cidr,"15.4"))</f>
        <v>10.13.15.4</v>
      </c>
      <c r="D148" s="66"/>
      <c r="E148" s="8"/>
    </row>
    <row r="149" spans="2:5" ht="16" customHeight="1" x14ac:dyDescent="0.2">
      <c r="B149" s="7"/>
      <c r="C149" s="7"/>
      <c r="D149" s="7"/>
      <c r="E149" s="7"/>
    </row>
    <row r="150" spans="2:5" ht="34" customHeight="1" x14ac:dyDescent="0.2">
      <c r="B150" s="427" t="s">
        <v>741</v>
      </c>
      <c r="C150" s="428"/>
      <c r="D150" s="428"/>
      <c r="E150" s="429"/>
    </row>
    <row r="151" spans="2:5" ht="20" customHeight="1" x14ac:dyDescent="0.2">
      <c r="B151" s="424"/>
      <c r="C151" s="425"/>
      <c r="D151" s="425"/>
      <c r="E151" s="426"/>
    </row>
    <row r="152" spans="2:5" ht="20" customHeight="1" x14ac:dyDescent="0.2">
      <c r="B152" s="63" t="s">
        <v>18</v>
      </c>
      <c r="C152" s="63" t="s">
        <v>19</v>
      </c>
      <c r="D152" s="63" t="s">
        <v>20</v>
      </c>
      <c r="E152" s="63" t="s">
        <v>21</v>
      </c>
    </row>
    <row r="153" spans="2:5" ht="20" customHeight="1" x14ac:dyDescent="0.2">
      <c r="B153" s="23" t="s">
        <v>208</v>
      </c>
      <c r="C153" s="65" t="str">
        <f t="array" ref="C153:C168">sample_wld_az1_host_fqdns</f>
        <v>sfo01-w01-r01-esx01.sfo.rainpole.io</v>
      </c>
      <c r="D153" s="8" t="str">
        <f t="array" ref="D153:D168">cluster_az1_host_fqdns</f>
        <v>Value Missing</v>
      </c>
      <c r="E153" s="8"/>
    </row>
    <row r="154" spans="2:5" ht="20" customHeight="1" x14ac:dyDescent="0.2">
      <c r="B154" s="23" t="s">
        <v>210</v>
      </c>
      <c r="C154" s="65" t="str">
        <v>sfo01-w01-r01-esx02.sfo.rainpole.io</v>
      </c>
      <c r="D154" s="8" t="str">
        <v>Value Missing</v>
      </c>
      <c r="E154" s="8"/>
    </row>
    <row r="155" spans="2:5" ht="20" customHeight="1" x14ac:dyDescent="0.2">
      <c r="B155" s="23" t="s">
        <v>212</v>
      </c>
      <c r="C155" s="65" t="str">
        <v>sfo01-w01-r01-esx03.sfo.rainpole.io</v>
      </c>
      <c r="D155" s="8" t="str">
        <v>Value Missing</v>
      </c>
      <c r="E155" s="8"/>
    </row>
    <row r="156" spans="2:5" ht="20" customHeight="1" x14ac:dyDescent="0.2">
      <c r="B156" s="23" t="s">
        <v>214</v>
      </c>
      <c r="C156" s="65" t="str">
        <v>sfo01-w01-r01-esx04.sfo.rainpole.io</v>
      </c>
      <c r="D156" s="8" t="str">
        <v>Value Missing</v>
      </c>
      <c r="E156" s="8"/>
    </row>
    <row r="157" spans="2:5" ht="20" customHeight="1" x14ac:dyDescent="0.2">
      <c r="B157" s="23" t="s">
        <v>216</v>
      </c>
      <c r="C157" s="65" t="str">
        <v>sfo01-w01-r01-esx05.sfo.rainpole.io</v>
      </c>
      <c r="D157" s="8" t="str">
        <v>Value Missing</v>
      </c>
      <c r="E157" s="23"/>
    </row>
    <row r="158" spans="2:5" ht="20" customHeight="1" x14ac:dyDescent="0.2">
      <c r="B158" s="23" t="s">
        <v>218</v>
      </c>
      <c r="C158" s="65" t="str">
        <v>sfo01-w01-r01-esx06.sfo.rainpole.io</v>
      </c>
      <c r="D158" s="8" t="str">
        <v>Value Missing</v>
      </c>
      <c r="E158" s="23"/>
    </row>
    <row r="159" spans="2:5" ht="20" customHeight="1" x14ac:dyDescent="0.2">
      <c r="B159" s="23" t="s">
        <v>220</v>
      </c>
      <c r="C159" s="65" t="str">
        <v>sfo01-w01-r01-esx07.sfo.rainpole.io</v>
      </c>
      <c r="D159" s="8" t="str">
        <v>Value Missing</v>
      </c>
      <c r="E159" s="23"/>
    </row>
    <row r="160" spans="2:5" ht="20" customHeight="1" x14ac:dyDescent="0.2">
      <c r="B160" s="23" t="s">
        <v>222</v>
      </c>
      <c r="C160" s="65" t="str">
        <v>sfo01-w01-r01-esx08.sfo.rainpole.io</v>
      </c>
      <c r="D160" s="8" t="str">
        <v>Value Missing</v>
      </c>
      <c r="E160" s="23"/>
    </row>
    <row r="161" spans="2:5" ht="20" customHeight="1" x14ac:dyDescent="0.2">
      <c r="B161" s="23" t="s">
        <v>224</v>
      </c>
      <c r="C161" s="65" t="str">
        <v>sfo01-w01-r01-esx09.sfo.rainpole.io</v>
      </c>
      <c r="D161" s="8" t="str">
        <v>Value Missing</v>
      </c>
      <c r="E161" s="23"/>
    </row>
    <row r="162" spans="2:5" ht="20" customHeight="1" x14ac:dyDescent="0.2">
      <c r="B162" s="23" t="s">
        <v>226</v>
      </c>
      <c r="C162" s="65" t="str">
        <v>sfo01-w01-r01-esx10.sfo.rainpole.io</v>
      </c>
      <c r="D162" s="8" t="str">
        <v>Value Missing</v>
      </c>
      <c r="E162" s="184"/>
    </row>
    <row r="163" spans="2:5" ht="20" customHeight="1" x14ac:dyDescent="0.2">
      <c r="B163" s="23" t="s">
        <v>228</v>
      </c>
      <c r="C163" s="65" t="str">
        <v>sfo01-w01-r01-esx11.sfo.rainpole.io</v>
      </c>
      <c r="D163" s="8" t="str">
        <v>Value Missing</v>
      </c>
      <c r="E163" s="23"/>
    </row>
    <row r="164" spans="2:5" ht="20" customHeight="1" x14ac:dyDescent="0.2">
      <c r="B164" s="23" t="s">
        <v>230</v>
      </c>
      <c r="C164" s="65" t="str">
        <v>sfo01-w01-r01-esx12.sfo.rainpole.io</v>
      </c>
      <c r="D164" s="8" t="str">
        <v>Value Missing</v>
      </c>
      <c r="E164" s="23"/>
    </row>
    <row r="165" spans="2:5" ht="20" customHeight="1" x14ac:dyDescent="0.2">
      <c r="B165" s="23" t="s">
        <v>232</v>
      </c>
      <c r="C165" s="65" t="str">
        <v>sfo01-w01-r01-esx13.sfo.rainpole.io</v>
      </c>
      <c r="D165" s="8" t="str">
        <v>Value Missing</v>
      </c>
      <c r="E165" s="23"/>
    </row>
    <row r="166" spans="2:5" ht="20" customHeight="1" x14ac:dyDescent="0.2">
      <c r="B166" s="23" t="s">
        <v>234</v>
      </c>
      <c r="C166" s="65" t="str">
        <v>sfo01-w01-r01-esx14.sfo.rainpole.io</v>
      </c>
      <c r="D166" s="8" t="str">
        <v>Value Missing</v>
      </c>
      <c r="E166" s="23"/>
    </row>
    <row r="167" spans="2:5" ht="20" customHeight="1" x14ac:dyDescent="0.2">
      <c r="B167" s="23" t="s">
        <v>236</v>
      </c>
      <c r="C167" s="65" t="str">
        <v>sfo01-w01-r01-esx15.sfo.rainpole.io</v>
      </c>
      <c r="D167" s="8" t="str">
        <v>Value Missing</v>
      </c>
      <c r="E167" s="23"/>
    </row>
    <row r="168" spans="2:5" ht="20" customHeight="1" x14ac:dyDescent="0.2">
      <c r="B168" s="23" t="s">
        <v>238</v>
      </c>
      <c r="C168" s="65" t="str">
        <v>sfo01-w01-r01-esx16.sfo.rainpole.io</v>
      </c>
      <c r="D168" s="8" t="str">
        <v>Value Missing</v>
      </c>
      <c r="E168" s="23"/>
    </row>
    <row r="169" spans="2:5" ht="16" customHeight="1" x14ac:dyDescent="0.2"/>
    <row r="170" spans="2:5" ht="34" customHeight="1" x14ac:dyDescent="0.2">
      <c r="B170" s="427" t="s">
        <v>742</v>
      </c>
      <c r="C170" s="428"/>
      <c r="D170" s="428"/>
      <c r="E170" s="429"/>
    </row>
    <row r="171" spans="2:5" ht="20" customHeight="1" x14ac:dyDescent="0.2">
      <c r="B171" s="424" t="s">
        <v>743</v>
      </c>
      <c r="C171" s="425"/>
      <c r="D171" s="425"/>
      <c r="E171" s="426"/>
    </row>
    <row r="172" spans="2:5" ht="20" customHeight="1" x14ac:dyDescent="0.2">
      <c r="B172" s="63" t="s">
        <v>18</v>
      </c>
      <c r="C172" s="63" t="s">
        <v>19</v>
      </c>
      <c r="D172" s="63" t="s">
        <v>20</v>
      </c>
      <c r="E172" s="63" t="s">
        <v>21</v>
      </c>
    </row>
    <row r="173" spans="2:5" ht="20" customHeight="1" x14ac:dyDescent="0.2">
      <c r="B173" s="23" t="s">
        <v>3452</v>
      </c>
      <c r="C173" s="65" t="s">
        <v>745</v>
      </c>
      <c r="D173" s="66" t="s">
        <v>745</v>
      </c>
      <c r="E173" s="8"/>
    </row>
    <row r="174" spans="2:5" ht="20" customHeight="1" x14ac:dyDescent="0.2">
      <c r="B174" s="23" t="s">
        <v>746</v>
      </c>
      <c r="C174" s="65" t="s">
        <v>142</v>
      </c>
      <c r="D174" s="66" t="s">
        <v>156</v>
      </c>
      <c r="E174" s="8" t="s">
        <v>973</v>
      </c>
    </row>
    <row r="175" spans="2:5" ht="16" customHeight="1" x14ac:dyDescent="0.2"/>
    <row r="176" spans="2:5" ht="34" customHeight="1" x14ac:dyDescent="0.2">
      <c r="B176" s="185" t="s">
        <v>747</v>
      </c>
      <c r="C176" s="186"/>
      <c r="D176" s="186"/>
      <c r="E176" s="187"/>
    </row>
    <row r="177" spans="2:5" ht="20" customHeight="1" x14ac:dyDescent="0.2">
      <c r="B177" s="188" t="s">
        <v>748</v>
      </c>
      <c r="C177" s="189"/>
      <c r="D177" s="189"/>
      <c r="E177" s="190"/>
    </row>
    <row r="178" spans="2:5" ht="20" customHeight="1" x14ac:dyDescent="0.2">
      <c r="B178" s="63" t="s">
        <v>18</v>
      </c>
      <c r="C178" s="63" t="s">
        <v>19</v>
      </c>
      <c r="D178" s="63" t="s">
        <v>20</v>
      </c>
      <c r="E178" s="63" t="s">
        <v>21</v>
      </c>
    </row>
    <row r="179" spans="2:5" ht="20" customHeight="1" x14ac:dyDescent="0.2">
      <c r="B179" s="23" t="s">
        <v>749</v>
      </c>
      <c r="C179" s="65" t="str">
        <f>CONCATENATE(sample_cluster_name,"-vds01")</f>
        <v>sfo-w01-cl02-vds01</v>
      </c>
      <c r="D179" s="66"/>
      <c r="E179" s="8"/>
    </row>
    <row r="180" spans="2:5" ht="20" customHeight="1" x14ac:dyDescent="0.2">
      <c r="B180" s="23" t="s">
        <v>157</v>
      </c>
      <c r="C180" s="65">
        <v>9000</v>
      </c>
      <c r="D180" s="66"/>
      <c r="E180" s="8"/>
    </row>
    <row r="181" spans="2:5" ht="20" customHeight="1" x14ac:dyDescent="0.2">
      <c r="B181" s="23" t="s">
        <v>3316</v>
      </c>
      <c r="C181" s="65" t="s">
        <v>3560</v>
      </c>
      <c r="D181" s="66" t="s">
        <v>3560</v>
      </c>
      <c r="E181" s="387" t="str">
        <f>IF(cluster_vds01_link_type_chosen="VDS Lag","Only supported via API. Use VCF.JSONGenerator to generate the JSON File once PnP is complete","Option is not visable in VMware Cloud Foundations Operations UI")</f>
        <v>Option is not visable in VMware Cloud Foundations Operations UI</v>
      </c>
    </row>
    <row r="182" spans="2:5" ht="20" customHeight="1" x14ac:dyDescent="0.2">
      <c r="B182" s="4" t="s">
        <v>3561</v>
      </c>
      <c r="C182" s="105" t="str">
        <f>CONCATENATE(this_instance,"-w01-cl01-vds02-lag")</f>
        <v>sfo-w01-cl01-vds02-lag</v>
      </c>
      <c r="D182" s="66"/>
      <c r="E182" s="387" t="str">
        <f>IF(cluster_vds01_link_type_chosen="VDS Uplinks","This input is masked out as you have chosen to configure VDS Uplinks","Option is not visable in VCF Operations UI. There is a 16 Character Limit for LAG Name")</f>
        <v>This input is masked out as you have chosen to configure VDS Uplinks</v>
      </c>
    </row>
    <row r="183" spans="2:5" ht="20" customHeight="1" x14ac:dyDescent="0.2">
      <c r="B183" s="4" t="s">
        <v>3562</v>
      </c>
      <c r="C183" s="168" t="s">
        <v>760</v>
      </c>
      <c r="D183" s="66" t="s">
        <v>760</v>
      </c>
      <c r="E183" s="387" t="str">
        <f>IF(cluster_vds01_link_type_chosen="VDS Uplinks","This input is masked out as you have chosen to configure VDS Uplinks","Option is not visable in VMware Cloud Foundations Operations UI")</f>
        <v>This input is masked out as you have chosen to configure VDS Uplinks</v>
      </c>
    </row>
    <row r="184" spans="2:5" ht="20" customHeight="1" x14ac:dyDescent="0.2">
      <c r="B184" s="4" t="s">
        <v>3563</v>
      </c>
      <c r="C184" s="168" t="s">
        <v>3580</v>
      </c>
      <c r="D184" s="66" t="s">
        <v>3580</v>
      </c>
      <c r="E184" s="387" t="str">
        <f>IF(cluster_vds01_link_type_chosen="VDS Uplinks","This input is masked out as you have chosen to configure VDS Uplinks","Option is not visable in VMware Cloud Foundations Operations UI")</f>
        <v>This input is masked out as you have chosen to configure VDS Uplinks</v>
      </c>
    </row>
    <row r="185" spans="2:5" ht="20" customHeight="1" x14ac:dyDescent="0.2">
      <c r="B185" s="4" t="s">
        <v>3564</v>
      </c>
      <c r="C185" s="168" t="s">
        <v>3565</v>
      </c>
      <c r="D185" s="66" t="s">
        <v>3565</v>
      </c>
      <c r="E185" s="387" t="str">
        <f>IF(cluster_vds01_link_type_chosen="VDS Uplinks","This input is masked out as you have chosen to configure VDS Uplinks","Option is not visable in VMware Cloud Foundations Operations UI")</f>
        <v>This input is masked out as you have chosen to configure VDS Uplinks</v>
      </c>
    </row>
    <row r="186" spans="2:5" ht="20" customHeight="1" x14ac:dyDescent="0.2">
      <c r="B186" s="30" t="s">
        <v>750</v>
      </c>
      <c r="C186" s="193">
        <v>2</v>
      </c>
      <c r="D186" s="101"/>
      <c r="E186" s="195"/>
    </row>
    <row r="187" spans="2:5" ht="20" customHeight="1" x14ac:dyDescent="0.2">
      <c r="B187" s="23" t="s">
        <v>751</v>
      </c>
      <c r="C187" s="65" t="s">
        <v>752</v>
      </c>
      <c r="D187" s="8"/>
      <c r="E187" s="195"/>
    </row>
    <row r="188" spans="2:5" ht="20" customHeight="1" x14ac:dyDescent="0.2">
      <c r="B188" s="23" t="s">
        <v>753</v>
      </c>
      <c r="C188" s="65" t="str">
        <f>cluster_vds01_traffic_type</f>
        <v>Management vMotion vSAN NSX-Overlay</v>
      </c>
      <c r="D188" s="8" t="str">
        <f>cluster_vds01_traffic_type</f>
        <v>Management vMotion vSAN NSX-Overlay</v>
      </c>
      <c r="E188" s="8"/>
    </row>
    <row r="189" spans="2:5" ht="20" customHeight="1" x14ac:dyDescent="0.2">
      <c r="B189" s="424" t="s">
        <v>787</v>
      </c>
      <c r="C189" s="425"/>
      <c r="D189" s="425"/>
      <c r="E189" s="426"/>
    </row>
    <row r="190" spans="2:5" ht="20" customHeight="1" x14ac:dyDescent="0.2">
      <c r="B190" s="23" t="s">
        <v>788</v>
      </c>
      <c r="C190" s="65" t="str">
        <f>CONCATENATE(sample_cluster_name,"-vds02")</f>
        <v>sfo-w01-cl02-vds02</v>
      </c>
      <c r="D190" s="66"/>
      <c r="E190" s="8"/>
    </row>
    <row r="191" spans="2:5" ht="20" customHeight="1" x14ac:dyDescent="0.2">
      <c r="B191" s="23" t="s">
        <v>157</v>
      </c>
      <c r="C191" s="65">
        <v>9000</v>
      </c>
      <c r="D191" s="8"/>
      <c r="E191" s="8"/>
    </row>
    <row r="192" spans="2:5" ht="20" customHeight="1" x14ac:dyDescent="0.2">
      <c r="B192" s="23" t="s">
        <v>3316</v>
      </c>
      <c r="C192" s="65" t="s">
        <v>3560</v>
      </c>
      <c r="D192" s="8" t="s">
        <v>3560</v>
      </c>
      <c r="E192" s="254" t="str">
        <f>IF(cluster_vds02_link_type_chosen="VDS Lag","Only supported via API. Use VCF.JSONGenerator to generate the JSON File once PnP is complete","Option is not visable in VMware Cloud Foundations Operations UI")</f>
        <v>Option is not visable in VMware Cloud Foundations Operations UI</v>
      </c>
    </row>
    <row r="193" spans="2:5" ht="20" customHeight="1" x14ac:dyDescent="0.2">
      <c r="B193" s="4" t="s">
        <v>3561</v>
      </c>
      <c r="C193" s="105" t="str">
        <f>CONCATENATE(this_instance,"-w01-cl01-vds02-lag")</f>
        <v>sfo-w01-cl01-vds02-lag</v>
      </c>
      <c r="D193" s="8"/>
      <c r="E193" s="254" t="str">
        <f>IF(cluster_vds02_link_type_chosen="VDS Uplinks","This input is masked out as you have chosen to configure VDS Uplinks","Option is not visable in VCF Operations UI. There is a 16 Character Limit for LAG Name")</f>
        <v>This input is masked out as you have chosen to configure VDS Uplinks</v>
      </c>
    </row>
    <row r="194" spans="2:5" ht="20" customHeight="1" x14ac:dyDescent="0.2">
      <c r="B194" s="4" t="s">
        <v>3562</v>
      </c>
      <c r="C194" s="168" t="s">
        <v>760</v>
      </c>
      <c r="D194" s="8" t="s">
        <v>760</v>
      </c>
      <c r="E194" s="254" t="str">
        <f>IF(cluster_vds02_link_type_chosen="VDS Uplinks","This input is masked out as you have chosen to configure VDS Uplinks","Option is not visable in VMware Cloud Foundations Operations UI")</f>
        <v>This input is masked out as you have chosen to configure VDS Uplinks</v>
      </c>
    </row>
    <row r="195" spans="2:5" ht="20" customHeight="1" x14ac:dyDescent="0.2">
      <c r="B195" s="4" t="s">
        <v>3563</v>
      </c>
      <c r="C195" s="168" t="s">
        <v>3580</v>
      </c>
      <c r="D195" s="8" t="s">
        <v>3580</v>
      </c>
      <c r="E195" s="254" t="str">
        <f>IF(cluster_vds02_link_type_chosen="VDS Uplinks","This input is masked out as you have chosen to configure VDS Uplinks","Option is not visable in VMware Cloud Foundations Operations UI")</f>
        <v>This input is masked out as you have chosen to configure VDS Uplinks</v>
      </c>
    </row>
    <row r="196" spans="2:5" ht="20" customHeight="1" x14ac:dyDescent="0.2">
      <c r="B196" s="4" t="s">
        <v>3564</v>
      </c>
      <c r="C196" s="168" t="s">
        <v>3565</v>
      </c>
      <c r="D196" s="8" t="s">
        <v>3565</v>
      </c>
      <c r="E196" s="254" t="str">
        <f>IF(cluster_vds02_link_type_chosen="VDS Uplinks","This input is masked out as you have chosen to configure VDS Uplinks","Option is not visable in VMware Cloud Foundations Operations UI")</f>
        <v>This input is masked out as you have chosen to configure VDS Uplinks</v>
      </c>
    </row>
    <row r="197" spans="2:5" ht="20" customHeight="1" x14ac:dyDescent="0.2">
      <c r="B197" s="30" t="s">
        <v>750</v>
      </c>
      <c r="C197" s="193">
        <v>2</v>
      </c>
      <c r="D197" s="99"/>
      <c r="E197" s="195"/>
    </row>
    <row r="198" spans="2:5" ht="20" customHeight="1" x14ac:dyDescent="0.2">
      <c r="B198" s="23" t="s">
        <v>751</v>
      </c>
      <c r="C198" s="65" t="s">
        <v>789</v>
      </c>
      <c r="D198" s="8"/>
      <c r="E198" s="8"/>
    </row>
    <row r="199" spans="2:5" ht="20" customHeight="1" x14ac:dyDescent="0.2">
      <c r="B199" s="23" t="s">
        <v>753</v>
      </c>
      <c r="C199" s="65" t="s">
        <v>258</v>
      </c>
      <c r="D199" s="8" t="str">
        <f t="array" ref="D199">cluster_vds02_traffic_type</f>
        <v/>
      </c>
      <c r="E199" s="8"/>
    </row>
    <row r="200" spans="2:5" ht="20" customHeight="1" x14ac:dyDescent="0.2">
      <c r="B200" s="424" t="s">
        <v>790</v>
      </c>
      <c r="C200" s="425"/>
      <c r="D200" s="425"/>
      <c r="E200" s="426"/>
    </row>
    <row r="201" spans="2:5" ht="20" customHeight="1" x14ac:dyDescent="0.2">
      <c r="B201" s="23" t="s">
        <v>791</v>
      </c>
      <c r="C201" s="65" t="str">
        <f>CONCATENATE(sample_cluster_name,"-vds03")</f>
        <v>sfo-w01-cl02-vds03</v>
      </c>
      <c r="D201" s="66"/>
      <c r="E201" s="8"/>
    </row>
    <row r="202" spans="2:5" ht="20" customHeight="1" x14ac:dyDescent="0.2">
      <c r="B202" s="23" t="s">
        <v>157</v>
      </c>
      <c r="C202" s="65">
        <v>9000</v>
      </c>
      <c r="D202" s="8"/>
      <c r="E202" s="8"/>
    </row>
    <row r="203" spans="2:5" ht="20" customHeight="1" x14ac:dyDescent="0.2">
      <c r="B203" s="23" t="s">
        <v>3316</v>
      </c>
      <c r="C203" s="65" t="s">
        <v>3560</v>
      </c>
      <c r="D203" s="8" t="s">
        <v>3560</v>
      </c>
      <c r="E203" s="8" t="str">
        <f>IF(cluster_vds_profile_chosen&lt;&gt;"Storage Traffic and NSX Traffic Separation","",IF(cluster_vds03_link_type_chosen="VDS Lag","Only supported via API. Use VCF.JSONGenerator to generate the JSON File once PnP is complete","Option is not visable in VMware Cloud Foundations Operations UI"))</f>
        <v/>
      </c>
    </row>
    <row r="204" spans="2:5" ht="20" customHeight="1" x14ac:dyDescent="0.2">
      <c r="B204" s="4" t="s">
        <v>3561</v>
      </c>
      <c r="C204" s="105" t="str">
        <f>CONCATENATE(this_instance,"-w01-cl01-vds02-lag")</f>
        <v>sfo-w01-cl01-vds02-lag</v>
      </c>
      <c r="D204" s="8"/>
      <c r="E204" s="8" t="str">
        <f>IF(cluster_vds_profile_chosen&lt;&gt;"Storage Traffic and NSX Traffic Separation","",IF(cluster_vds03_link_type_chosen="VDS Uplinks","This input is masked out as you have chosen to configure VDS Uplinks","Option is not visable in VCF Operations UI. There is a 16 Character Limit for LAG Name"))</f>
        <v/>
      </c>
    </row>
    <row r="205" spans="2:5" ht="20" customHeight="1" x14ac:dyDescent="0.2">
      <c r="B205" s="4" t="s">
        <v>3562</v>
      </c>
      <c r="C205" s="168" t="s">
        <v>760</v>
      </c>
      <c r="D205" s="8" t="s">
        <v>760</v>
      </c>
      <c r="E205" s="8" t="str">
        <f>IF(cluster_vds_profile_chosen&lt;&gt;"Storage Traffic and NSX Traffic Separation","",IF(cluster_vds03_link_type_chosen="VDS Uplinks","This input is masked out as you have chosen to configure VDS Uplinks","Option is not visable in VMware Cloud Foundations Operations UI"))</f>
        <v/>
      </c>
    </row>
    <row r="206" spans="2:5" ht="20" customHeight="1" x14ac:dyDescent="0.2">
      <c r="B206" s="4" t="s">
        <v>3563</v>
      </c>
      <c r="C206" s="168" t="s">
        <v>3580</v>
      </c>
      <c r="D206" s="8" t="s">
        <v>3580</v>
      </c>
      <c r="E206" s="8" t="str">
        <f>IF(cluster_vds_profile_chosen&lt;&gt;"Storage Traffic and NSX Traffic Separation","",IF(cluster_vds03_link_type_chosen="VDS Uplinks","This input is masked out as you have chosen to configure VDS Uplinks","Option is not visable in VMware Cloud Foundations Operations UI"))</f>
        <v/>
      </c>
    </row>
    <row r="207" spans="2:5" ht="20" customHeight="1" x14ac:dyDescent="0.2">
      <c r="B207" s="4" t="s">
        <v>3564</v>
      </c>
      <c r="C207" s="168" t="s">
        <v>3565</v>
      </c>
      <c r="D207" s="8" t="s">
        <v>3589</v>
      </c>
      <c r="E207" s="8" t="str">
        <f>IF(cluster_vds_profile_chosen&lt;&gt;"Storage Traffic and NSX Traffic Separation","",IF(cluster_vds03_link_type_chosen="VDS Uplinks","This input is masked out as you have chosen to configure VDS Uplinks","Option is not visable in VMware Cloud Foundations Operations UI"))</f>
        <v/>
      </c>
    </row>
    <row r="208" spans="2:5" ht="20" customHeight="1" x14ac:dyDescent="0.2">
      <c r="B208" s="30" t="s">
        <v>750</v>
      </c>
      <c r="C208" s="193">
        <v>2</v>
      </c>
      <c r="D208" s="99"/>
      <c r="E208" s="195"/>
    </row>
    <row r="209" spans="2:5" ht="20" customHeight="1" x14ac:dyDescent="0.2">
      <c r="B209" s="23" t="s">
        <v>751</v>
      </c>
      <c r="C209" s="65" t="s">
        <v>792</v>
      </c>
      <c r="D209" s="8"/>
      <c r="E209" s="8"/>
    </row>
    <row r="210" spans="2:5" ht="20" customHeight="1" x14ac:dyDescent="0.2">
      <c r="B210" s="23" t="s">
        <v>753</v>
      </c>
      <c r="C210" s="65" t="s">
        <v>793</v>
      </c>
      <c r="D210" s="8" t="str">
        <f>cluster_vds03_traffic_type</f>
        <v/>
      </c>
      <c r="E210" s="8"/>
    </row>
    <row r="211" spans="2:5" ht="20" customHeight="1" x14ac:dyDescent="0.2">
      <c r="B211" s="188" t="s">
        <v>755</v>
      </c>
      <c r="C211" s="189"/>
      <c r="D211" s="189"/>
      <c r="E211" s="190"/>
    </row>
    <row r="212" spans="2:5" ht="20" customHeight="1" x14ac:dyDescent="0.2">
      <c r="B212" s="30" t="s">
        <v>180</v>
      </c>
      <c r="C212" s="65" t="str">
        <f>CONCATENATE(sample_cluster_name,"-pg-esx-mgmt")</f>
        <v>sfo-w01-cl02-pg-esx-mgmt</v>
      </c>
      <c r="D212" s="66"/>
      <c r="E212" s="184" t="s">
        <v>756</v>
      </c>
    </row>
    <row r="213" spans="2:5" ht="20" customHeight="1" x14ac:dyDescent="0.2">
      <c r="B213" s="30" t="s">
        <v>757</v>
      </c>
      <c r="C213" s="193" t="s">
        <v>758</v>
      </c>
      <c r="D213" s="101" t="s">
        <v>758</v>
      </c>
      <c r="E213" s="195" t="str">
        <f>IF(cluster_vds01_link_type_chosen="VDS Lag","This input is masked out as you have chosen to configure VDS LAG","")</f>
        <v/>
      </c>
    </row>
    <row r="214" spans="2:5" ht="20" customHeight="1" x14ac:dyDescent="0.2">
      <c r="B214" s="30" t="s">
        <v>759</v>
      </c>
      <c r="C214" s="193" t="s">
        <v>760</v>
      </c>
      <c r="D214" s="101" t="s">
        <v>760</v>
      </c>
      <c r="E214" s="195" t="str">
        <f>IF(cluster_vds01_link_type_chosen="VDS Lag","This input is masked out as you have chosen to configure VDS LAG","")</f>
        <v/>
      </c>
    </row>
    <row r="215" spans="2:5" ht="20" customHeight="1" x14ac:dyDescent="0.2">
      <c r="B215" s="30" t="s">
        <v>761</v>
      </c>
      <c r="C215" s="193" t="s">
        <v>760</v>
      </c>
      <c r="D215" s="101" t="s">
        <v>760</v>
      </c>
      <c r="E215" s="195" t="str">
        <f>IF(cluster_vds01_link_type_chosen="VDS Lag","This input is masked out as you have chosen to configure VDS LAG","")</f>
        <v/>
      </c>
    </row>
    <row r="216" spans="2:5" ht="20" customHeight="1" x14ac:dyDescent="0.2">
      <c r="B216" s="188" t="s">
        <v>762</v>
      </c>
      <c r="C216" s="189"/>
      <c r="D216" s="189"/>
      <c r="E216" s="190"/>
    </row>
    <row r="217" spans="2:5" ht="20" customHeight="1" x14ac:dyDescent="0.2">
      <c r="B217" s="30" t="s">
        <v>180</v>
      </c>
      <c r="C217" s="65" t="str">
        <f>CONCATENATE(sample_cluster_name,"-pg-vm-mgmt")</f>
        <v>sfo-w01-cl02-pg-vm-mgmt</v>
      </c>
      <c r="D217" s="66"/>
      <c r="E217" s="195" t="s">
        <v>3556</v>
      </c>
    </row>
    <row r="218" spans="2:5" ht="20" customHeight="1" x14ac:dyDescent="0.2">
      <c r="B218" s="30" t="s">
        <v>757</v>
      </c>
      <c r="C218" s="193" t="s">
        <v>758</v>
      </c>
      <c r="D218" s="101" t="s">
        <v>758</v>
      </c>
      <c r="E218" s="195" t="str">
        <f>IF(cluster_vds01_link_type_chosen="VDS Lag","This input is masked out as you have chosen to configure VDS LAG","")</f>
        <v/>
      </c>
    </row>
    <row r="219" spans="2:5" ht="20" customHeight="1" x14ac:dyDescent="0.2">
      <c r="B219" s="30" t="s">
        <v>759</v>
      </c>
      <c r="C219" s="193" t="s">
        <v>760</v>
      </c>
      <c r="D219" s="101" t="s">
        <v>760</v>
      </c>
      <c r="E219" s="195" t="str">
        <f>IF(cluster_vds01_link_type_chosen="VDS Lag","This input is masked out as you have chosen to configure VDS LAG","")</f>
        <v/>
      </c>
    </row>
    <row r="220" spans="2:5" ht="20" customHeight="1" x14ac:dyDescent="0.2">
      <c r="B220" s="30" t="s">
        <v>761</v>
      </c>
      <c r="C220" s="193" t="s">
        <v>760</v>
      </c>
      <c r="D220" s="101" t="s">
        <v>760</v>
      </c>
      <c r="E220" s="195" t="str">
        <f>IF(cluster_vds01_link_type_chosen="VDS Lag","This input is masked out as you have chosen to configure VDS LAG","")</f>
        <v/>
      </c>
    </row>
    <row r="221" spans="2:5" ht="20" customHeight="1" x14ac:dyDescent="0.2">
      <c r="B221" s="188" t="s">
        <v>763</v>
      </c>
      <c r="C221" s="189"/>
      <c r="D221" s="189"/>
      <c r="E221" s="190"/>
    </row>
    <row r="222" spans="2:5" ht="20" customHeight="1" x14ac:dyDescent="0.2">
      <c r="B222" s="30" t="s">
        <v>180</v>
      </c>
      <c r="C222" s="65" t="str">
        <f>CONCATENATE(sample_cluster_name,"-pg-vmotion")</f>
        <v>sfo-w01-cl02-pg-vmotion</v>
      </c>
      <c r="D222" s="66"/>
      <c r="E222" s="8" t="str">
        <f>IF(wld_cl01_vds_profile_chosen="Storage Traffic Separation","Portgroup will be created on Primary Distributed Switch",
IF(wld_cl01_vds_profile_chosen="NSX Traffic Separation","Portgroup will be created on Primary Distributed Switch",
IF(wld_cl01_vds_profile_chosen="Storage Traffic and NSX Traffic Separation","Portgroup will be created on Primary Distributed Switch",
IF(wld_cl01_vds_profile_chosen="Custom","","Portgroup will be created on Primary Distributed Switch"))))</f>
        <v>Portgroup will be created on Primary Distributed Switch</v>
      </c>
    </row>
    <row r="223" spans="2:5" ht="20" customHeight="1" x14ac:dyDescent="0.2">
      <c r="B223" s="30" t="s">
        <v>757</v>
      </c>
      <c r="C223" s="193" t="s">
        <v>758</v>
      </c>
      <c r="D223" s="101" t="s">
        <v>758</v>
      </c>
      <c r="E223" s="195" t="str">
        <f>IF(cluster_vds01_link_type_chosen="VDS Lag","This input is masked out as you have chosen to configure VDS LAG","")</f>
        <v/>
      </c>
    </row>
    <row r="224" spans="2:5" ht="20" customHeight="1" x14ac:dyDescent="0.2">
      <c r="B224" s="30" t="s">
        <v>759</v>
      </c>
      <c r="C224" s="193" t="s">
        <v>760</v>
      </c>
      <c r="D224" s="101" t="s">
        <v>760</v>
      </c>
      <c r="E224" s="195" t="str">
        <f>IF(cluster_vds01_link_type_chosen="VDS Lag","This input is masked out as you have chosen to configure VDS LAG","")</f>
        <v/>
      </c>
    </row>
    <row r="225" spans="2:5" ht="20" customHeight="1" x14ac:dyDescent="0.2">
      <c r="B225" s="30" t="s">
        <v>761</v>
      </c>
      <c r="C225" s="193" t="s">
        <v>760</v>
      </c>
      <c r="D225" s="101" t="s">
        <v>760</v>
      </c>
      <c r="E225" s="195" t="str">
        <f>IF(cluster_vds01_link_type_chosen="VDS Lag","This input is masked out as you have chosen to configure VDS LAG","")</f>
        <v/>
      </c>
    </row>
    <row r="226" spans="2:5" ht="20" customHeight="1" x14ac:dyDescent="0.2">
      <c r="B226" s="188" t="str">
        <f>IF(cluster_principal_storage_chosen="NFSv3","Network Traffic: NFS","Network Traffic: vSAN")</f>
        <v>Network Traffic: vSAN</v>
      </c>
      <c r="C226" s="189"/>
      <c r="D226" s="189"/>
      <c r="E226" s="190"/>
    </row>
    <row r="227" spans="2:5" ht="20" customHeight="1" x14ac:dyDescent="0.2">
      <c r="B227" s="30" t="s">
        <v>180</v>
      </c>
      <c r="C227" s="65" t="str">
        <f>CONCATENATE(sample_cluster_name,"-pg-vsan")</f>
        <v>sfo-w01-cl02-pg-vsan</v>
      </c>
      <c r="D227" s="66"/>
      <c r="E227" s="8" t="str">
        <f>IF(cluster_vds_profile_chosen="Storage Traffic Separation","Portgroup will be created on Secondary Distributed Switch",
IF(cluster_vds_profile_chosen="vSAN Max Storage Traffic Separation","Portgroup will be created on Secondary Distributed Switch",
IF(cluster_vds_profile_chosen="vSAN Max Storage Traffic and NSX Traffic Separation","Portgroup will be created on Secondary Distributed Switch",
IF(cluster_vds_profile_chosen="NSX Traffic Separation","Portgroup will be created on Primary Distributed Switch",
IF(cluster_vds_profile_chosen="Storage Traffic and NSX Traffic Separation","Portgroup will be created on Secondary Distributed Switch",
IF(cluster_vds_profile_chosen="Custom","","Portgroup will be created on Primary Distributed Switch"))))))</f>
        <v>Portgroup will be created on Primary Distributed Switch</v>
      </c>
    </row>
    <row r="228" spans="2:5" ht="20" customHeight="1" x14ac:dyDescent="0.2">
      <c r="B228" s="30" t="s">
        <v>757</v>
      </c>
      <c r="C228" s="193" t="s">
        <v>758</v>
      </c>
      <c r="D228" s="101" t="s">
        <v>758</v>
      </c>
      <c r="E228" s="195" t="str">
        <f>IF(AND(cluster_vds_profile_chosen="Default",cluster_vds01_link_type_chosen="VDS Lag"),"This input is masked out as you have chosen to configure VDS LAG",
IF(AND(cluster_vds_profile_chosen="NSX Traffic Separation",cluster_vds01_link_type_chosen="VDS Lag"),"This input is masked out as you have chosen to configure VDS LAG",
IF(AND(cluster_vds_profile_chosen="Storage Traffic and NSX Traffic Separation",cluster_vds02_link_type_chosen="VDS Lag"),"This input is masked out as you have chosen to configure VDS LAG",
IF(AND(cluster_vds_profile_chosen="Storage Traffic Separation",cluster_vds02_link_type_chosen="VDS Lag"),"This input is masked out as you have chosen to configure VDS LAG",""))))</f>
        <v/>
      </c>
    </row>
    <row r="229" spans="2:5" ht="20" customHeight="1" x14ac:dyDescent="0.2">
      <c r="B229" s="30" t="s">
        <v>759</v>
      </c>
      <c r="C229" s="193" t="s">
        <v>760</v>
      </c>
      <c r="D229" s="101" t="s">
        <v>760</v>
      </c>
      <c r="E229" s="195" t="str">
        <f>IF(AND(cluster_vds_profile_chosen="Default",cluster_vds01_link_type_chosen="VDS Lag"),"This input is masked out as you have chosen to configure VDS LAG",
IF(AND(cluster_vds_profile_chosen="NSX Traffic Separation",cluster_vds01_link_type_chosen="VDS Lag"),"This input is masked out as you have chosen to configure VDS LAG",
IF(AND(cluster_vds_profile_chosen="Storage Traffic and NSX Traffic Separation",cluster_vds02_link_type_chosen="VDS Lag"),"This input is masked out as you have chosen to configure VDS LAG",
IF(AND(cluster_vds_profile_chosen="Storage Traffic Separation",cluster_vds02_link_type_chosen="VDS Lag"),"This input is masked out as you have chosen to configure VDS LAG",""))))</f>
        <v/>
      </c>
    </row>
    <row r="230" spans="2:5" ht="20" customHeight="1" x14ac:dyDescent="0.2">
      <c r="B230" s="30" t="s">
        <v>761</v>
      </c>
      <c r="C230" s="193" t="s">
        <v>760</v>
      </c>
      <c r="D230" s="101" t="s">
        <v>760</v>
      </c>
      <c r="E230" s="195" t="str">
        <f>IF(AND(cluster_vds_profile_chosen="Default",cluster_vds01_link_type_chosen="VDS Lag"),"This input is masked out as you have chosen to configure VDS LAG",
IF(AND(cluster_vds_profile_chosen="NSX Traffic Separation",cluster_vds01_link_type_chosen="VDS Lag"),"This input is masked out as you have chosen to configure VDS LAG",
IF(AND(cluster_vds_profile_chosen="Storage Traffic and NSX Traffic Separation",cluster_vds02_link_type_chosen="VDS Lag"),"This input is masked out as you have chosen to configure VDS LAG",
IF(AND(cluster_vds_profile_chosen="Storage Traffic Separation",cluster_vds02_link_type_chosen="VDS Lag"),"This input is masked out as you have chosen to configure VDS LAG",""))))</f>
        <v/>
      </c>
    </row>
    <row r="231" spans="2:5" ht="20" customHeight="1" x14ac:dyDescent="0.2">
      <c r="B231" s="188" t="s">
        <v>765</v>
      </c>
      <c r="C231" s="189"/>
      <c r="D231" s="189"/>
      <c r="E231" s="190"/>
    </row>
    <row r="232" spans="2:5" ht="20" customHeight="1" x14ac:dyDescent="0.2">
      <c r="B232" s="30" t="s">
        <v>180</v>
      </c>
      <c r="C232" s="65" t="str">
        <f>CONCATENATE(sample_cluster_name,"-pg-vsan-client")</f>
        <v>sfo-w01-cl02-pg-vsan-client</v>
      </c>
      <c r="D232" s="66"/>
      <c r="E232" s="184" t="str">
        <f>IF(OR((cluster_result="Excluded"),(cluster_secondary_storage_result="Excluded")),"This input is masked out as vSAN Storage Client Network in not enabled",
IF(cluster_vds_profile_chosen="vSAN Max Storage Traffic Separation","Portgroup will be created on Primary Distributed Switch",
IF(cluster_vds_profile_chosen="vSAN Max Storage Traffic and NSX Traffic Separation","Portgroup will be created on Primary Distributed Switch",
IF(cluster_vds_profile_chosen="Custom","","Portgroup will be created on Primary Distributed Switch"))))</f>
        <v>This input is masked out as vSAN Storage Client Network in not enabled</v>
      </c>
    </row>
    <row r="233" spans="2:5" ht="20" customHeight="1" x14ac:dyDescent="0.2">
      <c r="B233" s="30" t="s">
        <v>757</v>
      </c>
      <c r="C233" s="193" t="s">
        <v>758</v>
      </c>
      <c r="D233" s="101" t="s">
        <v>758</v>
      </c>
      <c r="E233" s="195" t="str">
        <f>IF(cluster_secondary_storage_result="Excluded","This input is masked out as vSAN Storage Client Network in not enabled ",IF(cluster_vds01_link_type_chosen="VDS Lag","This input is masked out as you have chosen to configure VDS LAG",""))</f>
        <v xml:space="preserve">This input is masked out as vSAN Storage Client Network in not enabled </v>
      </c>
    </row>
    <row r="234" spans="2:5" ht="20" customHeight="1" x14ac:dyDescent="0.2">
      <c r="B234" s="30" t="s">
        <v>759</v>
      </c>
      <c r="C234" s="193" t="s">
        <v>760</v>
      </c>
      <c r="D234" s="101" t="s">
        <v>760</v>
      </c>
      <c r="E234" s="195" t="str">
        <f>IF(cluster_secondary_storage_result="Excluded","This input is masked out as vSAN Storage Client Network in not enabled ",IF(cluster_vds01_link_type_chosen="VDS Lag","This input is masked out as you have chosen to configure VDS LAG",""))</f>
        <v xml:space="preserve">This input is masked out as vSAN Storage Client Network in not enabled </v>
      </c>
    </row>
    <row r="235" spans="2:5" ht="20" customHeight="1" x14ac:dyDescent="0.2">
      <c r="B235" s="30" t="s">
        <v>761</v>
      </c>
      <c r="C235" s="193" t="s">
        <v>760</v>
      </c>
      <c r="D235" s="101" t="s">
        <v>760</v>
      </c>
      <c r="E235" s="195" t="str">
        <f>IF(cluster_secondary_storage_result="Excluded","This input is masked out as vSAN Storage Client Network in not enabled ",IF(cluster_vds01_link_type_chosen="VDS Lag","This input is masked out as you have chosen to configure VDS LAG",""))</f>
        <v xml:space="preserve">This input is masked out as vSAN Storage Client Network in not enabled </v>
      </c>
    </row>
    <row r="236" spans="2:5" ht="20" customHeight="1" x14ac:dyDescent="0.2">
      <c r="B236" s="424" t="s">
        <v>766</v>
      </c>
      <c r="C236" s="425"/>
      <c r="D236" s="425"/>
      <c r="E236" s="426"/>
    </row>
    <row r="237" spans="2:5" ht="20" customHeight="1" x14ac:dyDescent="0.2">
      <c r="B237" s="4" t="s">
        <v>767</v>
      </c>
      <c r="C237" s="65" t="s">
        <v>156</v>
      </c>
      <c r="D237" s="66" t="s">
        <v>156</v>
      </c>
      <c r="E237" s="8"/>
    </row>
    <row r="238" spans="2:5" ht="20" customHeight="1" x14ac:dyDescent="0.2">
      <c r="B238" s="4" t="s">
        <v>525</v>
      </c>
      <c r="C238" s="65" t="s">
        <v>525</v>
      </c>
      <c r="D238" s="66" t="s">
        <v>525</v>
      </c>
      <c r="E238" s="8"/>
    </row>
    <row r="239" spans="2:5" ht="20" customHeight="1" x14ac:dyDescent="0.2">
      <c r="B239" s="4" t="s">
        <v>974</v>
      </c>
      <c r="C239" s="65" t="s">
        <v>156</v>
      </c>
      <c r="D239" s="66" t="s">
        <v>156</v>
      </c>
      <c r="E239" s="8"/>
    </row>
    <row r="240" spans="2:5" ht="20" customHeight="1" x14ac:dyDescent="0.2">
      <c r="B240" s="4" t="s">
        <v>769</v>
      </c>
      <c r="C240" s="65" t="s">
        <v>142</v>
      </c>
      <c r="D240" s="66" t="s">
        <v>142</v>
      </c>
      <c r="E240" s="8"/>
    </row>
    <row r="241" spans="2:5" ht="20" customHeight="1" x14ac:dyDescent="0.2">
      <c r="B241" s="424" t="s">
        <v>770</v>
      </c>
      <c r="C241" s="425"/>
      <c r="D241" s="425"/>
      <c r="E241" s="426"/>
    </row>
    <row r="242" spans="2:5" ht="20" customHeight="1" x14ac:dyDescent="0.2">
      <c r="B242" s="4" t="s">
        <v>771</v>
      </c>
      <c r="C242" s="65" t="str">
        <f>IF(cluster_wld_domain_chosen="Workload Domain",CONCATENATE("overlay-tz-",this_instance,"-w0",wld_domain_number_chosen,"-nsx01"),CONCATENATE("overlay-tz-",this_instance,"-m01","-nsx01"))</f>
        <v>overlay-tz-sfo-w01-nsx01</v>
      </c>
      <c r="D242" s="66"/>
      <c r="E242" s="8"/>
    </row>
    <row r="243" spans="2:5" ht="20" customHeight="1" x14ac:dyDescent="0.2">
      <c r="B243" s="4" t="s">
        <v>85</v>
      </c>
      <c r="C243" s="65" t="str">
        <f>IF(cluster_wld_domain_chosen="Workload Domain",CONCATENATE(prefix_wld_az1_vlan,"14"),CONCATENATE(prefix_mgmt_az1_vlan,"14"))</f>
        <v>1314</v>
      </c>
      <c r="D243" s="66"/>
      <c r="E243" s="8"/>
    </row>
    <row r="244" spans="2:5" ht="20" customHeight="1" x14ac:dyDescent="0.2">
      <c r="B244" s="4" t="s">
        <v>772</v>
      </c>
      <c r="C244" s="65" t="s">
        <v>773</v>
      </c>
      <c r="D244" s="116" t="s">
        <v>773</v>
      </c>
      <c r="E244" s="8"/>
    </row>
    <row r="245" spans="2:5" ht="20" customHeight="1" x14ac:dyDescent="0.2">
      <c r="B245" s="4" t="s">
        <v>773</v>
      </c>
      <c r="C245" s="65" t="s">
        <v>975</v>
      </c>
      <c r="D245" s="66" t="s">
        <v>975</v>
      </c>
      <c r="E245" s="8"/>
    </row>
    <row r="246" spans="2:5" ht="20" customHeight="1" x14ac:dyDescent="0.2">
      <c r="B246" s="4" t="s">
        <v>774</v>
      </c>
      <c r="C246" s="154" t="str">
        <f>IF(cluster_wld_domain_chosen="Workload Domain",CONCATENATE(this_instance,"01-w0",wld_domain_number_chosen,"-r01-ip-pool01-host"),CONCATENATE(this_instance,"01-m01","-r01-ip-pool01-host"))</f>
        <v>sfo01-w01-r01-ip-pool01-host</v>
      </c>
      <c r="D246" s="66"/>
      <c r="E246" s="8"/>
    </row>
    <row r="247" spans="2:5" ht="20" customHeight="1" x14ac:dyDescent="0.2">
      <c r="B247" s="4" t="s">
        <v>976</v>
      </c>
      <c r="C247" s="154" t="s">
        <v>775</v>
      </c>
      <c r="D247" s="66"/>
      <c r="E247" s="8"/>
    </row>
    <row r="248" spans="2:5" ht="20" customHeight="1" x14ac:dyDescent="0.2">
      <c r="B248" s="4" t="s">
        <v>451</v>
      </c>
      <c r="C248" s="65" t="str">
        <f>IF(cluster_wld_domain_chosen="Workload Domain",CONCATENATE(prefix_wld_az1_cidr,"14.0/24"),CONCATENATE(prefix_mgmt_az1_cidr,"14.0/24"))</f>
        <v>10.13.14.0/24</v>
      </c>
      <c r="D248" s="66"/>
      <c r="E248" s="8"/>
    </row>
    <row r="249" spans="2:5" ht="20" customHeight="1" x14ac:dyDescent="0.2">
      <c r="B249" s="4" t="s">
        <v>248</v>
      </c>
      <c r="C249" s="65" t="str">
        <f>IF(cluster_wld_domain_chosen="Workload Domain",CONCATENATE(prefix_wld_az1_cidr,"14.101"),CONCATENATE(prefix_mgmt_az1_cidr,"14.101"))</f>
        <v>10.13.14.101</v>
      </c>
      <c r="D249" s="66"/>
      <c r="E249" s="8"/>
    </row>
    <row r="250" spans="2:5" ht="20" customHeight="1" x14ac:dyDescent="0.2">
      <c r="B250" s="4" t="s">
        <v>249</v>
      </c>
      <c r="C250" s="65" t="str">
        <f>IF(cluster_wld_domain_chosen="Workload Domain",CONCATENATE(prefix_wld_az1_cidr,"14.132"),CONCATENATE(prefix_mgmt_az1_cidr,"14.132"))</f>
        <v>10.13.14.132</v>
      </c>
      <c r="D250" s="66"/>
      <c r="E250" s="8"/>
    </row>
    <row r="251" spans="2:5" ht="20" customHeight="1" x14ac:dyDescent="0.2">
      <c r="B251" s="4" t="s">
        <v>452</v>
      </c>
      <c r="C251" s="65" t="str">
        <f>IF(cluster_wld_domain_chosen="Workload Domain",CONCATENATE(prefix_wld_az1_cidr,"14.1"),CONCATENATE(prefix_mgmt_az1_cidr,"14.1"))</f>
        <v>10.13.14.1</v>
      </c>
      <c r="D251" s="66"/>
      <c r="E251" s="8"/>
    </row>
    <row r="252" spans="2:5" ht="20" customHeight="1" x14ac:dyDescent="0.2">
      <c r="B252" s="4" t="s">
        <v>776</v>
      </c>
      <c r="C252" s="65" t="s">
        <v>777</v>
      </c>
      <c r="D252" s="66"/>
      <c r="E252" s="8" t="str">
        <f>IF(cluster_nsx_vlan_transport_zone_chosen="Unselected","This input is masked out as your have not selected Transport Zone Type: NSX-VLAN","")</f>
        <v>This input is masked out as your have not selected Transport Zone Type: NSX-VLAN</v>
      </c>
    </row>
    <row r="253" spans="2:5" ht="20" customHeight="1" x14ac:dyDescent="0.2">
      <c r="B253" s="424" t="s">
        <v>977</v>
      </c>
      <c r="C253" s="425"/>
      <c r="D253" s="425"/>
      <c r="E253" s="426"/>
    </row>
    <row r="254" spans="2:5" ht="20" customHeight="1" x14ac:dyDescent="0.2">
      <c r="B254" s="4" t="s">
        <v>329</v>
      </c>
      <c r="C254" s="65" t="str">
        <f>IF(cluster_wld_domain_chosen="Workload Domain",CONCATENATE(this_instance,"01-",sample_cluster_name,"-r01-network-profile"),CONCATENATE(this_instance,"01-",sample_cluster_name,"-r01-network-profile"))</f>
        <v>sfo01-sfo-w01-cl02-r01-network-profile</v>
      </c>
      <c r="D254" s="66"/>
      <c r="E254" s="8"/>
    </row>
    <row r="255" spans="2:5" ht="20" customHeight="1" x14ac:dyDescent="0.2">
      <c r="B255" s="4" t="s">
        <v>779</v>
      </c>
      <c r="C255" s="65">
        <v>2</v>
      </c>
      <c r="D255" s="66"/>
      <c r="E255" s="8"/>
    </row>
    <row r="256" spans="2:5" ht="20" customHeight="1" x14ac:dyDescent="0.2">
      <c r="B256" s="4" t="s">
        <v>780</v>
      </c>
      <c r="C256" s="65" t="s">
        <v>759</v>
      </c>
      <c r="D256" s="66"/>
      <c r="E256" s="8"/>
    </row>
    <row r="257" spans="2:5" ht="20" customHeight="1" x14ac:dyDescent="0.2">
      <c r="B257" s="4" t="s">
        <v>781</v>
      </c>
      <c r="C257" s="65" t="s">
        <v>761</v>
      </c>
      <c r="D257" s="66"/>
      <c r="E257" s="8"/>
    </row>
    <row r="258" spans="2:5" ht="20" customHeight="1" x14ac:dyDescent="0.2">
      <c r="B258" s="23" t="s">
        <v>782</v>
      </c>
      <c r="C258" s="154" t="str">
        <f>IF(cluster_wld_domain_chosen="Workload Domain",CONCATENATE(this_instance,"01-w0",wld_domain_number_chosen,"-r01-uplink-profile01"),CONCATENATE(this_instance,"01-m01","-r01-uplink-profile01"))</f>
        <v>sfo01-w01-r01-uplink-profile01</v>
      </c>
      <c r="D258" s="66"/>
      <c r="E258" s="8"/>
    </row>
    <row r="259" spans="2:5" ht="20" customHeight="1" x14ac:dyDescent="0.2">
      <c r="B259" s="4" t="s">
        <v>757</v>
      </c>
      <c r="C259" s="65" t="s">
        <v>784</v>
      </c>
      <c r="D259" s="66" t="s">
        <v>784</v>
      </c>
      <c r="E259" s="43" t="str">
        <f>IF(AND(cluster_vds_profile_chosen="Default",cluster_vds01_link_type_chosen="VDS Lag"),"This input is masked out as you have chosen to configure VDS LAG",
IF(AND(cluster_vds_profile_chosen="NSX Traffic Separation",cluster_vds02_link_type_chosen="VDS Lag"),"This input is masked out as you have chosen to configure VDS LAG",
IF(AND(cluster_vds_profile_chosen="Storage Traffic and NSX Traffic Separation",cluster_vds03_link_type_chosen="VDS Lag"),"This input is masked out as you have chosen to configure VDS LAG",
IF(AND(cluster_vds_profile_chosen="Storage Traffic Separation",cluster_vds01_link_type_chosen="VDS Lag"),"This input is masked out as you have chosen to configure VDS LAG",""))))</f>
        <v/>
      </c>
    </row>
    <row r="260" spans="2:5" ht="20" customHeight="1" x14ac:dyDescent="0.2">
      <c r="B260" s="4" t="s">
        <v>978</v>
      </c>
      <c r="C260" s="65" t="s">
        <v>759</v>
      </c>
      <c r="D260" s="66"/>
      <c r="E260" s="43" t="str">
        <f>IF(AND(cluster_vds_profile_chosen="Default",cluster_vds01_link_type_chosen="VDS Lag"),"This input is masked out as you have chosen to configure VDS LAG",
IF(AND(cluster_vds_profile_chosen="NSX Traffic Separation",cluster_vds02_link_type_chosen="VDS Lag"),"This input is masked out as you have chosen to configure VDS LAG",
IF(AND(cluster_vds_profile_chosen="Storage Traffic and NSX Traffic Separation",cluster_vds03_link_type_chosen="VDS Lag"),"This input is masked out as you have chosen to configure VDS LAG",
IF(AND(cluster_vds_profile_chosen="Storage Traffic Separation",cluster_vds01_link_type_chosen="VDS Lag"),"This input is masked out as you have chosen to configure VDS LAG",""))))</f>
        <v/>
      </c>
    </row>
    <row r="261" spans="2:5" ht="20" customHeight="1" x14ac:dyDescent="0.2">
      <c r="B261" s="4" t="s">
        <v>979</v>
      </c>
      <c r="C261" s="65" t="s">
        <v>761</v>
      </c>
      <c r="D261" s="66"/>
      <c r="E261" s="43" t="str">
        <f>IF(AND(cluster_vds_profile_chosen="Default",cluster_vds01_link_type_chosen="VDS Lag"),"This input is masked out as you have chosen to configure VDS LAG",
IF(AND(cluster_vds_profile_chosen="NSX Traffic Separation",cluster_vds02_link_type_chosen="VDS Lag"),"This input is masked out as you have chosen to configure VDS LAG",
IF(AND(cluster_vds_profile_chosen="Storage Traffic and NSX Traffic Separation",cluster_vds03_link_type_chosen="VDS Lag"),"This input is masked out as you have chosen to configure VDS LAG",
IF(AND(cluster_vds_profile_chosen="Storage Traffic Separation",cluster_vds01_link_type_chosen="VDS Lag"),"This input is masked out as you have chosen to configure VDS LAG",""))))</f>
        <v/>
      </c>
    </row>
    <row r="262" spans="2:5" ht="16" customHeight="1" thickBot="1" x14ac:dyDescent="0.25"/>
    <row r="263" spans="2:5" ht="34" customHeight="1" x14ac:dyDescent="0.2">
      <c r="B263" s="621" t="s">
        <v>6</v>
      </c>
      <c r="C263" s="622"/>
      <c r="D263" s="622"/>
      <c r="E263" s="623"/>
    </row>
    <row r="264" spans="2:5" ht="16" customHeight="1" x14ac:dyDescent="0.2">
      <c r="B264" s="148"/>
      <c r="C264" s="47"/>
      <c r="D264" s="47"/>
      <c r="E264" s="47"/>
    </row>
    <row r="265" spans="2:5" ht="34" customHeight="1" x14ac:dyDescent="0.2">
      <c r="B265" s="617" t="s">
        <v>205</v>
      </c>
      <c r="C265" s="618"/>
      <c r="D265" s="618"/>
      <c r="E265" s="619"/>
    </row>
    <row r="266" spans="2:5" ht="20" customHeight="1" x14ac:dyDescent="0.2">
      <c r="B266" s="63" t="s">
        <v>18</v>
      </c>
      <c r="C266" s="63" t="s">
        <v>19</v>
      </c>
      <c r="D266" s="63" t="s">
        <v>20</v>
      </c>
      <c r="E266" s="63" t="s">
        <v>21</v>
      </c>
    </row>
    <row r="267" spans="2:5" ht="20" customHeight="1" x14ac:dyDescent="0.2">
      <c r="B267" s="550" t="s">
        <v>206</v>
      </c>
      <c r="C267" s="551"/>
      <c r="D267" s="551"/>
      <c r="E267" s="552"/>
    </row>
    <row r="268" spans="2:5" ht="20" customHeight="1" x14ac:dyDescent="0.2">
      <c r="B268" s="30" t="s">
        <v>85</v>
      </c>
      <c r="C268" s="103" t="str">
        <f>IF(cluster_wld_domain_chosen="Workload Domain",CONCATENATE(prefix_wld_az2_vlan,"11"),CONCATENATE(prefix_mgmt_az2_vlan,"11"))</f>
        <v>1411</v>
      </c>
      <c r="D268" s="317"/>
      <c r="E268" s="243"/>
    </row>
    <row r="269" spans="2:5" ht="20" customHeight="1" x14ac:dyDescent="0.2">
      <c r="B269" s="30" t="s">
        <v>182</v>
      </c>
      <c r="C269" s="103" t="str">
        <f>IF(cluster_wld_domain_chosen="Workload Domain",CONCATENATE(prefix_wld_az2_cidr,"11.1"),CONCATENATE(prefix_mgmt_az2_cidr,"11.1"))</f>
        <v>10.14.11.1</v>
      </c>
      <c r="D269" s="317"/>
      <c r="E269" s="195"/>
    </row>
    <row r="270" spans="2:5" ht="20" customHeight="1" x14ac:dyDescent="0.2">
      <c r="B270" s="30" t="s">
        <v>183</v>
      </c>
      <c r="C270" s="103" t="str">
        <f>IF(cluster_wld_domain_chosen="Workload Domain",CONCATENATE(prefix_wld_az2_cidr,"11.0/24"),CONCATENATE(prefix_mgmt_az2_cidr,"11.0/24"))</f>
        <v>10.14.11.0/24</v>
      </c>
      <c r="D270" s="317"/>
      <c r="E270" s="195"/>
    </row>
    <row r="271" spans="2:5" ht="20" customHeight="1" x14ac:dyDescent="0.2">
      <c r="B271" s="30" t="s">
        <v>157</v>
      </c>
      <c r="C271" s="103">
        <v>1500</v>
      </c>
      <c r="D271" s="317"/>
      <c r="E271" s="195"/>
    </row>
    <row r="272" spans="2:5" ht="20" customHeight="1" x14ac:dyDescent="0.2">
      <c r="B272" s="614" t="s">
        <v>207</v>
      </c>
      <c r="C272" s="615"/>
      <c r="D272" s="615"/>
      <c r="E272" s="616"/>
    </row>
    <row r="273" spans="2:5" ht="20" customHeight="1" x14ac:dyDescent="0.2">
      <c r="B273" s="30" t="s">
        <v>208</v>
      </c>
      <c r="C273" s="109" t="str">
        <f>IF(cluster_wld_domain_chosen="Workload Domain",CONCATENATE(prefix_wld_az2_cidr,"11.101"),CONCATENATE(prefix_mgmt_az2_cidr,"11.101"))</f>
        <v>10.14.11.101</v>
      </c>
      <c r="D273" s="315"/>
      <c r="E273" s="163" t="s">
        <v>209</v>
      </c>
    </row>
    <row r="274" spans="2:5" ht="20" customHeight="1" x14ac:dyDescent="0.2">
      <c r="B274" s="30" t="s">
        <v>210</v>
      </c>
      <c r="C274" s="109" t="str">
        <f>IF(cluster_wld_domain_chosen="Workload Domain",CONCATENATE(prefix_wld_az2_cidr,"11.102"),CONCATENATE(prefix_mgmt_az2_cidr,"11.102"))</f>
        <v>10.14.11.102</v>
      </c>
      <c r="D274" s="315"/>
      <c r="E274" s="163" t="s">
        <v>211</v>
      </c>
    </row>
    <row r="275" spans="2:5" ht="20" customHeight="1" x14ac:dyDescent="0.2">
      <c r="B275" s="30" t="s">
        <v>212</v>
      </c>
      <c r="C275" s="109" t="str">
        <f>IF(cluster_wld_domain_chosen="Workload Domain",CONCATENATE(prefix_wld_az2_cidr,"11.103"),CONCATENATE(prefix_mgmt_az2_cidr,"11.103"))</f>
        <v>10.14.11.103</v>
      </c>
      <c r="D275" s="315"/>
      <c r="E275" s="163" t="s">
        <v>213</v>
      </c>
    </row>
    <row r="276" spans="2:5" ht="20" customHeight="1" x14ac:dyDescent="0.2">
      <c r="B276" s="30" t="s">
        <v>214</v>
      </c>
      <c r="C276" s="109" t="str">
        <f>IF(cluster_wld_domain_chosen="Workload Domain",CONCATENATE(prefix_wld_az2_cidr,"11.104"),CONCATENATE(prefix_mgmt_az2_cidr,"11.104"))</f>
        <v>10.14.11.104</v>
      </c>
      <c r="D276" s="315"/>
      <c r="E276" s="163" t="s">
        <v>215</v>
      </c>
    </row>
    <row r="277" spans="2:5" ht="20" customHeight="1" x14ac:dyDescent="0.2">
      <c r="B277" s="30" t="s">
        <v>216</v>
      </c>
      <c r="C277" s="109" t="str">
        <f>IF(cluster_wld_domain_chosen="Workload Domain",CONCATENATE(prefix_wld_az2_cidr,"11.105"),CONCATENATE(prefix_mgmt_az2_cidr,"11.105"))</f>
        <v>10.14.11.105</v>
      </c>
      <c r="D277" s="315"/>
      <c r="E277" s="163" t="s">
        <v>217</v>
      </c>
    </row>
    <row r="278" spans="2:5" ht="20" customHeight="1" x14ac:dyDescent="0.2">
      <c r="B278" s="30" t="s">
        <v>218</v>
      </c>
      <c r="C278" s="109" t="str">
        <f>IF(cluster_wld_domain_chosen="Workload Domain",CONCATENATE(prefix_wld_az2_cidr,"11.106"),CONCATENATE(prefix_mgmt_az2_cidr,"11.106"))</f>
        <v>10.14.11.106</v>
      </c>
      <c r="D278" s="315"/>
      <c r="E278" s="163" t="s">
        <v>219</v>
      </c>
    </row>
    <row r="279" spans="2:5" ht="20" customHeight="1" x14ac:dyDescent="0.2">
      <c r="B279" s="30" t="s">
        <v>220</v>
      </c>
      <c r="C279" s="109" t="str">
        <f>IF(cluster_wld_domain_chosen="Workload Domain",CONCATENATE(prefix_wld_az2_cidr,"11.107"),CONCATENATE(prefix_mgmt_az2_cidr,"11.107"))</f>
        <v>10.14.11.107</v>
      </c>
      <c r="D279" s="315"/>
      <c r="E279" s="163" t="s">
        <v>221</v>
      </c>
    </row>
    <row r="280" spans="2:5" ht="20" customHeight="1" x14ac:dyDescent="0.2">
      <c r="B280" s="30" t="s">
        <v>222</v>
      </c>
      <c r="C280" s="109" t="str">
        <f>IF(cluster_wld_domain_chosen="Workload Domain",CONCATENATE(prefix_wld_az2_cidr,"11.108"),CONCATENATE(prefix_mgmt_az2_cidr,"11.108"))</f>
        <v>10.14.11.108</v>
      </c>
      <c r="D280" s="315"/>
      <c r="E280" s="163" t="s">
        <v>223</v>
      </c>
    </row>
    <row r="281" spans="2:5" ht="20" customHeight="1" x14ac:dyDescent="0.2">
      <c r="B281" s="30" t="s">
        <v>224</v>
      </c>
      <c r="C281" s="109" t="str">
        <f>IF(cluster_wld_domain_chosen="Workload Domain",CONCATENATE(prefix_wld_az2_cidr,"11.109"),CONCATENATE(prefix_mgmt_az2_cidr,"11.109"))</f>
        <v>10.14.11.109</v>
      </c>
      <c r="D281" s="315"/>
      <c r="E281" s="163" t="s">
        <v>225</v>
      </c>
    </row>
    <row r="282" spans="2:5" ht="20" customHeight="1" x14ac:dyDescent="0.2">
      <c r="B282" s="30" t="s">
        <v>226</v>
      </c>
      <c r="C282" s="109" t="str">
        <f>IF(cluster_wld_domain_chosen="Workload Domain",CONCATENATE(prefix_wld_az2_cidr,"11.110"),CONCATENATE(prefix_mgmt_az2_cidr,"11.110"))</f>
        <v>10.14.11.110</v>
      </c>
      <c r="D282" s="315"/>
      <c r="E282" s="163" t="s">
        <v>227</v>
      </c>
    </row>
    <row r="283" spans="2:5" ht="20" customHeight="1" x14ac:dyDescent="0.2">
      <c r="B283" s="30" t="s">
        <v>228</v>
      </c>
      <c r="C283" s="109" t="str">
        <f>IF(cluster_wld_domain_chosen="Workload Domain",CONCATENATE(prefix_wld_az2_cidr,"11.111"),CONCATENATE(prefix_mgmt_az2_cidr,"11.111"))</f>
        <v>10.14.11.111</v>
      </c>
      <c r="D283" s="315"/>
      <c r="E283" s="163" t="s">
        <v>229</v>
      </c>
    </row>
    <row r="284" spans="2:5" ht="20" customHeight="1" x14ac:dyDescent="0.2">
      <c r="B284" s="30" t="s">
        <v>230</v>
      </c>
      <c r="C284" s="109" t="str">
        <f>IF(cluster_wld_domain_chosen="Workload Domain",CONCATENATE(prefix_wld_az2_cidr,"11.112"),CONCATENATE(prefix_mgmt_az2_cidr,"11.112"))</f>
        <v>10.14.11.112</v>
      </c>
      <c r="D284" s="315"/>
      <c r="E284" s="163" t="s">
        <v>231</v>
      </c>
    </row>
    <row r="285" spans="2:5" ht="20" customHeight="1" x14ac:dyDescent="0.2">
      <c r="B285" s="30" t="s">
        <v>232</v>
      </c>
      <c r="C285" s="109" t="str">
        <f>IF(cluster_wld_domain_chosen="Workload Domain",CONCATENATE(prefix_wld_az2_cidr,"11.113"),CONCATENATE(prefix_mgmt_az2_cidr,"11.113"))</f>
        <v>10.14.11.113</v>
      </c>
      <c r="D285" s="315"/>
      <c r="E285" s="163" t="s">
        <v>233</v>
      </c>
    </row>
    <row r="286" spans="2:5" ht="20" customHeight="1" x14ac:dyDescent="0.2">
      <c r="B286" s="30" t="s">
        <v>234</v>
      </c>
      <c r="C286" s="109" t="str">
        <f>IF(cluster_wld_domain_chosen="Workload Domain",CONCATENATE(prefix_wld_az2_cidr,"11.114"),CONCATENATE(prefix_mgmt_az2_cidr,"11.114"))</f>
        <v>10.14.11.114</v>
      </c>
      <c r="D286" s="315"/>
      <c r="E286" s="163" t="s">
        <v>235</v>
      </c>
    </row>
    <row r="287" spans="2:5" ht="20" customHeight="1" x14ac:dyDescent="0.2">
      <c r="B287" s="30" t="s">
        <v>236</v>
      </c>
      <c r="C287" s="109" t="str">
        <f>IF(cluster_wld_domain_chosen="Workload Domain",CONCATENATE(prefix_wld_az2_cidr,"11.115"),CONCATENATE(prefix_mgmt_az2_cidr,"11.115"))</f>
        <v>10.14.11.115</v>
      </c>
      <c r="D287" s="315"/>
      <c r="E287" s="163" t="s">
        <v>237</v>
      </c>
    </row>
    <row r="288" spans="2:5" ht="20" customHeight="1" x14ac:dyDescent="0.2">
      <c r="B288" s="30" t="s">
        <v>238</v>
      </c>
      <c r="C288" s="109" t="str">
        <f>IF(cluster_wld_domain_chosen="Workload Domain",CONCATENATE(prefix_wld_az2_cidr,"11.116"),CONCATENATE(prefix_mgmt_az2_cidr,"11.116"))</f>
        <v>10.14.11.116</v>
      </c>
      <c r="D288" s="315"/>
      <c r="E288" s="163" t="s">
        <v>239</v>
      </c>
    </row>
    <row r="289" spans="2:5" ht="16" customHeight="1" x14ac:dyDescent="0.2">
      <c r="B289" s="148"/>
      <c r="C289" s="47"/>
      <c r="D289" s="47"/>
      <c r="E289" s="47"/>
    </row>
    <row r="290" spans="2:5" ht="34" customHeight="1" x14ac:dyDescent="0.2">
      <c r="B290" s="617" t="s">
        <v>240</v>
      </c>
      <c r="C290" s="618"/>
      <c r="D290" s="618"/>
      <c r="E290" s="619"/>
    </row>
    <row r="291" spans="2:5" ht="20" customHeight="1" x14ac:dyDescent="0.2">
      <c r="B291" s="63" t="s">
        <v>18</v>
      </c>
      <c r="C291" s="63" t="s">
        <v>19</v>
      </c>
      <c r="D291" s="63" t="s">
        <v>20</v>
      </c>
      <c r="E291" s="63" t="s">
        <v>21</v>
      </c>
    </row>
    <row r="292" spans="2:5" ht="20" customHeight="1" x14ac:dyDescent="0.2">
      <c r="B292" s="4" t="s">
        <v>241</v>
      </c>
      <c r="C292" s="65" t="s">
        <v>242</v>
      </c>
      <c r="D292" s="321" t="s">
        <v>242</v>
      </c>
      <c r="E292" s="4" t="str">
        <f>IF(wld_az2_reuse_vcf_networkpool_chosen="Re-use an existing VCF Network Pool","An exisiting VCF Network Pool will be reused for Host TEP assignment","A new VCF Network Pool will be created")</f>
        <v>A new VCF Network Pool will be created</v>
      </c>
    </row>
    <row r="293" spans="2:5" ht="20" customHeight="1" x14ac:dyDescent="0.2">
      <c r="B293" s="30" t="s">
        <v>243</v>
      </c>
      <c r="C293" s="312" t="str">
        <f>IF(cluster_az1_reuse_vcf_networkpool_result="Excluded",IF(cluster_wld_domain_chosen="Workload Domain",CONCATENATE(this_instance,"02-w0",wld_domain_number_chosen,"-r01-network-pool-01"),CONCATENATE(this_instance,"02-m01","-r01-network-pool-01")),IF(cluster_wld_domain_chosen="Workload Domain",CONCATENATE(this_instance,"02-w0",wld_domain_number_chosen,"-r01-network-pool-01"),CONCATENATE(this_instance,"02-m01","-r01-network-pool-01")))</f>
        <v>sfo02-w01-r01-network-pool-01</v>
      </c>
      <c r="D293" s="321"/>
      <c r="E293" s="195"/>
    </row>
    <row r="294" spans="2:5" ht="20" customHeight="1" x14ac:dyDescent="0.2">
      <c r="B294" s="550" t="s">
        <v>244</v>
      </c>
      <c r="C294" s="551"/>
      <c r="D294" s="551"/>
      <c r="E294" s="552"/>
    </row>
    <row r="295" spans="2:5" ht="20" customHeight="1" x14ac:dyDescent="0.2">
      <c r="B295" s="30" t="s">
        <v>85</v>
      </c>
      <c r="C295" s="103" t="str">
        <f>IF(cluster_wld_domain_chosen="Workload Domain",CONCATENATE(prefix_wld_az2_vlan,"12"),CONCATENATE(prefix_mgmt_az2_vlan,"12"))</f>
        <v>1412</v>
      </c>
      <c r="D295" s="317"/>
      <c r="E295" s="243"/>
    </row>
    <row r="296" spans="2:5" ht="20" customHeight="1" x14ac:dyDescent="0.2">
      <c r="B296" s="30" t="s">
        <v>157</v>
      </c>
      <c r="C296" s="103">
        <v>9000</v>
      </c>
      <c r="D296" s="317"/>
      <c r="E296" s="195"/>
    </row>
    <row r="297" spans="2:5" ht="20" customHeight="1" x14ac:dyDescent="0.2">
      <c r="B297" s="30" t="s">
        <v>245</v>
      </c>
      <c r="C297" s="103" t="str">
        <f>IF(cluster_wld_domain_chosen="Workload Domain",CONCATENATE(prefix_wld_az2_cidr,"12.0"),CONCATENATE(prefix_mgmt_az2_cidr,"12.0"))</f>
        <v>10.14.12.0</v>
      </c>
      <c r="D297" s="317"/>
      <c r="E297" s="195"/>
    </row>
    <row r="298" spans="2:5" ht="20" customHeight="1" x14ac:dyDescent="0.2">
      <c r="B298" s="30" t="s">
        <v>246</v>
      </c>
      <c r="C298" s="103" t="s">
        <v>126</v>
      </c>
      <c r="D298" s="317"/>
      <c r="E298" s="195"/>
    </row>
    <row r="299" spans="2:5" ht="20" customHeight="1" x14ac:dyDescent="0.2">
      <c r="B299" s="30" t="s">
        <v>247</v>
      </c>
      <c r="C299" s="103" t="str">
        <f>IF(cluster_wld_domain_chosen="Workload Domain",CONCATENATE(prefix_wld_az2_cidr,"12.1"),CONCATENATE(prefix_mgmt_az2_cidr,"12.1"))</f>
        <v>10.14.12.1</v>
      </c>
      <c r="D299" s="317"/>
      <c r="E299" s="195"/>
    </row>
    <row r="300" spans="2:5" ht="20" customHeight="1" x14ac:dyDescent="0.2">
      <c r="B300" s="30" t="s">
        <v>248</v>
      </c>
      <c r="C300" s="103" t="str">
        <f>IF(cluster_wld_domain_chosen="Workload Domain",CONCATENATE(prefix_wld_az2_cidr,"12.101"),CONCATENATE(prefix_mgmt_az2_cidr,"12.101"))</f>
        <v>10.14.12.101</v>
      </c>
      <c r="D300" s="317"/>
      <c r="E300" s="195"/>
    </row>
    <row r="301" spans="2:5" ht="20" customHeight="1" x14ac:dyDescent="0.2">
      <c r="B301" s="30" t="s">
        <v>249</v>
      </c>
      <c r="C301" s="103" t="str">
        <f>IF(cluster_wld_domain_chosen="Workload Domain",CONCATENATE(prefix_wld_az2_cidr,"12.116"),CONCATENATE(prefix_mgmt_az2_cidr,"12.116"))</f>
        <v>10.14.12.116</v>
      </c>
      <c r="D301" s="317"/>
      <c r="E301" s="195"/>
    </row>
    <row r="302" spans="2:5" ht="20" customHeight="1" x14ac:dyDescent="0.2">
      <c r="B302" s="550" t="s">
        <v>250</v>
      </c>
      <c r="C302" s="551"/>
      <c r="D302" s="551"/>
      <c r="E302" s="552"/>
    </row>
    <row r="303" spans="2:5" ht="20" customHeight="1" x14ac:dyDescent="0.2">
      <c r="B303" s="30" t="s">
        <v>85</v>
      </c>
      <c r="C303" s="103" t="str">
        <f>IF(cluster_wld_domain_chosen="Workload Domain",CONCATENATE(prefix_wld_az2_vlan,"13"),CONCATENATE(prefix_mgmt_az2_vlan,"13"))</f>
        <v>1413</v>
      </c>
      <c r="D303" s="317"/>
      <c r="E303" s="195"/>
    </row>
    <row r="304" spans="2:5" ht="20" customHeight="1" x14ac:dyDescent="0.2">
      <c r="B304" s="30" t="s">
        <v>157</v>
      </c>
      <c r="C304" s="103">
        <v>9000</v>
      </c>
      <c r="D304" s="317"/>
      <c r="E304" s="195"/>
    </row>
    <row r="305" spans="2:5" ht="20" customHeight="1" x14ac:dyDescent="0.2">
      <c r="B305" s="30" t="s">
        <v>245</v>
      </c>
      <c r="C305" s="103" t="str">
        <f>IF(cluster_wld_domain_chosen="Workload Domain",CONCATENATE(prefix_wld_az2_cidr,"13.0"),CONCATENATE(prefix_mgmt_az2_cidr,"13.0"))</f>
        <v>10.14.13.0</v>
      </c>
      <c r="D305" s="317"/>
      <c r="E305" s="195"/>
    </row>
    <row r="306" spans="2:5" ht="20" customHeight="1" x14ac:dyDescent="0.2">
      <c r="B306" s="30" t="s">
        <v>246</v>
      </c>
      <c r="C306" s="103" t="s">
        <v>126</v>
      </c>
      <c r="D306" s="317"/>
      <c r="E306" s="195"/>
    </row>
    <row r="307" spans="2:5" ht="20" customHeight="1" x14ac:dyDescent="0.2">
      <c r="B307" s="30" t="s">
        <v>247</v>
      </c>
      <c r="C307" s="103" t="str">
        <f>IF(cluster_wld_domain_chosen="Workload Domain",CONCATENATE(prefix_wld_az2_cidr,"13.1"),CONCATENATE(prefix_mgmt_az2_cidr,"13.1"))</f>
        <v>10.14.13.1</v>
      </c>
      <c r="D307" s="317"/>
      <c r="E307" s="195"/>
    </row>
    <row r="308" spans="2:5" ht="20" customHeight="1" x14ac:dyDescent="0.2">
      <c r="B308" s="30" t="s">
        <v>248</v>
      </c>
      <c r="C308" s="103" t="str">
        <f>IF(cluster_wld_domain_chosen="Workload Domain",CONCATENATE(prefix_wld_az2_cidr,"13.101"),CONCATENATE(prefix_mgmt_az2_cidr,"13.101"))</f>
        <v>10.14.13.101</v>
      </c>
      <c r="D308" s="317"/>
      <c r="E308" s="195"/>
    </row>
    <row r="309" spans="2:5" ht="20" customHeight="1" x14ac:dyDescent="0.2">
      <c r="B309" s="30" t="s">
        <v>249</v>
      </c>
      <c r="C309" s="103" t="str">
        <f>IF(cluster_wld_domain_chosen="Workload Domain",CONCATENATE(prefix_wld_az2_cidr,"13.116"),CONCATENATE(prefix_mgmt_az2_cidr,"13.116"))</f>
        <v>10.14.13.116</v>
      </c>
      <c r="D309" s="317"/>
      <c r="E309" s="195"/>
    </row>
    <row r="310" spans="2:5" ht="20" customHeight="1" x14ac:dyDescent="0.2">
      <c r="B310" s="550" t="str">
        <f>IF(cluster_secondary_storage_chosen="Secondary NFS Storage Network","NFS Storage Network","vSAN Storage Client")</f>
        <v>vSAN Storage Client</v>
      </c>
      <c r="C310" s="551"/>
      <c r="D310" s="551"/>
      <c r="E310" s="552"/>
    </row>
    <row r="311" spans="2:5" ht="20" customHeight="1" x14ac:dyDescent="0.2">
      <c r="B311" s="30" t="s">
        <v>85</v>
      </c>
      <c r="C311" s="103" t="str">
        <f>IF(cluster_wld_domain_chosen="Workload Domain",CONCATENATE(prefix_wld_az2_vlan,"15"),CONCATENATE(prefix_mgmt_az2_vlan,"15"))</f>
        <v>1415</v>
      </c>
      <c r="D311" s="317"/>
      <c r="E311" s="195"/>
    </row>
    <row r="312" spans="2:5" ht="20" customHeight="1" x14ac:dyDescent="0.2">
      <c r="B312" s="30" t="s">
        <v>157</v>
      </c>
      <c r="C312" s="103">
        <v>9000</v>
      </c>
      <c r="D312" s="317"/>
      <c r="E312" s="195"/>
    </row>
    <row r="313" spans="2:5" ht="20" customHeight="1" x14ac:dyDescent="0.2">
      <c r="B313" s="30" t="s">
        <v>245</v>
      </c>
      <c r="C313" s="103" t="str">
        <f>IF(cluster_wld_domain_chosen="Workload Domain",CONCATENATE(prefix_wld_az2_cidr,"15.0"),CONCATENATE(prefix_mgmt_az2_cidr,"15.0"))</f>
        <v>10.14.15.0</v>
      </c>
      <c r="D313" s="317"/>
      <c r="E313" s="195"/>
    </row>
    <row r="314" spans="2:5" ht="20" customHeight="1" x14ac:dyDescent="0.2">
      <c r="B314" s="30" t="s">
        <v>246</v>
      </c>
      <c r="C314" s="103" t="s">
        <v>126</v>
      </c>
      <c r="D314" s="317"/>
      <c r="E314" s="195"/>
    </row>
    <row r="315" spans="2:5" ht="20" customHeight="1" x14ac:dyDescent="0.2">
      <c r="B315" s="30" t="s">
        <v>247</v>
      </c>
      <c r="C315" s="103" t="str">
        <f>IF(cluster_wld_domain_chosen="Workload Domain",CONCATENATE(prefix_wld_az2_cidr,"15.1"),CONCATENATE(prefix_mgmt_az2_cidr,"15.1"))</f>
        <v>10.14.15.1</v>
      </c>
      <c r="D315" s="317"/>
      <c r="E315" s="195"/>
    </row>
    <row r="316" spans="2:5" ht="20" customHeight="1" x14ac:dyDescent="0.2">
      <c r="B316" s="30" t="s">
        <v>248</v>
      </c>
      <c r="C316" s="103" t="str">
        <f>IF(cluster_wld_domain_chosen="Workload Domain",CONCATENATE(prefix_wld_az2_cidr,"15.101"),CONCATENATE(prefix_mgmt_az2_cidr,"15.101"))</f>
        <v>10.14.15.101</v>
      </c>
      <c r="D316" s="317"/>
      <c r="E316" s="195"/>
    </row>
    <row r="317" spans="2:5" ht="20" customHeight="1" x14ac:dyDescent="0.2">
      <c r="B317" s="30" t="s">
        <v>249</v>
      </c>
      <c r="C317" s="103" t="str">
        <f>IF(cluster_wld_domain_chosen="Workload Domain",CONCATENATE(prefix_wld_az2_cidr,"15.116"),CONCATENATE(prefix_mgmt_az2_cidr,"15.116"))</f>
        <v>10.14.15.116</v>
      </c>
      <c r="D317" s="317"/>
      <c r="E317" s="195"/>
    </row>
    <row r="318" spans="2:5" ht="20" customHeight="1" x14ac:dyDescent="0.2">
      <c r="B318" s="550" t="s">
        <v>706</v>
      </c>
      <c r="C318" s="551"/>
      <c r="D318" s="551"/>
      <c r="E318" s="552"/>
    </row>
    <row r="319" spans="2:5" ht="20" customHeight="1" x14ac:dyDescent="0.2">
      <c r="B319" s="30" t="s">
        <v>85</v>
      </c>
      <c r="C319" s="103" t="str">
        <f>IF(cluster_wld_domain_chosen="Workload Domain",CONCATENATE(prefix_wld_az2_vlan,"16"),CONCATENATE(prefix_mgmt_az2_vlan,"16"))</f>
        <v>1416</v>
      </c>
      <c r="D319" s="66"/>
      <c r="E319" s="195"/>
    </row>
    <row r="320" spans="2:5" ht="20" customHeight="1" x14ac:dyDescent="0.2">
      <c r="B320" s="30" t="s">
        <v>157</v>
      </c>
      <c r="C320" s="103">
        <v>9000</v>
      </c>
      <c r="D320" s="66"/>
      <c r="E320" s="195"/>
    </row>
    <row r="321" spans="2:5" ht="20" customHeight="1" x14ac:dyDescent="0.2">
      <c r="B321" s="30" t="s">
        <v>245</v>
      </c>
      <c r="C321" s="103" t="str">
        <f>IF(cluster_wld_domain_chosen="Workload Domain",CONCATENATE(prefix_wld_az2_cidr,"16.0"),CONCATENATE(prefix_mgmt_az2_cidr,"16.0"))</f>
        <v>10.14.16.0</v>
      </c>
      <c r="D321" s="66"/>
      <c r="E321" s="195"/>
    </row>
    <row r="322" spans="2:5" ht="20" customHeight="1" x14ac:dyDescent="0.2">
      <c r="B322" s="30" t="s">
        <v>246</v>
      </c>
      <c r="C322" s="103" t="s">
        <v>126</v>
      </c>
      <c r="D322" s="66"/>
      <c r="E322" s="195"/>
    </row>
    <row r="323" spans="2:5" ht="20" customHeight="1" x14ac:dyDescent="0.2">
      <c r="B323" s="30" t="s">
        <v>247</v>
      </c>
      <c r="C323" s="103" t="str">
        <f>IF(cluster_wld_domain_chosen="Workload Domain",CONCATENATE(prefix_wld_az2_cidr,"16.1"),CONCATENATE(prefix_mgmt_az2_cidr,"16.1"))</f>
        <v>10.14.16.1</v>
      </c>
      <c r="D323" s="66"/>
      <c r="E323" s="195"/>
    </row>
    <row r="324" spans="2:5" ht="20" customHeight="1" x14ac:dyDescent="0.2">
      <c r="B324" s="30" t="s">
        <v>248</v>
      </c>
      <c r="C324" s="103" t="str">
        <f>IF(cluster_wld_domain_chosen="Workload Domain",CONCATENATE(prefix_wld_az2_cidr,"16.101"),CONCATENATE(prefix_mgmt_az2_cidr,"16.101"))</f>
        <v>10.14.16.101</v>
      </c>
      <c r="D324" s="66"/>
      <c r="E324" s="195"/>
    </row>
    <row r="325" spans="2:5" ht="20" customHeight="1" x14ac:dyDescent="0.2">
      <c r="B325" s="30" t="s">
        <v>249</v>
      </c>
      <c r="C325" s="103" t="str">
        <f>IF(cluster_wld_domain_chosen="Workload Domain",CONCATENATE(prefix_wld_az2_cidr,"16.116"),CONCATENATE(prefix_mgmt_az2_cidr,"16.116"))</f>
        <v>10.14.16.116</v>
      </c>
      <c r="D325" s="66"/>
      <c r="E325" s="195"/>
    </row>
    <row r="326" spans="2:5" ht="16" customHeight="1" x14ac:dyDescent="0.2">
      <c r="B326" s="148"/>
      <c r="C326" s="47"/>
      <c r="D326" s="47"/>
      <c r="E326" s="47"/>
    </row>
    <row r="327" spans="2:5" ht="34" customHeight="1" x14ac:dyDescent="0.2">
      <c r="B327" s="617" t="s">
        <v>980</v>
      </c>
      <c r="C327" s="618"/>
      <c r="D327" s="618"/>
      <c r="E327" s="619"/>
    </row>
    <row r="328" spans="2:5" ht="20" customHeight="1" x14ac:dyDescent="0.2">
      <c r="B328" s="63" t="s">
        <v>18</v>
      </c>
      <c r="C328" s="63" t="s">
        <v>19</v>
      </c>
      <c r="D328" s="63" t="s">
        <v>20</v>
      </c>
      <c r="E328" s="63" t="s">
        <v>21</v>
      </c>
    </row>
    <row r="329" spans="2:5" ht="20" customHeight="1" x14ac:dyDescent="0.2">
      <c r="B329" s="30" t="s">
        <v>208</v>
      </c>
      <c r="C329" s="109" t="str">
        <f>IF(cluster_wld_domain_chosen="Workload Domain",CONCATENATE(this_instance,"02-w0",wld_domain_number_chosen,"-r01-esx01",".",sample_child_dns_zone),CONCATENATE(this_instance,"02-m01","-r01-esx01",".",sample_child_dns_zone))</f>
        <v>sfo02-w01-r01-esx01.sfo.rainpole.io</v>
      </c>
      <c r="D329" s="317"/>
      <c r="E329" s="195"/>
    </row>
    <row r="330" spans="2:5" ht="20" customHeight="1" x14ac:dyDescent="0.2">
      <c r="B330" s="30" t="s">
        <v>210</v>
      </c>
      <c r="C330" s="109" t="str">
        <f>IF(cluster_wld_domain_chosen="Workload Domain",CONCATENATE(this_instance,"02-w0",wld_domain_number_chosen,"-r01-esx02",".",sample_child_dns_zone),CONCATENATE(this_instance,"02-m01","-r01-esx02",".",sample_child_dns_zone))</f>
        <v>sfo02-w01-r01-esx02.sfo.rainpole.io</v>
      </c>
      <c r="D330" s="317"/>
      <c r="E330" s="195"/>
    </row>
    <row r="331" spans="2:5" ht="20" customHeight="1" x14ac:dyDescent="0.2">
      <c r="B331" s="30" t="s">
        <v>212</v>
      </c>
      <c r="C331" s="109" t="str">
        <f>IF(cluster_wld_domain_chosen="Workload Domain",CONCATENATE(this_instance,"02-w0",wld_domain_number_chosen,"-r01-esx03",".",sample_child_dns_zone),CONCATENATE(this_instance,"02-m01","-r01-esx03",".",sample_child_dns_zone))</f>
        <v>sfo02-w01-r01-esx03.sfo.rainpole.io</v>
      </c>
      <c r="D331" s="317"/>
      <c r="E331" s="195"/>
    </row>
    <row r="332" spans="2:5" ht="20" customHeight="1" x14ac:dyDescent="0.2">
      <c r="B332" s="30" t="s">
        <v>214</v>
      </c>
      <c r="C332" s="109" t="str">
        <f>IF(cluster_wld_domain_chosen="Workload Domain",CONCATENATE(this_instance,"02-w0",wld_domain_number_chosen,"-r01-esx04",".",sample_child_dns_zone),CONCATENATE(this_instance,"02-m01","-r01-esx04",".",sample_child_dns_zone))</f>
        <v>sfo02-w01-r01-esx04.sfo.rainpole.io</v>
      </c>
      <c r="D332" s="317"/>
      <c r="E332" s="195"/>
    </row>
    <row r="333" spans="2:5" ht="20" customHeight="1" x14ac:dyDescent="0.2">
      <c r="B333" s="30" t="s">
        <v>216</v>
      </c>
      <c r="C333" s="109" t="str">
        <f>IF(cluster_wld_domain_chosen="Workload Domain",CONCATENATE(this_instance,"02-w0",wld_domain_number_chosen,"-r01-esx05",".",sample_child_dns_zone),CONCATENATE(this_instance,"02-m01","-r01-esx05",".",sample_child_dns_zone))</f>
        <v>sfo02-w01-r01-esx05.sfo.rainpole.io</v>
      </c>
      <c r="D333" s="317"/>
      <c r="E333" s="195"/>
    </row>
    <row r="334" spans="2:5" ht="20" customHeight="1" x14ac:dyDescent="0.2">
      <c r="B334" s="30" t="s">
        <v>218</v>
      </c>
      <c r="C334" s="109" t="str">
        <f>IF(cluster_wld_domain_chosen="Workload Domain",CONCATENATE(this_instance,"02-w0",wld_domain_number_chosen,"-r01-esx06",".",sample_child_dns_zone),CONCATENATE(this_instance,"02-m01","-r01-esx06",".",sample_child_dns_zone))</f>
        <v>sfo02-w01-r01-esx06.sfo.rainpole.io</v>
      </c>
      <c r="D334" s="317"/>
      <c r="E334" s="195"/>
    </row>
    <row r="335" spans="2:5" ht="20" customHeight="1" x14ac:dyDescent="0.2">
      <c r="B335" s="30" t="s">
        <v>220</v>
      </c>
      <c r="C335" s="109" t="str">
        <f>IF(cluster_wld_domain_chosen="Workload Domain",CONCATENATE(this_instance,"02-w0",wld_domain_number_chosen,"-r01-esx07",".",sample_child_dns_zone),CONCATENATE(this_instance,"02-m01","-r01-esx07",".",sample_child_dns_zone))</f>
        <v>sfo02-w01-r01-esx07.sfo.rainpole.io</v>
      </c>
      <c r="D335" s="317"/>
      <c r="E335" s="195"/>
    </row>
    <row r="336" spans="2:5" ht="20" customHeight="1" x14ac:dyDescent="0.2">
      <c r="B336" s="30" t="s">
        <v>222</v>
      </c>
      <c r="C336" s="109" t="str">
        <f>IF(cluster_wld_domain_chosen="Workload Domain",CONCATENATE(this_instance,"02-w0",wld_domain_number_chosen,"-r01-esx08",".",sample_child_dns_zone),CONCATENATE(this_instance,"02-m01","-r01-esx08",".",sample_child_dns_zone))</f>
        <v>sfo02-w01-r01-esx08.sfo.rainpole.io</v>
      </c>
      <c r="D336" s="317"/>
      <c r="E336" s="195"/>
    </row>
    <row r="337" spans="2:5" ht="20" customHeight="1" x14ac:dyDescent="0.2">
      <c r="B337" s="30" t="s">
        <v>224</v>
      </c>
      <c r="C337" s="109" t="str">
        <f>IF(cluster_wld_domain_chosen="Workload Domain",CONCATENATE(this_instance,"02-w0",wld_domain_number_chosen,"-r01-esx09",".",sample_child_dns_zone),CONCATENATE(this_instance,"02-m01","-r01-esx09",".",sample_child_dns_zone))</f>
        <v>sfo02-w01-r01-esx09.sfo.rainpole.io</v>
      </c>
      <c r="D337" s="317"/>
      <c r="E337" s="195"/>
    </row>
    <row r="338" spans="2:5" ht="20" customHeight="1" x14ac:dyDescent="0.2">
      <c r="B338" s="30" t="s">
        <v>226</v>
      </c>
      <c r="C338" s="109" t="str">
        <f>IF(cluster_wld_domain_chosen="Workload Domain",CONCATENATE(this_instance,"02-w0",wld_domain_number_chosen,"-r01-esx10",".",sample_child_dns_zone),CONCATENATE(this_instance,"02-m01","-r01-esx10",".",sample_child_dns_zone))</f>
        <v>sfo02-w01-r01-esx10.sfo.rainpole.io</v>
      </c>
      <c r="D338" s="317"/>
      <c r="E338" s="195"/>
    </row>
    <row r="339" spans="2:5" ht="20" customHeight="1" x14ac:dyDescent="0.2">
      <c r="B339" s="30" t="s">
        <v>228</v>
      </c>
      <c r="C339" s="109" t="str">
        <f>IF(cluster_wld_domain_chosen="Workload Domain",CONCATENATE(this_instance,"02-w0",wld_domain_number_chosen,"-r01-esx11",".",sample_child_dns_zone),CONCATENATE(this_instance,"02-m01","-r01-esx11",".",sample_child_dns_zone))</f>
        <v>sfo02-w01-r01-esx11.sfo.rainpole.io</v>
      </c>
      <c r="D339" s="317"/>
      <c r="E339" s="195"/>
    </row>
    <row r="340" spans="2:5" ht="20" customHeight="1" x14ac:dyDescent="0.2">
      <c r="B340" s="30" t="s">
        <v>230</v>
      </c>
      <c r="C340" s="109" t="str">
        <f>IF(cluster_wld_domain_chosen="Workload Domain",CONCATENATE(this_instance,"02-w0",wld_domain_number_chosen,"-r01-esx12",".",sample_child_dns_zone),CONCATENATE(this_instance,"02-m01","-r01-esx12",".",sample_child_dns_zone))</f>
        <v>sfo02-w01-r01-esx12.sfo.rainpole.io</v>
      </c>
      <c r="D340" s="317"/>
      <c r="E340" s="195"/>
    </row>
    <row r="341" spans="2:5" ht="20" customHeight="1" x14ac:dyDescent="0.2">
      <c r="B341" s="30" t="s">
        <v>232</v>
      </c>
      <c r="C341" s="109" t="str">
        <f>IF(cluster_wld_domain_chosen="Workload Domain",CONCATENATE(this_instance,"02-w0",wld_domain_number_chosen,"-r01-esx13",".",sample_child_dns_zone),CONCATENATE(this_instance,"02-m01","-r01-esx13",".",sample_child_dns_zone))</f>
        <v>sfo02-w01-r01-esx13.sfo.rainpole.io</v>
      </c>
      <c r="D341" s="317"/>
      <c r="E341" s="195"/>
    </row>
    <row r="342" spans="2:5" ht="20" customHeight="1" x14ac:dyDescent="0.2">
      <c r="B342" s="30" t="s">
        <v>234</v>
      </c>
      <c r="C342" s="109" t="str">
        <f>IF(cluster_wld_domain_chosen="Workload Domain",CONCATENATE(this_instance,"02-w0",wld_domain_number_chosen,"-r01-esx14",".",sample_child_dns_zone),CONCATENATE(this_instance,"02-m01","-r01-esx14",".",sample_child_dns_zone))</f>
        <v>sfo02-w01-r01-esx14.sfo.rainpole.io</v>
      </c>
      <c r="D342" s="317"/>
      <c r="E342" s="195"/>
    </row>
    <row r="343" spans="2:5" ht="20" customHeight="1" x14ac:dyDescent="0.2">
      <c r="B343" s="30" t="s">
        <v>236</v>
      </c>
      <c r="C343" s="109" t="str">
        <f>IF(cluster_wld_domain_chosen="Workload Domain",CONCATENATE(this_instance,"02-w0",wld_domain_number_chosen,"-r01-esx15",".",sample_child_dns_zone),CONCATENATE(this_instance,"02-m01","-r01-esx15",".",sample_child_dns_zone))</f>
        <v>sfo02-w01-r01-esx15.sfo.rainpole.io</v>
      </c>
      <c r="D343" s="317"/>
      <c r="E343" s="195"/>
    </row>
    <row r="344" spans="2:5" ht="20" customHeight="1" x14ac:dyDescent="0.2">
      <c r="B344" s="30" t="s">
        <v>238</v>
      </c>
      <c r="C344" s="109" t="str">
        <f>IF(cluster_wld_domain_chosen="Workload Domain",CONCATENATE(this_instance,"02-w0",wld_domain_number_chosen,"-r01-esx16",".",sample_child_dns_zone),CONCATENATE(this_instance,"02-m01","-r01-esx16",".",sample_child_dns_zone))</f>
        <v>sfo02-w01-r01-esx16.sfo.rainpole.io</v>
      </c>
      <c r="D344" s="317"/>
      <c r="E344" s="195"/>
    </row>
    <row r="345" spans="2:5" ht="20" customHeight="1" x14ac:dyDescent="0.2">
      <c r="B345" s="30" t="s">
        <v>257</v>
      </c>
      <c r="C345" s="100" t="s">
        <v>258</v>
      </c>
      <c r="D345" s="8" t="str">
        <f>cluster_principal_storage_chosen</f>
        <v>vSAN-ESA</v>
      </c>
      <c r="E345" s="195"/>
    </row>
    <row r="346" spans="2:5" ht="20" customHeight="1" x14ac:dyDescent="0.2">
      <c r="B346" s="30" t="s">
        <v>259</v>
      </c>
      <c r="C346" s="100" t="s">
        <v>260</v>
      </c>
      <c r="D346" s="8" t="str">
        <f>cluster_vsan_type</f>
        <v>vSAN HCI</v>
      </c>
      <c r="E346" s="195"/>
    </row>
    <row r="347" spans="2:5" ht="20" customHeight="1" x14ac:dyDescent="0.2">
      <c r="B347" s="30" t="s">
        <v>261</v>
      </c>
      <c r="C347" s="100" t="s">
        <v>156</v>
      </c>
      <c r="D347" s="8" t="str">
        <f>D114</f>
        <v>Selected</v>
      </c>
      <c r="E347" s="195"/>
    </row>
    <row r="348" spans="2:5" ht="20" customHeight="1" x14ac:dyDescent="0.2">
      <c r="B348" s="30" t="s">
        <v>243</v>
      </c>
      <c r="C348" s="100" t="str">
        <f>sample_cluster_az2_pool_name</f>
        <v>sfo02-w01-r01-network-pool-01</v>
      </c>
      <c r="D348" s="320" t="str">
        <f>cluster_az2_pool_name</f>
        <v>Value Missing</v>
      </c>
      <c r="E348" s="195"/>
    </row>
    <row r="349" spans="2:5" ht="20" customHeight="1" x14ac:dyDescent="0.2">
      <c r="B349" s="30" t="s">
        <v>47</v>
      </c>
      <c r="C349" s="100" t="str">
        <f>sample_cluster_esx_root_username</f>
        <v>root</v>
      </c>
      <c r="D349" s="320" t="str">
        <f>cluster_esx_root_username</f>
        <v>Value Missing</v>
      </c>
      <c r="E349" s="195"/>
    </row>
    <row r="350" spans="2:5" ht="20" customHeight="1" x14ac:dyDescent="0.2">
      <c r="B350" s="30" t="s">
        <v>30</v>
      </c>
      <c r="C350" s="100" t="str">
        <f>sample_cluster_esx_root_password</f>
        <v>VMw@re1!</v>
      </c>
      <c r="D350" s="320" t="str">
        <f>cluster_esx_root_password</f>
        <v>Value Missing</v>
      </c>
      <c r="E350" s="195"/>
    </row>
    <row r="351" spans="2:5" ht="16" customHeight="1" x14ac:dyDescent="0.2">
      <c r="B351" s="148"/>
      <c r="C351" s="47"/>
      <c r="D351" s="47"/>
      <c r="E351" s="47"/>
    </row>
    <row r="352" spans="2:5" ht="20" customHeight="1" x14ac:dyDescent="0.2">
      <c r="B352" s="550" t="s">
        <v>264</v>
      </c>
      <c r="C352" s="551"/>
      <c r="D352" s="551"/>
      <c r="E352" s="552"/>
    </row>
    <row r="353" spans="2:5" ht="20" customHeight="1" x14ac:dyDescent="0.2">
      <c r="B353" s="63" t="s">
        <v>18</v>
      </c>
      <c r="C353" s="63" t="s">
        <v>19</v>
      </c>
      <c r="D353" s="63" t="s">
        <v>20</v>
      </c>
      <c r="E353" s="63" t="s">
        <v>21</v>
      </c>
    </row>
    <row r="354" spans="2:5" ht="20" customHeight="1" x14ac:dyDescent="0.2">
      <c r="B354" s="30" t="s">
        <v>85</v>
      </c>
      <c r="C354" s="312" t="str">
        <f>CONCATENATE(prefix_mgmt_witness_vlan,"10")</f>
        <v>2110</v>
      </c>
      <c r="D354" s="315"/>
      <c r="E354" s="195"/>
    </row>
    <row r="355" spans="2:5" ht="20" customHeight="1" x14ac:dyDescent="0.2">
      <c r="B355" s="30" t="s">
        <v>182</v>
      </c>
      <c r="C355" s="193" t="str">
        <f>IF(cluster_wld_domain_chosen="Workload Domain",CONCATENATE(prefix_other_region_az1_cidr,"10.1"),CONCATENATE(prefix_other_region_az1_cidr,"10.1"))</f>
        <v>10.21.10.1</v>
      </c>
      <c r="D355" s="315"/>
      <c r="E355" s="195"/>
    </row>
    <row r="356" spans="2:5" ht="20" customHeight="1" x14ac:dyDescent="0.2">
      <c r="B356" s="30" t="s">
        <v>183</v>
      </c>
      <c r="C356" s="193" t="str">
        <f>IF(cluster_wld_domain_chosen="Workload Domain",CONCATENATE(prefix_other_region_az1_cidr,"10.0/24"),CONCATENATE(prefix_other_region_az1_cidr,"10.0/24"))</f>
        <v>10.21.10.0/24</v>
      </c>
      <c r="D356" s="315"/>
      <c r="E356" s="195"/>
    </row>
    <row r="357" spans="2:5" ht="20" customHeight="1" x14ac:dyDescent="0.2">
      <c r="B357" s="30" t="s">
        <v>157</v>
      </c>
      <c r="C357" s="312">
        <v>1500</v>
      </c>
      <c r="D357" s="315"/>
      <c r="E357" s="195"/>
    </row>
    <row r="358" spans="2:5" ht="16" customHeight="1" x14ac:dyDescent="0.2">
      <c r="B358" s="148"/>
      <c r="C358" s="47"/>
      <c r="D358" s="47"/>
      <c r="E358" s="47"/>
    </row>
    <row r="359" spans="2:5" ht="34" customHeight="1" x14ac:dyDescent="0.2">
      <c r="B359" s="617" t="s">
        <v>3559</v>
      </c>
      <c r="C359" s="618"/>
      <c r="D359" s="618"/>
      <c r="E359" s="619"/>
    </row>
    <row r="360" spans="2:5" ht="20" customHeight="1" x14ac:dyDescent="0.2">
      <c r="B360" s="384"/>
      <c r="C360" s="385"/>
      <c r="D360" s="385"/>
      <c r="E360" s="385"/>
    </row>
    <row r="361" spans="2:5" ht="20" customHeight="1" x14ac:dyDescent="0.2">
      <c r="B361" s="63" t="s">
        <v>18</v>
      </c>
      <c r="C361" s="63" t="s">
        <v>19</v>
      </c>
      <c r="D361" s="63" t="s">
        <v>20</v>
      </c>
      <c r="E361" s="63" t="s">
        <v>21</v>
      </c>
    </row>
    <row r="362" spans="2:5" ht="20" customHeight="1" x14ac:dyDescent="0.2">
      <c r="B362" s="30" t="s">
        <v>266</v>
      </c>
      <c r="C362" s="154" t="str">
        <f>CONCATENATE(other_instance,"-m01-vc01.",other_instance,".rainpole.io")</f>
        <v>lax-m01-vc01.lax.rainpole.io</v>
      </c>
      <c r="D362" s="315"/>
      <c r="E362" s="195" t="s">
        <v>267</v>
      </c>
    </row>
    <row r="363" spans="2:5" ht="20" customHeight="1" x14ac:dyDescent="0.2">
      <c r="B363" s="30" t="s">
        <v>269</v>
      </c>
      <c r="C363" s="154" t="str">
        <f>IF(cluster_wld_domain_chosen="Workload Domain",CONCATENATE(this_instance,"-w0",wld_domain_number_chosen,"-cl02-vsw01"),CONCATENATE(this_instance,"-m01","-cl02-vsw01"))</f>
        <v>sfo-w01-cl02-vsw01</v>
      </c>
      <c r="D363" s="315"/>
      <c r="E363" s="195"/>
    </row>
    <row r="364" spans="2:5" ht="20" customHeight="1" x14ac:dyDescent="0.2">
      <c r="B364" s="30" t="s">
        <v>270</v>
      </c>
      <c r="C364" s="65" t="str">
        <f>CONCATENATE(other_instance,"-m01-cl01")</f>
        <v>lax-m01-cl01</v>
      </c>
      <c r="D364" s="315"/>
      <c r="E364" s="195"/>
    </row>
    <row r="365" spans="2:5" ht="20" customHeight="1" x14ac:dyDescent="0.2">
      <c r="B365" s="30" t="s">
        <v>271</v>
      </c>
      <c r="C365" s="65" t="str">
        <f>CONCATENATE(other_instance,"-fd-mgmt")</f>
        <v>lax-fd-mgmt</v>
      </c>
      <c r="D365" s="315"/>
      <c r="E365" s="195"/>
    </row>
    <row r="366" spans="2:5" ht="20" customHeight="1" x14ac:dyDescent="0.2">
      <c r="B366" s="30" t="s">
        <v>272</v>
      </c>
      <c r="C366" s="65" t="str">
        <f>CONCATENATE(other_instance,"-m01-cl01-ds-vsan01")</f>
        <v>lax-m01-cl01-ds-vsan01</v>
      </c>
      <c r="D366" s="315"/>
      <c r="E366" s="195"/>
    </row>
    <row r="367" spans="2:5" ht="20" customHeight="1" x14ac:dyDescent="0.2">
      <c r="B367" s="30" t="s">
        <v>273</v>
      </c>
      <c r="C367" s="65" t="str">
        <f>CONCATENATE(other_instance,"01-m01-cl01-vds01-pg-vm-mgmt")</f>
        <v>lax01-m01-cl01-vds01-pg-vm-mgmt</v>
      </c>
      <c r="D367" s="315"/>
      <c r="E367" s="195"/>
    </row>
    <row r="368" spans="2:5" ht="20" customHeight="1" x14ac:dyDescent="0.2">
      <c r="B368" s="30" t="s">
        <v>274</v>
      </c>
      <c r="C368" s="65" t="str">
        <f>CONCATENATE(other_instance,"01-m01-cl01-vds01-pg-vm-mgmt")</f>
        <v>lax01-m01-cl01-vds01-pg-vm-mgmt</v>
      </c>
      <c r="D368" s="319" t="str">
        <f>cluster_witness_mgmt_pg</f>
        <v>Value Missing</v>
      </c>
      <c r="E368" s="195"/>
    </row>
    <row r="369" spans="2:5" ht="20" customHeight="1" x14ac:dyDescent="0.2">
      <c r="B369" s="30" t="s">
        <v>275</v>
      </c>
      <c r="C369" s="65" t="str">
        <f>sample_cluster_esx_root_password</f>
        <v>VMw@re1!</v>
      </c>
      <c r="D369" s="319" t="str">
        <f>cluster_esx_root_password</f>
        <v>Value Missing</v>
      </c>
      <c r="E369" s="195" t="str">
        <f>IF(cluster_wld_domain_chosen="Workload Domain",
IF(mgmt_dpg_reuse_result="Included",CONCATENATE(prefix_other_region_az1_cidr,"10.",(219+(wld_domain_number_chosen+3))),CONCATENATE(prefix_other_region_az1_cidr,"11.",(219+(wld_domain_number_chosen+3)))),
IF(mgmt_dpg_reuse_result="Included",CONCATENATE(prefix_other_region_az1_cidr,"10.",(218+(4))),CONCATENATE(prefix_other_region_az1_cidr,"11.",(218+(4)))))</f>
        <v>10.21.10.223</v>
      </c>
    </row>
    <row r="370" spans="2:5" ht="20" customHeight="1" x14ac:dyDescent="0.2">
      <c r="B370" s="30" t="s">
        <v>276</v>
      </c>
      <c r="C370" s="154" t="str">
        <f>IF(cluster_wld_domain_chosen="Workload Domain",
IF(mgmt_dpg_reuse_result="Included",CONCATENATE(prefix_other_region_az1_cidr,"10.",(219+(wld_domain_number_chosen+3))),CONCATENATE(prefix_other_region_az1_cidr,"11.",(219+(wld_domain_number_chosen+3)))),
IF(mgmt_dpg_reuse_result="Included",CONCATENATE(prefix_other_region_az1_cidr,"10.",(218+(4))),CONCATENATE(prefix_other_region_az1_cidr,"11.",(218+(4)))))</f>
        <v>10.21.10.223</v>
      </c>
      <c r="D370" s="315"/>
      <c r="E370" s="195" t="s">
        <v>277</v>
      </c>
    </row>
    <row r="371" spans="2:5" ht="20" customHeight="1" x14ac:dyDescent="0.2">
      <c r="B371" s="30" t="s">
        <v>278</v>
      </c>
      <c r="C371" s="65" t="str">
        <f>VLOOKUP(INT(RIGHT(sample_wld_witnessaz_mgmt_cidr,LEN(sample_wld_witnessaz_mgmt_cidr)-FIND("/",sample_wld_witnessaz_mgmt_cidr))),table_cidr_to_mask,2,FALSE)</f>
        <v>255.255.255.0</v>
      </c>
      <c r="D371" s="319"/>
      <c r="E371" s="195"/>
    </row>
    <row r="372" spans="2:5" ht="20" customHeight="1" x14ac:dyDescent="0.2">
      <c r="B372" s="30" t="s">
        <v>182</v>
      </c>
      <c r="C372" s="65" t="str">
        <f>sample_cluster_witnessaz_mgmt_gateway_ip</f>
        <v>10.21.10.1</v>
      </c>
      <c r="D372" s="319" t="str">
        <f t="array" ref="D372">cluster_witnessaz_mgmt_gateway_ip</f>
        <v>Value Missing</v>
      </c>
      <c r="E372" s="195"/>
    </row>
    <row r="373" spans="2:5" ht="20" customHeight="1" x14ac:dyDescent="0.2">
      <c r="B373" s="30" t="s">
        <v>279</v>
      </c>
      <c r="C373" s="65" t="str">
        <f>sample_child_dns_zone</f>
        <v>sfo.rainpole.io</v>
      </c>
      <c r="D373" s="315"/>
      <c r="E373" s="195"/>
    </row>
    <row r="374" spans="2:5" ht="20" customHeight="1" x14ac:dyDescent="0.2">
      <c r="B374" s="30" t="s">
        <v>280</v>
      </c>
      <c r="C374" s="65" t="str">
        <f>sample_cluster_witness_hostname</f>
        <v>sfo-w01-cl02-vsw01</v>
      </c>
      <c r="D374" s="319" t="str">
        <f t="array" ref="D374">cluster_witness_hostname</f>
        <v>Value Missing</v>
      </c>
      <c r="E374" s="195"/>
    </row>
    <row r="375" spans="2:5" ht="20" customHeight="1" x14ac:dyDescent="0.2">
      <c r="B375" s="30" t="s">
        <v>281</v>
      </c>
      <c r="C375" s="65" t="str">
        <f>IF(mgmt_dpg_reuse_result="Included",CONCATENATE(prefix_other_region_az1_cidr,"10.4"),CONCATENATE(prefix_other_region_az1_cidr,"11.4"))</f>
        <v>10.21.10.4</v>
      </c>
      <c r="D375" s="315"/>
      <c r="E375" s="195" t="s">
        <v>282</v>
      </c>
    </row>
    <row r="376" spans="2:5" ht="20" customHeight="1" x14ac:dyDescent="0.2">
      <c r="B376" s="30" t="s">
        <v>283</v>
      </c>
      <c r="C376" s="65" t="str">
        <f>IF(mgmt_dpg_reuse_result="Included",CONCATENATE(prefix_other_region_az1_cidr,"10.5"),CONCATENATE(prefix_other_region_az1_cidr,"11.5"))</f>
        <v>10.21.10.5</v>
      </c>
      <c r="D376" s="315"/>
      <c r="E376" s="195" t="s">
        <v>284</v>
      </c>
    </row>
    <row r="377" spans="2:5" ht="20" customHeight="1" x14ac:dyDescent="0.2">
      <c r="B377" s="30" t="s">
        <v>285</v>
      </c>
      <c r="C377" s="65" t="str">
        <f>CONCATENATE("ntp0.",other_instance,".rainpole.io")</f>
        <v>ntp0.lax.rainpole.io</v>
      </c>
      <c r="D377" s="315"/>
      <c r="E377" s="195"/>
    </row>
    <row r="378" spans="2:5" ht="20" customHeight="1" x14ac:dyDescent="0.2">
      <c r="B378" s="30" t="s">
        <v>286</v>
      </c>
      <c r="C378" s="65" t="str">
        <f>CONCATENATE("ntp1.",other_instance,".rainpole.io")</f>
        <v>ntp1.lax.rainpole.io</v>
      </c>
      <c r="D378" s="315"/>
      <c r="E378" s="195"/>
    </row>
    <row r="379" spans="2:5" ht="20" customHeight="1" x14ac:dyDescent="0.2">
      <c r="B379" s="614" t="s">
        <v>287</v>
      </c>
      <c r="C379" s="615"/>
      <c r="D379" s="615"/>
      <c r="E379" s="616"/>
    </row>
    <row r="380" spans="2:5" ht="20" customHeight="1" x14ac:dyDescent="0.2">
      <c r="B380" s="63" t="s">
        <v>18</v>
      </c>
      <c r="C380" s="63" t="s">
        <v>19</v>
      </c>
      <c r="D380" s="63" t="s">
        <v>20</v>
      </c>
      <c r="E380" s="63" t="s">
        <v>21</v>
      </c>
    </row>
    <row r="381" spans="2:5" ht="20" customHeight="1" x14ac:dyDescent="0.2">
      <c r="B381" s="30" t="s">
        <v>266</v>
      </c>
      <c r="C381" s="65" t="str">
        <f>IF(cluster_wld_domain_chosen="Workload Domain",CONCATENATE(this_instance,"-w0",wld_domain_number_chosen,"-vc01",this_instance,".rainpole.io"),CONCATENATE(this_instance,"-m01-vc01.",this_instance,".rainpole.io"))</f>
        <v>sfo-w01-vc01sfo.rainpole.io</v>
      </c>
      <c r="D381" s="314"/>
      <c r="E381" s="30"/>
    </row>
    <row r="382" spans="2:5" ht="20" customHeight="1" x14ac:dyDescent="0.2">
      <c r="B382" s="30" t="s">
        <v>288</v>
      </c>
      <c r="C382" s="65" t="str">
        <f>IF(cluster_wld_domain_chosen="Workload Domain",CONCATENATE(this_instance,"-w0",wld_domain_number_chosen,"-dc"),sample_mgmt_datacenter)</f>
        <v>sfo-w01-dc</v>
      </c>
      <c r="D382" s="314"/>
      <c r="E382" s="30"/>
    </row>
    <row r="383" spans="2:5" ht="20" customHeight="1" x14ac:dyDescent="0.2">
      <c r="B383" s="30" t="s">
        <v>39</v>
      </c>
      <c r="C383" s="65" t="str">
        <f>IF(cluster_wld_domain_chosen="Workload Domain",CONCATENATE(sample_cluster_witness_hostname,".",sample_child_dns_zone),CONCATENATE(sample_cluster_witness_hostname,".",sample_child_dns_zone))</f>
        <v>sfo-w01-cl02-vsw01.sfo.rainpole.io</v>
      </c>
      <c r="D383" s="314"/>
      <c r="E383" s="30"/>
    </row>
    <row r="384" spans="2:5" ht="20" customHeight="1" x14ac:dyDescent="0.2">
      <c r="B384" s="30" t="s">
        <v>289</v>
      </c>
      <c r="C384" s="65" t="str">
        <f>sample_cluster_esx_root_password</f>
        <v>VMw@re1!</v>
      </c>
      <c r="D384" s="318" t="str">
        <f>cluster_esx_root_password</f>
        <v>Value Missing</v>
      </c>
      <c r="E384" s="30"/>
    </row>
    <row r="385" spans="2:5" ht="20" customHeight="1" x14ac:dyDescent="0.2">
      <c r="B385" s="614" t="s">
        <v>290</v>
      </c>
      <c r="C385" s="615"/>
      <c r="D385" s="615"/>
      <c r="E385" s="616"/>
    </row>
    <row r="386" spans="2:5" ht="20" customHeight="1" x14ac:dyDescent="0.2">
      <c r="B386" s="63" t="s">
        <v>18</v>
      </c>
      <c r="C386" s="63" t="s">
        <v>19</v>
      </c>
      <c r="D386" s="63" t="s">
        <v>20</v>
      </c>
      <c r="E386" s="63" t="s">
        <v>21</v>
      </c>
    </row>
    <row r="387" spans="2:5" ht="20" customHeight="1" x14ac:dyDescent="0.2">
      <c r="B387" s="30" t="s">
        <v>266</v>
      </c>
      <c r="C387" s="65" t="str">
        <f>sample_cluster_vc_fqdn</f>
        <v>sfo-w01-vc01sfo.rainpole.io</v>
      </c>
      <c r="D387" s="318" t="str">
        <f>cluster_vc_fqdn</f>
        <v>Value Missing</v>
      </c>
      <c r="E387" s="30"/>
    </row>
    <row r="388" spans="2:5" ht="20" customHeight="1" x14ac:dyDescent="0.2">
      <c r="B388" s="30" t="s">
        <v>291</v>
      </c>
      <c r="C388" s="193" t="str">
        <f>sample_cluster_witness_hostname</f>
        <v>sfo-w01-cl02-vsw01</v>
      </c>
      <c r="D388" s="318" t="str">
        <f t="array" ref="D388">cluster_witness_hostname</f>
        <v>Value Missing</v>
      </c>
      <c r="E388" s="30"/>
    </row>
    <row r="389" spans="2:5" ht="20" customHeight="1" x14ac:dyDescent="0.2">
      <c r="B389" s="30" t="s">
        <v>292</v>
      </c>
      <c r="C389" s="193" t="str">
        <f>CONCATENATE(sample_cluster_witness_ntp1_server," ",sample_cluster_witness_ntp2_server)</f>
        <v>ntp0.lax.rainpole.io ntp1.lax.rainpole.io</v>
      </c>
      <c r="D389" s="318" t="str">
        <f t="array" ref="D389">CONCATENATE(cluster_witness_ntp1_server," ",cluster_witness_ntp2_server)</f>
        <v>Value Missing Value Missing</v>
      </c>
      <c r="E389" s="237"/>
    </row>
    <row r="390" spans="2:5" ht="20" customHeight="1" x14ac:dyDescent="0.2">
      <c r="B390" s="614" t="s">
        <v>293</v>
      </c>
      <c r="C390" s="615"/>
      <c r="D390" s="615"/>
      <c r="E390" s="616"/>
    </row>
    <row r="391" spans="2:5" ht="20" customHeight="1" x14ac:dyDescent="0.2">
      <c r="B391" s="63" t="s">
        <v>18</v>
      </c>
      <c r="C391" s="63" t="s">
        <v>19</v>
      </c>
      <c r="D391" s="63" t="s">
        <v>20</v>
      </c>
      <c r="E391" s="63" t="s">
        <v>21</v>
      </c>
    </row>
    <row r="392" spans="2:5" ht="20" customHeight="1" x14ac:dyDescent="0.2">
      <c r="B392" s="30" t="s">
        <v>266</v>
      </c>
      <c r="C392" s="65" t="str">
        <f>sample_cluster_vc_fqdn</f>
        <v>sfo-w01-vc01sfo.rainpole.io</v>
      </c>
      <c r="D392" s="318" t="str">
        <f>cluster_vc_fqdn</f>
        <v>Value Missing</v>
      </c>
      <c r="E392" s="30"/>
    </row>
    <row r="393" spans="2:5" ht="20" customHeight="1" x14ac:dyDescent="0.2">
      <c r="B393" s="30" t="s">
        <v>294</v>
      </c>
      <c r="C393" s="193" t="str">
        <f>IF(cluster_wld_domain_chosen="Workload Domain",CONCATENATE(this_instance,"-w0",wld_domain_number_chosen,"-dc"),sample_mgmt_datacenter)</f>
        <v>sfo-w01-dc</v>
      </c>
      <c r="D393" s="318" t="str">
        <f t="array" ref="D393">cluster_datacenter</f>
        <v>Value Missing</v>
      </c>
      <c r="E393" s="30"/>
    </row>
    <row r="394" spans="2:5" ht="20" customHeight="1" x14ac:dyDescent="0.2">
      <c r="B394" s="30" t="s">
        <v>295</v>
      </c>
      <c r="C394" s="193" t="str">
        <f>sample_cluster_witness_hostname</f>
        <v>sfo-w01-cl02-vsw01</v>
      </c>
      <c r="D394" s="318" t="str">
        <f>cluster_witness_hostname</f>
        <v>Value Missing</v>
      </c>
      <c r="E394" s="30"/>
    </row>
    <row r="395" spans="2:5" ht="20" customHeight="1" x14ac:dyDescent="0.2">
      <c r="B395" s="620"/>
      <c r="C395" s="620"/>
      <c r="D395" s="620"/>
      <c r="E395" s="620"/>
    </row>
    <row r="396" spans="2:5" ht="34" customHeight="1" x14ac:dyDescent="0.2">
      <c r="B396" s="617" t="s">
        <v>3558</v>
      </c>
      <c r="C396" s="618"/>
      <c r="D396" s="618"/>
      <c r="E396" s="619"/>
    </row>
    <row r="397" spans="2:5" ht="20" customHeight="1" x14ac:dyDescent="0.2">
      <c r="B397" s="384"/>
      <c r="C397" s="385"/>
      <c r="D397" s="385"/>
      <c r="E397" s="385"/>
    </row>
    <row r="398" spans="2:5" ht="20" customHeight="1" x14ac:dyDescent="0.2">
      <c r="B398" s="63" t="s">
        <v>18</v>
      </c>
      <c r="C398" s="63" t="s">
        <v>19</v>
      </c>
      <c r="D398" s="63" t="s">
        <v>20</v>
      </c>
      <c r="E398" s="63" t="s">
        <v>21</v>
      </c>
    </row>
    <row r="399" spans="2:5" ht="20" customHeight="1" x14ac:dyDescent="0.2">
      <c r="B399" s="30" t="str">
        <f t="array" ref="B399:B414">cluster_az2_host_fqdns</f>
        <v>Value Missing</v>
      </c>
      <c r="C399" s="193" t="s">
        <v>297</v>
      </c>
      <c r="D399" s="314"/>
      <c r="E399" s="372" t="s">
        <v>298</v>
      </c>
    </row>
    <row r="400" spans="2:5" ht="20" customHeight="1" x14ac:dyDescent="0.2">
      <c r="B400" s="30" t="str">
        <v>Value Missing</v>
      </c>
      <c r="C400" s="193" t="s">
        <v>299</v>
      </c>
      <c r="D400" s="314"/>
      <c r="E400" s="372" t="s">
        <v>300</v>
      </c>
    </row>
    <row r="401" spans="2:5" ht="20" customHeight="1" x14ac:dyDescent="0.2">
      <c r="B401" s="30" t="str">
        <v>Value Missing</v>
      </c>
      <c r="C401" s="193" t="s">
        <v>301</v>
      </c>
      <c r="D401" s="314"/>
      <c r="E401" s="372" t="s">
        <v>302</v>
      </c>
    </row>
    <row r="402" spans="2:5" ht="20" customHeight="1" x14ac:dyDescent="0.2">
      <c r="B402" s="30" t="str">
        <v>Value Missing</v>
      </c>
      <c r="C402" s="193" t="s">
        <v>303</v>
      </c>
      <c r="D402" s="314"/>
      <c r="E402" s="372" t="s">
        <v>304</v>
      </c>
    </row>
    <row r="403" spans="2:5" ht="20" customHeight="1" x14ac:dyDescent="0.2">
      <c r="B403" s="30" t="str">
        <v>Value Missing</v>
      </c>
      <c r="C403" s="193" t="s">
        <v>305</v>
      </c>
      <c r="D403" s="314"/>
      <c r="E403" s="372" t="s">
        <v>306</v>
      </c>
    </row>
    <row r="404" spans="2:5" ht="20" customHeight="1" x14ac:dyDescent="0.2">
      <c r="B404" s="30" t="str">
        <v>Value Missing</v>
      </c>
      <c r="C404" s="193" t="s">
        <v>307</v>
      </c>
      <c r="D404" s="314"/>
      <c r="E404" s="372" t="s">
        <v>308</v>
      </c>
    </row>
    <row r="405" spans="2:5" ht="20" customHeight="1" x14ac:dyDescent="0.2">
      <c r="B405" s="30" t="str">
        <v>Value Missing</v>
      </c>
      <c r="C405" s="193" t="s">
        <v>309</v>
      </c>
      <c r="D405" s="314"/>
      <c r="E405" s="372" t="s">
        <v>310</v>
      </c>
    </row>
    <row r="406" spans="2:5" ht="20" customHeight="1" x14ac:dyDescent="0.2">
      <c r="B406" s="30" t="str">
        <v>Value Missing</v>
      </c>
      <c r="C406" s="193" t="s">
        <v>311</v>
      </c>
      <c r="D406" s="314"/>
      <c r="E406" s="372" t="s">
        <v>312</v>
      </c>
    </row>
    <row r="407" spans="2:5" ht="20" customHeight="1" x14ac:dyDescent="0.2">
      <c r="B407" s="30" t="str">
        <v>Value Missing</v>
      </c>
      <c r="C407" s="193" t="s">
        <v>313</v>
      </c>
      <c r="D407" s="314"/>
      <c r="E407" s="372" t="s">
        <v>314</v>
      </c>
    </row>
    <row r="408" spans="2:5" ht="20" customHeight="1" x14ac:dyDescent="0.2">
      <c r="B408" s="30" t="str">
        <v>Value Missing</v>
      </c>
      <c r="C408" s="193" t="s">
        <v>315</v>
      </c>
      <c r="D408" s="314"/>
      <c r="E408" s="372" t="s">
        <v>316</v>
      </c>
    </row>
    <row r="409" spans="2:5" ht="20" customHeight="1" x14ac:dyDescent="0.2">
      <c r="B409" s="30" t="str">
        <v>Value Missing</v>
      </c>
      <c r="C409" s="193" t="s">
        <v>317</v>
      </c>
      <c r="D409" s="314"/>
      <c r="E409" s="372" t="s">
        <v>318</v>
      </c>
    </row>
    <row r="410" spans="2:5" ht="20" customHeight="1" x14ac:dyDescent="0.2">
      <c r="B410" s="30" t="str">
        <v>Value Missing</v>
      </c>
      <c r="C410" s="193" t="s">
        <v>319</v>
      </c>
      <c r="D410" s="314"/>
      <c r="E410" s="372" t="s">
        <v>320</v>
      </c>
    </row>
    <row r="411" spans="2:5" ht="20" customHeight="1" x14ac:dyDescent="0.2">
      <c r="B411" s="30" t="str">
        <v>Value Missing</v>
      </c>
      <c r="C411" s="193" t="s">
        <v>321</v>
      </c>
      <c r="D411" s="314"/>
      <c r="E411" s="372" t="s">
        <v>322</v>
      </c>
    </row>
    <row r="412" spans="2:5" ht="20" customHeight="1" x14ac:dyDescent="0.2">
      <c r="B412" s="30" t="str">
        <v>Value Missing</v>
      </c>
      <c r="C412" s="193" t="s">
        <v>323</v>
      </c>
      <c r="D412" s="314"/>
      <c r="E412" s="372" t="s">
        <v>324</v>
      </c>
    </row>
    <row r="413" spans="2:5" ht="20" customHeight="1" x14ac:dyDescent="0.2">
      <c r="B413" s="30" t="str">
        <v>Value Missing</v>
      </c>
      <c r="C413" s="193" t="s">
        <v>325</v>
      </c>
      <c r="D413" s="314"/>
      <c r="E413" s="372" t="s">
        <v>326</v>
      </c>
    </row>
    <row r="414" spans="2:5" ht="20" customHeight="1" x14ac:dyDescent="0.2">
      <c r="B414" s="30" t="str">
        <v>Value Missing</v>
      </c>
      <c r="C414" s="193" t="s">
        <v>327</v>
      </c>
      <c r="D414" s="314"/>
      <c r="E414" s="372" t="s">
        <v>328</v>
      </c>
    </row>
    <row r="415" spans="2:5" ht="20" customHeight="1" x14ac:dyDescent="0.2">
      <c r="B415" s="30" t="s">
        <v>981</v>
      </c>
      <c r="C415" s="193" t="s">
        <v>982</v>
      </c>
      <c r="D415" s="315" t="s">
        <v>982</v>
      </c>
      <c r="E415" s="373" t="str">
        <f>IF(AND((cluster_principal_storage_chosen="vSAN Compute Cluster"),(cluster_stretched_cluster_result="Included")),"If there is a defined disparity in connectivity between the Availability Zone use asymmetric","Inputs Masked out based deploy Deployment Options selected - Only required for vSAN Stretched Compute Clusters")</f>
        <v>Inputs Masked out based deploy Deployment Options selected - Only required for vSAN Stretched Compute Clusters</v>
      </c>
    </row>
    <row r="416" spans="2:5" ht="20" customHeight="1" x14ac:dyDescent="0.2">
      <c r="B416" s="30" t="s">
        <v>983</v>
      </c>
      <c r="C416" s="193" t="s">
        <v>984</v>
      </c>
      <c r="D416" s="315" t="s">
        <v>984</v>
      </c>
      <c r="E416" s="373" t="str">
        <f>IF(AND((cluster_principal_storage_chosen="vSAN Compute Cluster"),(cluster_stretched_cluster_result="Included")),"Configuring site coupling will help maintain data affinity from an AZ perspectibe between the compute cluster and the storage cluster fault domains","Inputs Masked out based deploy Deployment Options selected - Only required for vSAN Stretched Compute Clusters")</f>
        <v>Inputs Masked out based deploy Deployment Options selected - Only required for vSAN Stretched Compute Clusters</v>
      </c>
    </row>
    <row r="417" spans="2:5" ht="20" customHeight="1" x14ac:dyDescent="0.2">
      <c r="B417" s="30" t="s">
        <v>329</v>
      </c>
      <c r="C417" s="193" t="str">
        <f>IF(cluster_wld_domain_chosen="Workload Domain",CONCATENATE(this_instance,"02-",sample_cluster_name,"-r01-network-profile"),CONCATENATE(this_instance,"02-",sample_cluster_name,"-r01-network-profile"))</f>
        <v>sfo02-sfo-w01-cl02-r01-network-profile</v>
      </c>
      <c r="D417" s="315"/>
      <c r="E417" s="195"/>
    </row>
    <row r="418" spans="2:5" ht="20" customHeight="1" x14ac:dyDescent="0.2">
      <c r="B418" s="4" t="s">
        <v>330</v>
      </c>
      <c r="C418" s="65" t="s">
        <v>331</v>
      </c>
      <c r="D418" s="315" t="s">
        <v>331</v>
      </c>
      <c r="E418" s="8" t="str">
        <f>IF(AND(wld_az1_host_overlay_new_pool_chosen="Re-use an existing Pool",wld_host_overlay_addressing_chosen="Static IP Pool"),"An exisitng Pool will be reused for Host TEP assignment",IF(AND(wld_az1_host_overlay_new_pool_chosen="Create New Static IP Pool",wld_host_overlay_addressing_chosen="Static IP Pool"),"A new Pool will be created for Host TEP assignment",""))</f>
        <v>A new Pool will be created for Host TEP assignment</v>
      </c>
    </row>
    <row r="419" spans="2:5" ht="20" customHeight="1" x14ac:dyDescent="0.2">
      <c r="B419" s="30" t="s">
        <v>332</v>
      </c>
      <c r="C419" s="193" t="str">
        <f>IF(cluster_wld_domain_chosen="Workload Domain",CONCATENATE(this_instance,"02-w0",wld_domain_number_chosen,"-r01-ip-pool01-host"),CONCATENATE(this_instance,"02-m01","-r01-ip-pool01-host"))</f>
        <v>sfo02-w01-r01-ip-pool01-host</v>
      </c>
      <c r="D419" s="315"/>
      <c r="E419" s="195"/>
    </row>
    <row r="420" spans="2:5" ht="20" customHeight="1" x14ac:dyDescent="0.2">
      <c r="B420" s="30" t="s">
        <v>333</v>
      </c>
      <c r="C420" s="193" t="str">
        <f>IF(cluster_wld_domain_chosen="Workload Domain",CONCATENATE(this_instance,"02-w0",wld_domain_number_chosen,"-r01-uplink-profile-01"),CONCATENATE(this_instance,"02-m01","-r01-uplink-profile-01"))</f>
        <v>sfo02-w01-r01-uplink-profile-01</v>
      </c>
      <c r="D420" s="315"/>
      <c r="E420" s="195"/>
    </row>
    <row r="421" spans="2:5" ht="20" customHeight="1" x14ac:dyDescent="0.2">
      <c r="B421" s="23" t="s">
        <v>334</v>
      </c>
      <c r="C421" s="312" t="str">
        <f>IF(cluster_wld_domain_chosen="Workload Domain",CONCATENATE(prefix_wld_az2_vlan,"14"),CONCATENATE(prefix_mgmt_az2_vlan,"14"))</f>
        <v>1414</v>
      </c>
      <c r="D421" s="315"/>
      <c r="E421" s="195"/>
    </row>
    <row r="422" spans="2:5" ht="20" customHeight="1" x14ac:dyDescent="0.2">
      <c r="B422" s="4" t="s">
        <v>335</v>
      </c>
      <c r="C422" s="312" t="str">
        <f>IF(cluster_wld_domain_chosen="Workload Domain",CONCATENATE(prefix_wld_az2_cidr,"14.0/24"),CONCATENATE(prefix_mgmt_az2_cidr,"14.0/24"))</f>
        <v>10.14.14.0/24</v>
      </c>
      <c r="D422" s="316"/>
      <c r="E422" s="195"/>
    </row>
    <row r="423" spans="2:5" ht="20" customHeight="1" x14ac:dyDescent="0.2">
      <c r="B423" s="4" t="s">
        <v>336</v>
      </c>
      <c r="C423" s="312" t="str">
        <f>IF(cluster_wld_domain_chosen="Workload Domain",CONCATENATE(prefix_wld_az2_cidr,"14.1"),CONCATENATE(prefix_mgmt_az2_cidr,"14.1"))</f>
        <v>10.14.14.1</v>
      </c>
      <c r="D423" s="317"/>
      <c r="E423" s="195"/>
    </row>
    <row r="424" spans="2:5" ht="20" customHeight="1" x14ac:dyDescent="0.2">
      <c r="B424" s="4" t="s">
        <v>337</v>
      </c>
      <c r="C424" s="312">
        <v>9000</v>
      </c>
      <c r="D424" s="317"/>
      <c r="E424" s="195"/>
    </row>
    <row r="425" spans="2:5" ht="20" customHeight="1" x14ac:dyDescent="0.2">
      <c r="B425" s="30" t="s">
        <v>248</v>
      </c>
      <c r="C425" s="312" t="str">
        <f>IF(cluster_wld_domain_chosen="Workload Domain",CONCATENATE(prefix_wld_az2_cidr,"14.101"),CONCATENATE(prefix_mgmt_az2_cidr,"14.101"))</f>
        <v>10.14.14.101</v>
      </c>
      <c r="D425" s="317"/>
      <c r="E425" s="195"/>
    </row>
    <row r="426" spans="2:5" ht="20" customHeight="1" x14ac:dyDescent="0.2">
      <c r="B426" s="30" t="s">
        <v>249</v>
      </c>
      <c r="C426" s="312" t="str">
        <f>IF(cluster_wld_domain_chosen="Workload Domain",CONCATENATE(prefix_wld_az2_cidr,"14.132"),CONCATENATE(prefix_mgmt_az2_cidr,"14.132"))</f>
        <v>10.14.14.132</v>
      </c>
      <c r="D426" s="317"/>
      <c r="E426" s="195"/>
    </row>
    <row r="427" spans="2:5" ht="20" customHeight="1" x14ac:dyDescent="0.2">
      <c r="B427" s="30" t="s">
        <v>884</v>
      </c>
      <c r="C427" s="65" t="str">
        <f>sample_cluster_witness_fqdn</f>
        <v>sfo-w01-cl02-vsw01.sfo.rainpole.io</v>
      </c>
      <c r="D427" s="318" t="str">
        <f>cluster_witness_fqdn</f>
        <v>Value Missing</v>
      </c>
      <c r="E427" s="237"/>
    </row>
    <row r="428" spans="2:5" ht="20" customHeight="1" x14ac:dyDescent="0.2">
      <c r="B428" s="30" t="s">
        <v>342</v>
      </c>
      <c r="C428" s="65" t="str">
        <f>sample_cluster_witnessaz_mgmt_cidr</f>
        <v>10.21.10.0/24</v>
      </c>
      <c r="D428" s="318" t="str">
        <f>cluster_witnessaz_mgmt_cidr</f>
        <v>Value Missing</v>
      </c>
      <c r="E428" s="237"/>
    </row>
    <row r="429" spans="2:5" ht="20" customHeight="1" x14ac:dyDescent="0.2">
      <c r="B429" s="30" t="s">
        <v>340</v>
      </c>
      <c r="C429" s="65" t="str">
        <f>sample_cluster_witness_ip</f>
        <v>10.21.10.223</v>
      </c>
      <c r="D429" s="319" t="str">
        <f>cluster_witness_ip</f>
        <v>Value Missing</v>
      </c>
      <c r="E429" s="195"/>
    </row>
    <row r="430" spans="2:5" ht="20" customHeight="1" x14ac:dyDescent="0.2">
      <c r="B430" s="30" t="s">
        <v>343</v>
      </c>
      <c r="C430" s="193" t="s">
        <v>344</v>
      </c>
      <c r="D430" s="315"/>
      <c r="E430" s="195" t="s">
        <v>345</v>
      </c>
    </row>
    <row r="431" spans="2:5" ht="20" customHeight="1" x14ac:dyDescent="0.2">
      <c r="B431" s="620"/>
      <c r="C431" s="620"/>
      <c r="D431" s="620"/>
      <c r="E431" s="620"/>
    </row>
    <row r="432" spans="2:5" ht="34" customHeight="1" x14ac:dyDescent="0.2">
      <c r="B432" s="617" t="s">
        <v>3557</v>
      </c>
      <c r="C432" s="618"/>
      <c r="D432" s="618"/>
      <c r="E432" s="619"/>
    </row>
    <row r="433" spans="2:5" ht="20" customHeight="1" x14ac:dyDescent="0.2">
      <c r="B433" s="614" t="s">
        <v>346</v>
      </c>
      <c r="C433" s="615"/>
      <c r="D433" s="615"/>
      <c r="E433" s="616"/>
    </row>
    <row r="434" spans="2:5" ht="20" customHeight="1" x14ac:dyDescent="0.2">
      <c r="B434" s="63" t="s">
        <v>18</v>
      </c>
      <c r="C434" s="63" t="s">
        <v>19</v>
      </c>
      <c r="D434" s="63" t="s">
        <v>20</v>
      </c>
      <c r="E434" s="63" t="s">
        <v>21</v>
      </c>
    </row>
    <row r="435" spans="2:5" ht="20" customHeight="1" x14ac:dyDescent="0.2">
      <c r="B435" s="30" t="s">
        <v>347</v>
      </c>
      <c r="C435" s="193" t="str">
        <f>IF(cluster_wld_domain_chosen="Workload Domain",CONCATENATE(this_instance,"-w0",wld_domain_number_chosen,"-nsx01",".",sample_child_dns_zone),CONCATENATE(this_instance,"-m01-nsx01",".",sample_child_dns_zone))</f>
        <v>sfo-w01-nsx01.sfo.rainpole.io</v>
      </c>
      <c r="D435" s="315"/>
      <c r="E435" s="313"/>
    </row>
    <row r="436" spans="2:5" ht="20" customHeight="1" x14ac:dyDescent="0.2">
      <c r="B436" s="614" t="s">
        <v>348</v>
      </c>
      <c r="C436" s="615"/>
      <c r="D436" s="615"/>
      <c r="E436" s="616"/>
    </row>
    <row r="437" spans="2:5" ht="20" customHeight="1" x14ac:dyDescent="0.2">
      <c r="B437" s="63" t="s">
        <v>18</v>
      </c>
      <c r="C437" s="63" t="s">
        <v>19</v>
      </c>
      <c r="D437" s="63" t="s">
        <v>20</v>
      </c>
      <c r="E437" s="63" t="s">
        <v>21</v>
      </c>
    </row>
    <row r="438" spans="2:5" ht="20" customHeight="1" x14ac:dyDescent="0.2">
      <c r="B438" s="30" t="s">
        <v>347</v>
      </c>
      <c r="C438" s="193" t="str">
        <f>sample_cluster_nsxt_vip_fqdn</f>
        <v>sfo-w01-nsx01.sfo.rainpole.io</v>
      </c>
      <c r="D438" s="318" t="str">
        <f t="array" ref="D438">cluster_nsxt_vip_fqdn</f>
        <v>Value Missing</v>
      </c>
      <c r="E438" s="30"/>
    </row>
    <row r="439" spans="2:5" ht="20" customHeight="1" x14ac:dyDescent="0.2">
      <c r="B439" s="30" t="s">
        <v>349</v>
      </c>
      <c r="C439" s="193" t="str">
        <f>IF(cluster_wld_domain_chosen="Workload Domain",IF(mgmt_nsxt_federation_result="Included","65202","65102"),IF(mgmt_nsxt_federation_result="Excluded","65101","65201"))</f>
        <v>65102</v>
      </c>
      <c r="D439" s="314"/>
      <c r="E439" s="30"/>
    </row>
    <row r="440" spans="2:5" ht="20" customHeight="1" x14ac:dyDescent="0.2">
      <c r="B440" s="614" t="s">
        <v>350</v>
      </c>
      <c r="C440" s="615"/>
      <c r="D440" s="615"/>
      <c r="E440" s="616"/>
    </row>
    <row r="441" spans="2:5" ht="20" customHeight="1" x14ac:dyDescent="0.2">
      <c r="B441" s="63" t="s">
        <v>18</v>
      </c>
      <c r="C441" s="63" t="s">
        <v>19</v>
      </c>
      <c r="D441" s="63" t="s">
        <v>20</v>
      </c>
      <c r="E441" s="63" t="s">
        <v>21</v>
      </c>
    </row>
    <row r="442" spans="2:5" ht="20" customHeight="1" x14ac:dyDescent="0.2">
      <c r="B442" s="30" t="s">
        <v>347</v>
      </c>
      <c r="C442" s="303" t="str">
        <f>sample_cluster_nsxt_vip_fqdn</f>
        <v>sfo-w01-nsx01.sfo.rainpole.io</v>
      </c>
      <c r="D442" s="318" t="str">
        <f t="array" ref="D442">cluster_nsxt_vip_fqdn</f>
        <v>Value Missing</v>
      </c>
      <c r="E442" s="237"/>
    </row>
    <row r="443" spans="2:5" ht="20" customHeight="1" x14ac:dyDescent="0.2">
      <c r="B443" s="30" t="s">
        <v>351</v>
      </c>
      <c r="C443" s="193" t="str">
        <f>IF(cluster_wld_domain_chosen="Workload Domain",CONCATENATE(prefix_mgmt_az1_cidr,"17.11"),CONCATENATE(prefix_wld_az1_cidr,"17.11"))</f>
        <v>10.11.17.11</v>
      </c>
      <c r="D443" s="315"/>
      <c r="E443" s="195" t="s">
        <v>165</v>
      </c>
    </row>
    <row r="444" spans="2:5" ht="20" customHeight="1" x14ac:dyDescent="0.2">
      <c r="B444" s="30" t="s">
        <v>352</v>
      </c>
      <c r="C444" s="193" t="str">
        <f>IF(cluster_wld_domain_chosen="Workload Domain",CONCATENATE(asn_start,asn_instance,asn_mgmt_az2,1),CONCATENATE(asn_start,asn_instance,asn_wld_az2,1))</f>
        <v>65121</v>
      </c>
      <c r="D444" s="315"/>
      <c r="E444" s="195" t="s">
        <v>166</v>
      </c>
    </row>
    <row r="445" spans="2:5" ht="20" customHeight="1" x14ac:dyDescent="0.2">
      <c r="B445" s="30" t="s">
        <v>353</v>
      </c>
      <c r="C445" s="193" t="str">
        <f>IF(cluster_wld_domain_chosen="Workload Domain",CONCATENATE(prefix_mgmt_az1_cidr,"17.4/24"),CONCATENATE(prefix_wld_az1_cidr,"17.4/24"))</f>
        <v>10.11.17.4/24</v>
      </c>
      <c r="D445" s="314"/>
      <c r="E445" s="237"/>
    </row>
    <row r="446" spans="2:5" ht="20" customHeight="1" x14ac:dyDescent="0.2">
      <c r="B446" s="30" t="s">
        <v>354</v>
      </c>
      <c r="C446" s="193" t="str">
        <f>IF(cluster_wld_domain_chosen="Workload Domain",CONCATENATE(prefix_mgmt_az1_cidr,"17.5/24"),CONCATENATE(prefix_wld_az1_cidr,"17.5/24"))</f>
        <v>10.11.17.5/24</v>
      </c>
      <c r="D446" s="314"/>
      <c r="E446" s="237"/>
    </row>
    <row r="447" spans="2:5" ht="20" customHeight="1" x14ac:dyDescent="0.2">
      <c r="B447" s="30" t="s">
        <v>355</v>
      </c>
      <c r="C447" s="193" t="s">
        <v>31</v>
      </c>
      <c r="D447" s="315"/>
      <c r="E447" s="195" t="s">
        <v>167</v>
      </c>
    </row>
    <row r="448" spans="2:5" ht="20" customHeight="1" x14ac:dyDescent="0.2">
      <c r="B448" s="30" t="s">
        <v>356</v>
      </c>
      <c r="C448" s="193" t="str">
        <f>IF(cluster_wld_domain_chosen="Workload Domain",CONCATENATE(prefix_mgmt_az1_cidr,"18.11"),CONCATENATE(prefix_wld_az1_cidr,"18.11"))</f>
        <v>10.11.18.11</v>
      </c>
      <c r="D448" s="315"/>
      <c r="E448" s="195" t="s">
        <v>168</v>
      </c>
    </row>
    <row r="449" spans="2:5" ht="20" customHeight="1" x14ac:dyDescent="0.2">
      <c r="B449" s="30" t="s">
        <v>353</v>
      </c>
      <c r="C449" s="193" t="str">
        <f>IF(cluster_wld_domain_chosen="Workload Domain",CONCATENATE(prefix_mgmt_az1_cidr,"18.4/24"),CONCATENATE(prefix_wld_az1_cidr,"18.4/24"))</f>
        <v>10.11.18.4/24</v>
      </c>
      <c r="D449" s="314"/>
      <c r="E449" s="237"/>
    </row>
    <row r="450" spans="2:5" ht="20" customHeight="1" x14ac:dyDescent="0.2">
      <c r="B450" s="30" t="s">
        <v>354</v>
      </c>
      <c r="C450" s="193" t="str">
        <f>IF(cluster_wld_domain_chosen="Workload Domain",CONCATENATE(prefix_mgmt_az1_cidr,"18.5/24"),CONCATENATE(prefix_wld_az1_cidr,"18.5/24"))</f>
        <v>10.11.18.5/24</v>
      </c>
      <c r="D450" s="314"/>
      <c r="E450" s="237"/>
    </row>
    <row r="451" spans="2:5" ht="20" customHeight="1" x14ac:dyDescent="0.2">
      <c r="B451" s="30" t="s">
        <v>357</v>
      </c>
      <c r="C451" s="193" t="str">
        <f>IF(cluster_wld_domain_chosen="Workload Domain",CONCATENATE(asn_start,asn_instance,asn_mgmt_az2,1),CONCATENATE(asn_start,asn_instance,asn_wld_az2,1))</f>
        <v>65121</v>
      </c>
      <c r="D451" s="315"/>
      <c r="E451" s="195" t="s">
        <v>169</v>
      </c>
    </row>
    <row r="452" spans="2:5" ht="20" customHeight="1" x14ac:dyDescent="0.2">
      <c r="B452" s="30" t="s">
        <v>355</v>
      </c>
      <c r="C452" s="193" t="s">
        <v>31</v>
      </c>
      <c r="D452" s="315"/>
      <c r="E452" s="195" t="s">
        <v>170</v>
      </c>
    </row>
    <row r="453" spans="2:5" x14ac:dyDescent="0.2">
      <c r="B453" s="148"/>
      <c r="C453" s="47"/>
      <c r="D453" s="47"/>
      <c r="E453" s="47"/>
    </row>
  </sheetData>
  <sheetProtection algorithmName="SHA-512" hashValue="pH1Sb3ipmRGzKzesHi4rVsQSin4FeExQQDVWcLZfCEFJ6ENOep6QtzfcFE+sL1GyFUhCACplxVjIw81SS0VU6g==" saltValue="CGxPsnfP1SimEbF5j82JNg==" spinCount="100000" sheet="1" selectLockedCells="1"/>
  <mergeCells count="53">
    <mergeCell ref="B82:E82"/>
    <mergeCell ref="B318:E318"/>
    <mergeCell ref="B241:E241"/>
    <mergeCell ref="B189:E189"/>
    <mergeCell ref="B151:E151"/>
    <mergeCell ref="B150:E150"/>
    <mergeCell ref="B94:E94"/>
    <mergeCell ref="B253:E253"/>
    <mergeCell ref="B119:E119"/>
    <mergeCell ref="B121:E121"/>
    <mergeCell ref="B122:E122"/>
    <mergeCell ref="B136:E136"/>
    <mergeCell ref="B137:E137"/>
    <mergeCell ref="B200:E200"/>
    <mergeCell ref="B126:E126"/>
    <mergeCell ref="B127:E127"/>
    <mergeCell ref="B2:E2"/>
    <mergeCell ref="B3:E3"/>
    <mergeCell ref="B21:E21"/>
    <mergeCell ref="B23:E23"/>
    <mergeCell ref="B28:E28"/>
    <mergeCell ref="B46:E46"/>
    <mergeCell ref="B49:E49"/>
    <mergeCell ref="B60:E60"/>
    <mergeCell ref="B71:E71"/>
    <mergeCell ref="B16:E16"/>
    <mergeCell ref="B18:E18"/>
    <mergeCell ref="B131:E131"/>
    <mergeCell ref="B132:E132"/>
    <mergeCell ref="B170:E170"/>
    <mergeCell ref="B171:E171"/>
    <mergeCell ref="B440:E440"/>
    <mergeCell ref="B263:E263"/>
    <mergeCell ref="B265:E265"/>
    <mergeCell ref="B267:E267"/>
    <mergeCell ref="B272:E272"/>
    <mergeCell ref="B290:E290"/>
    <mergeCell ref="B294:E294"/>
    <mergeCell ref="B302:E302"/>
    <mergeCell ref="B310:E310"/>
    <mergeCell ref="B327:E327"/>
    <mergeCell ref="B352:E352"/>
    <mergeCell ref="B359:E359"/>
    <mergeCell ref="B236:E236"/>
    <mergeCell ref="B396:E396"/>
    <mergeCell ref="B433:E433"/>
    <mergeCell ref="B436:E436"/>
    <mergeCell ref="B390:E390"/>
    <mergeCell ref="B395:E395"/>
    <mergeCell ref="B431:E431"/>
    <mergeCell ref="B432:E432"/>
    <mergeCell ref="B385:E385"/>
    <mergeCell ref="B379:E379"/>
  </mergeCells>
  <conditionalFormatting sqref="B8 D8:E8 B11 D11:E11">
    <cfRule type="expression" dxfId="1537" priority="37">
      <formula>$E$8="Cause: Multi Rack Configuration is only supported with vSAN as Principal Storage or vSAN Compute Clusters"</formula>
    </cfRule>
  </conditionalFormatting>
  <conditionalFormatting sqref="B8:B14 D8:D14">
    <cfRule type="expression" dxfId="1536" priority="38">
      <formula>vcf_granular_option_chosen&lt;&gt;"Create Cluster"</formula>
    </cfRule>
  </conditionalFormatting>
  <conditionalFormatting sqref="B9 D9">
    <cfRule type="expression" dxfId="1535" priority="158">
      <formula>(cluster_compute_hosts_per_rack_chosen="Exclude")</formula>
    </cfRule>
    <cfRule type="expression" dxfId="1534" priority="159">
      <formula>(vcf_version_result="Excluded")</formula>
    </cfRule>
    <cfRule type="expression" dxfId="1533" priority="161">
      <formula>(vcf_version_chosen&lt;&gt;"Exclude")</formula>
    </cfRule>
  </conditionalFormatting>
  <conditionalFormatting sqref="B9">
    <cfRule type="expression" dxfId="1532" priority="95" stopIfTrue="1">
      <formula>AND((vcf_granular_option_chosen="Create Cluster"),(cluster_compute_hosts_per_rack_chosen="Exclude"))</formula>
    </cfRule>
  </conditionalFormatting>
  <conditionalFormatting sqref="B10 D10">
    <cfRule type="expression" dxfId="1531" priority="100">
      <formula>cluster_multi_rack_count_chosen="Exclude"</formula>
    </cfRule>
    <cfRule type="expression" dxfId="1530" priority="139" stopIfTrue="1">
      <formula>(vcf_version_result="Excluded")</formula>
    </cfRule>
    <cfRule type="expression" dxfId="1529" priority="154">
      <formula>(vcf_version_chosen&lt;&gt;"Exclude")</formula>
    </cfRule>
  </conditionalFormatting>
  <conditionalFormatting sqref="B10 D10:E10">
    <cfRule type="expression" dxfId="1528" priority="93">
      <formula>AND((cluster_chosen="Deploy a Single-Rack / Multi-Rack Layer 2 Cluster"),(cluster_multi_rack_count_chosen&lt;&gt;"Exclude"))</formula>
    </cfRule>
  </conditionalFormatting>
  <conditionalFormatting sqref="B10">
    <cfRule type="expression" dxfId="1527" priority="90">
      <formula>AND((cluster_chosen="Deploy a Multi-Rack Layer 3 Cluster"),(cluster_multi_rack_count_chosen="Exclude"))</formula>
    </cfRule>
  </conditionalFormatting>
  <conditionalFormatting sqref="B11 D11">
    <cfRule type="expression" dxfId="1526" priority="92">
      <formula>cluster_principal_storage_result="Excluded"</formula>
    </cfRule>
  </conditionalFormatting>
  <conditionalFormatting sqref="B11 D11:E11">
    <cfRule type="expression" dxfId="1525" priority="167">
      <formula>" =AND((cluster_chosen=""Deploy a Multi-Rack Layer 3 Cluster""),AND((cluster_principal_storage_chosen&lt;&gt;""vSAN-ESA""),(cluster_principal_storage_chosen&lt;&gt;""vSAN-OSA""),(cluster_principal_storage_chosen&lt;&gt;""vSAN Compute Cluster"")))"</formula>
    </cfRule>
  </conditionalFormatting>
  <conditionalFormatting sqref="B12">
    <cfRule type="expression" dxfId="1524" priority="223" stopIfTrue="1">
      <formula>cluster_secondary_storage_chosen="Exclude"</formula>
    </cfRule>
  </conditionalFormatting>
  <conditionalFormatting sqref="B12:B14">
    <cfRule type="expression" dxfId="1523" priority="222">
      <formula>cluster_secondary_storage_chosen&lt;&gt;"Exclude"</formula>
    </cfRule>
  </conditionalFormatting>
  <conditionalFormatting sqref="B13 D13">
    <cfRule type="expression" dxfId="1522" priority="81">
      <formula>cluster_az1_reuse_vcf_networkpool_result="Excluded"</formula>
    </cfRule>
  </conditionalFormatting>
  <conditionalFormatting sqref="B14 D14">
    <cfRule type="expression" dxfId="1521" priority="82" stopIfTrue="1">
      <formula>cluster_stretched_cluster_result="Excluded"</formula>
    </cfRule>
  </conditionalFormatting>
  <conditionalFormatting sqref="B14 D14:E14">
    <cfRule type="expression" dxfId="1520" priority="91">
      <formula>$E$14="Cause: Stretched Cluster is not supported with Multi Rack Layer 3 Cluster"</formula>
    </cfRule>
  </conditionalFormatting>
  <conditionalFormatting sqref="B12:E12">
    <cfRule type="expression" dxfId="1519" priority="179">
      <formula>AND((cluster_secondary_storage_chosen&lt;&gt;"Exclude"),(cluster_secondary_storage_result="Excluded"))</formula>
    </cfRule>
  </conditionalFormatting>
  <conditionalFormatting sqref="D8 B8">
    <cfRule type="expression" dxfId="1518" priority="173">
      <formula>cluster_chosen="Exclude"</formula>
    </cfRule>
  </conditionalFormatting>
  <conditionalFormatting sqref="D12 B12">
    <cfRule type="expression" dxfId="1517" priority="172">
      <formula>cluster_secondary_storage_chosen="Exclude"</formula>
    </cfRule>
  </conditionalFormatting>
  <conditionalFormatting sqref="D12">
    <cfRule type="expression" dxfId="1516" priority="165" stopIfTrue="1">
      <formula>cluster_secondary_storage_chosen="Exclude"</formula>
    </cfRule>
    <cfRule type="expression" dxfId="1515" priority="220">
      <formula>cluster_secondary_storage_chosen&lt;&gt;"Exclude"</formula>
    </cfRule>
    <cfRule type="expression" dxfId="1514" priority="227">
      <formula>AND((cluster_secondary_storage_result&lt;&gt;"Exclude"),(cluster_secondary_storage_result="Included"))</formula>
    </cfRule>
  </conditionalFormatting>
  <conditionalFormatting sqref="D12:D14">
    <cfRule type="expression" dxfId="1513" priority="205">
      <formula>(vcf_version_result="Excluded")</formula>
    </cfRule>
  </conditionalFormatting>
  <conditionalFormatting sqref="D13 B13">
    <cfRule type="expression" dxfId="1512" priority="221">
      <formula>cluster_az1_reuse_vcf_networkpool_chosen="Include"</formula>
    </cfRule>
  </conditionalFormatting>
  <conditionalFormatting sqref="D19 D24:D27 D29:D44 D48 D50:D59 D61:D70 D72:D81 D83:D92 D96:D117 D124 D129 D134 D139:D148 D153:D168 D173:D174 D179:D210 D212:D215 D217:D220 D222:D225 D227:D230 D232:D235 D237:D240 D242:D252 D254:D261 D268:D271 D273:D288 D292:D293 D295:D301 D303:D309 D311:D317 D319:D325 D329:D350 D354:D357 D362:D378 D381:D384 D387:D389 D392:D394 D399:D430 D435 D438:D439 D442:D452">
    <cfRule type="notContainsBlanks" dxfId="1510" priority="420">
      <formula>LEN(TRIM(D19))&gt;0</formula>
    </cfRule>
  </conditionalFormatting>
  <conditionalFormatting sqref="D30:D31">
    <cfRule type="expression" dxfId="1509" priority="83">
      <formula>AND((cluster_chosen="Deploy a Multi-Rack Layer 3 Cluster"),(cluster_compute_hosts_per_rack_chosen&lt;2))</formula>
    </cfRule>
  </conditionalFormatting>
  <conditionalFormatting sqref="D31">
    <cfRule type="expression" dxfId="1508" priority="17">
      <formula>cluster_compute_hosts_per_rack_chosen&lt;3</formula>
    </cfRule>
  </conditionalFormatting>
  <conditionalFormatting sqref="D32">
    <cfRule type="expression" dxfId="1507" priority="135">
      <formula>cluster_compute_hosts_per_rack_chosen&lt;4</formula>
    </cfRule>
  </conditionalFormatting>
  <conditionalFormatting sqref="D33">
    <cfRule type="expression" dxfId="1506" priority="136">
      <formula>cluster_compute_hosts_per_rack_chosen&lt;5</formula>
    </cfRule>
  </conditionalFormatting>
  <conditionalFormatting sqref="D34">
    <cfRule type="expression" dxfId="1505" priority="141">
      <formula>cluster_compute_hosts_per_rack_chosen&lt;6</formula>
    </cfRule>
  </conditionalFormatting>
  <conditionalFormatting sqref="D35">
    <cfRule type="expression" dxfId="1504" priority="142">
      <formula>cluster_compute_hosts_per_rack_chosen&lt;7</formula>
    </cfRule>
  </conditionalFormatting>
  <conditionalFormatting sqref="D36">
    <cfRule type="expression" dxfId="1503" priority="143">
      <formula>cluster_compute_hosts_per_rack_chosen&lt;8</formula>
    </cfRule>
  </conditionalFormatting>
  <conditionalFormatting sqref="D37">
    <cfRule type="expression" dxfId="1502" priority="144">
      <formula>cluster_compute_hosts_per_rack_chosen&lt;9</formula>
    </cfRule>
  </conditionalFormatting>
  <conditionalFormatting sqref="D38">
    <cfRule type="expression" dxfId="1501" priority="145">
      <formula>cluster_compute_hosts_per_rack_chosen&lt;10</formula>
    </cfRule>
  </conditionalFormatting>
  <conditionalFormatting sqref="D39">
    <cfRule type="expression" dxfId="1500" priority="146">
      <formula>cluster_compute_hosts_per_rack_chosen&lt;11</formula>
    </cfRule>
  </conditionalFormatting>
  <conditionalFormatting sqref="D40">
    <cfRule type="expression" dxfId="1499" priority="147">
      <formula>cluster_compute_hosts_per_rack_chosen&lt;12</formula>
    </cfRule>
  </conditionalFormatting>
  <conditionalFormatting sqref="D41">
    <cfRule type="expression" dxfId="1498" priority="148">
      <formula>cluster_compute_hosts_per_rack_chosen&lt;13</formula>
    </cfRule>
  </conditionalFormatting>
  <conditionalFormatting sqref="D42">
    <cfRule type="expression" dxfId="1497" priority="149">
      <formula>cluster_compute_hosts_per_rack_chosen&lt;14</formula>
    </cfRule>
  </conditionalFormatting>
  <conditionalFormatting sqref="D43">
    <cfRule type="expression" dxfId="1496" priority="150">
      <formula>cluster_compute_hosts_per_rack_chosen&lt;15</formula>
    </cfRule>
  </conditionalFormatting>
  <conditionalFormatting sqref="D44">
    <cfRule type="expression" dxfId="1495" priority="151">
      <formula>cluster_compute_hosts_per_rack_chosen&lt;16</formula>
    </cfRule>
  </conditionalFormatting>
  <conditionalFormatting sqref="D50:D59 D61:D70 D72:D81 D19">
    <cfRule type="expression" dxfId="1494" priority="152">
      <formula>cluster_result="Excluded"</formula>
    </cfRule>
  </conditionalFormatting>
  <conditionalFormatting sqref="D53 D55 D58:D59">
    <cfRule type="expression" dxfId="1493" priority="8">
      <formula>cluster_az1_vmotion_ip_scheme_chosen="IPv4"</formula>
    </cfRule>
  </conditionalFormatting>
  <conditionalFormatting sqref="D54 D56:D57">
    <cfRule type="expression" dxfId="1492" priority="7">
      <formula>cluster_az1_vmotion_ip_scheme_chosen="IPv6"</formula>
    </cfRule>
  </conditionalFormatting>
  <conditionalFormatting sqref="D60">
    <cfRule type="expression" dxfId="1491" priority="392">
      <formula>input_mgmt_principal_storage_chosen="VMFS on Fibre Channel (FC)"</formula>
    </cfRule>
    <cfRule type="expression" dxfId="1490" priority="393">
      <formula>mgmt_domain_existing_vcenter_chosen="Selected"</formula>
    </cfRule>
    <cfRule type="containsBlanks" dxfId="1488" priority="395">
      <formula>LEN(TRIM(D60))=0</formula>
    </cfRule>
    <cfRule type="notContainsBlanks" dxfId="1487" priority="396">
      <formula>LEN(TRIM(D60))&gt;0</formula>
    </cfRule>
  </conditionalFormatting>
  <conditionalFormatting sqref="D61:D70">
    <cfRule type="expression" dxfId="1486" priority="53">
      <formula>AND((cluster_principal_storage_chosen&lt;&gt;"vSAN-ESA"),(cluster_principal_storage_chosen&lt;&gt;"vSAN-OSA"),(cluster_principal_storage_chosen&lt;&gt;"vSAN Compute Cluster"))</formula>
    </cfRule>
  </conditionalFormatting>
  <conditionalFormatting sqref="D64 D66 D69:D70">
    <cfRule type="expression" dxfId="1485" priority="6">
      <formula>cluster_az1_principal_storage_ip_scheme_chosen="IPv4"</formula>
    </cfRule>
  </conditionalFormatting>
  <conditionalFormatting sqref="D65 D67:D68">
    <cfRule type="expression" dxfId="1484" priority="5">
      <formula>cluster_az1_principal_storage_ip_scheme_chosen="IPv6"</formula>
    </cfRule>
  </conditionalFormatting>
  <conditionalFormatting sqref="D72:D81">
    <cfRule type="expression" dxfId="1483" priority="206">
      <formula>cluster_secondary_storage_result="Excluded"</formula>
    </cfRule>
  </conditionalFormatting>
  <conditionalFormatting sqref="D75 D77 D80:D81">
    <cfRule type="expression" dxfId="1482" priority="4">
      <formula>cluster_az1_secondary_storage_ip_scheme_chosen="IPv4"</formula>
    </cfRule>
  </conditionalFormatting>
  <conditionalFormatting sqref="D76 D78:D79">
    <cfRule type="expression" dxfId="1481" priority="3">
      <formula>cluster_az1_secondary_storage_ip_scheme_chosen="IPv6"</formula>
    </cfRule>
  </conditionalFormatting>
  <conditionalFormatting sqref="D83:D92 D50:D59 D61:D70 D72:D81">
    <cfRule type="expression" dxfId="1480" priority="48">
      <formula>cluster_az1_reuse_vcf_networkpool_chosen="Re-use an existing VCF Network Pool"</formula>
    </cfRule>
  </conditionalFormatting>
  <conditionalFormatting sqref="D83:D92">
    <cfRule type="expression" dxfId="1479" priority="47">
      <formula>cluster_principal_storage_chosen&lt;&gt;"vSAN Storage Cluster"</formula>
    </cfRule>
  </conditionalFormatting>
  <conditionalFormatting sqref="D86 D88 D91:D92">
    <cfRule type="expression" dxfId="1478" priority="2">
      <formula>cluster_az1_storage_cluster_ip_scheme_chosen="IPv4"</formula>
    </cfRule>
  </conditionalFormatting>
  <conditionalFormatting sqref="D87 D89:D90">
    <cfRule type="expression" dxfId="1477" priority="1">
      <formula>cluster_az1_storage_cluster_ip_scheme_chosen="IPv6"</formula>
    </cfRule>
  </conditionalFormatting>
  <conditionalFormatting sqref="D98">
    <cfRule type="expression" dxfId="1476" priority="16">
      <formula>cluster_compute_hosts_per_rack_chosen&lt;3</formula>
    </cfRule>
  </conditionalFormatting>
  <conditionalFormatting sqref="D99">
    <cfRule type="expression" dxfId="1475" priority="115">
      <formula>cluster_compute_hosts_per_rack_chosen&lt;4</formula>
    </cfRule>
  </conditionalFormatting>
  <conditionalFormatting sqref="D100">
    <cfRule type="expression" dxfId="1474" priority="116">
      <formula>cluster_compute_hosts_per_rack_chosen&lt;5</formula>
    </cfRule>
  </conditionalFormatting>
  <conditionalFormatting sqref="D101">
    <cfRule type="expression" dxfId="1473" priority="123">
      <formula>cluster_compute_hosts_per_rack_chosen&lt;6</formula>
    </cfRule>
  </conditionalFormatting>
  <conditionalFormatting sqref="D102">
    <cfRule type="expression" dxfId="1472" priority="124">
      <formula>cluster_compute_hosts_per_rack_chosen&lt;7</formula>
    </cfRule>
  </conditionalFormatting>
  <conditionalFormatting sqref="D103">
    <cfRule type="expression" dxfId="1471" priority="125">
      <formula>cluster_compute_hosts_per_rack_chosen&lt;8</formula>
    </cfRule>
  </conditionalFormatting>
  <conditionalFormatting sqref="D104">
    <cfRule type="expression" dxfId="1470" priority="126">
      <formula>cluster_compute_hosts_per_rack_chosen&lt;9</formula>
    </cfRule>
  </conditionalFormatting>
  <conditionalFormatting sqref="D105">
    <cfRule type="expression" dxfId="1469" priority="127">
      <formula>cluster_compute_hosts_per_rack_chosen&lt;10</formula>
    </cfRule>
  </conditionalFormatting>
  <conditionalFormatting sqref="D106">
    <cfRule type="expression" dxfId="1468" priority="128">
      <formula>cluster_compute_hosts_per_rack_chosen&lt;11</formula>
    </cfRule>
  </conditionalFormatting>
  <conditionalFormatting sqref="D107">
    <cfRule type="expression" dxfId="1467" priority="129">
      <formula>cluster_compute_hosts_per_rack_chosen&lt;12</formula>
    </cfRule>
  </conditionalFormatting>
  <conditionalFormatting sqref="D108">
    <cfRule type="expression" dxfId="1466" priority="130">
      <formula>cluster_compute_hosts_per_rack_chosen&lt;13</formula>
    </cfRule>
  </conditionalFormatting>
  <conditionalFormatting sqref="D109">
    <cfRule type="expression" dxfId="1465" priority="131">
      <formula>cluster_compute_hosts_per_rack_chosen&lt;14</formula>
    </cfRule>
  </conditionalFormatting>
  <conditionalFormatting sqref="D110">
    <cfRule type="expression" dxfId="1464" priority="132">
      <formula>cluster_compute_hosts_per_rack_chosen&lt;15</formula>
    </cfRule>
  </conditionalFormatting>
  <conditionalFormatting sqref="D111">
    <cfRule type="expression" dxfId="1463" priority="133">
      <formula>cluster_compute_hosts_per_rack_chosen&lt;16</formula>
    </cfRule>
  </conditionalFormatting>
  <conditionalFormatting sqref="D113">
    <cfRule type="expression" dxfId="1462" priority="34">
      <formula>cluster_principal_storage_chosen="vSAN Storage Cluster"</formula>
    </cfRule>
  </conditionalFormatting>
  <conditionalFormatting sqref="D113:D114 D139 D141:D144">
    <cfRule type="expression" dxfId="1461" priority="200">
      <formula>AND((cluster_principal_storage_chosen&lt;&gt;"vSAN-OSA"),(cluster_principal_storage_chosen&lt;&gt;"vSAN-ESA"),(cluster_principal_storage_chosen&lt;&gt;"vSAN Storage Cluster"),(cluster_principal_storage_chosen&lt;&gt;"Compute Cluster"))</formula>
    </cfRule>
  </conditionalFormatting>
  <conditionalFormatting sqref="D117">
    <cfRule type="expression" dxfId="1460" priority="187">
      <formula>mgmt_domain_deployment_type_chosen="VMware vSphere Foundation"</formula>
    </cfRule>
  </conditionalFormatting>
  <conditionalFormatting sqref="D140">
    <cfRule type="expression" dxfId="1459" priority="35">
      <formula>cluster_principal_storage_chosen&lt;&gt;"vSAN Compute Cluster"</formula>
    </cfRule>
  </conditionalFormatting>
  <conditionalFormatting sqref="D142">
    <cfRule type="expression" dxfId="1458" priority="180">
      <formula>cluster_secondary_storage_chosen&lt;&gt;"vSAN Storage Client Network"</formula>
    </cfRule>
    <cfRule type="expression" dxfId="1457" priority="182">
      <formula>cluster_principal_storage_chosen="vSAN-OSA"</formula>
    </cfRule>
  </conditionalFormatting>
  <conditionalFormatting sqref="D143:D144">
    <cfRule type="expression" dxfId="1456" priority="183">
      <formula>cluster_principal_storage_chosen="vSAN-ESA"</formula>
    </cfRule>
  </conditionalFormatting>
  <conditionalFormatting sqref="D145">
    <cfRule type="expression" dxfId="1455" priority="174">
      <formula>cluster_principal_storage_chosen&lt;&gt;"VMFS on Fibre Channel (FC)"</formula>
    </cfRule>
  </conditionalFormatting>
  <conditionalFormatting sqref="D146:D148">
    <cfRule type="expression" dxfId="1454" priority="153">
      <formula>cluster_principal_storage_chosen&lt;&gt;"NFSv3"</formula>
    </cfRule>
  </conditionalFormatting>
  <conditionalFormatting sqref="D155">
    <cfRule type="expression" dxfId="1453" priority="15">
      <formula>cluster_compute_hosts_per_rack_chosen&lt;3</formula>
    </cfRule>
  </conditionalFormatting>
  <conditionalFormatting sqref="D156">
    <cfRule type="expression" dxfId="1452" priority="84">
      <formula>cluster_compute_hosts_per_rack_chosen&lt;4</formula>
    </cfRule>
  </conditionalFormatting>
  <conditionalFormatting sqref="D157">
    <cfRule type="expression" dxfId="1451" priority="101">
      <formula>cluster_compute_hosts_per_rack_chosen&lt;5</formula>
    </cfRule>
  </conditionalFormatting>
  <conditionalFormatting sqref="D158">
    <cfRule type="expression" dxfId="1450" priority="104">
      <formula>cluster_compute_hosts_per_rack_chosen&lt;6</formula>
    </cfRule>
  </conditionalFormatting>
  <conditionalFormatting sqref="D159">
    <cfRule type="expression" dxfId="1449" priority="105">
      <formula>cluster_compute_hosts_per_rack_chosen&lt;7</formula>
    </cfRule>
  </conditionalFormatting>
  <conditionalFormatting sqref="D160">
    <cfRule type="expression" dxfId="1448" priority="106">
      <formula>cluster_compute_hosts_per_rack_chosen&lt;8</formula>
    </cfRule>
  </conditionalFormatting>
  <conditionalFormatting sqref="D161">
    <cfRule type="expression" dxfId="1447" priority="107">
      <formula>cluster_compute_hosts_per_rack_chosen&lt;9</formula>
    </cfRule>
  </conditionalFormatting>
  <conditionalFormatting sqref="D162">
    <cfRule type="expression" dxfId="1446" priority="108">
      <formula>cluster_compute_hosts_per_rack_chosen&lt;10</formula>
    </cfRule>
  </conditionalFormatting>
  <conditionalFormatting sqref="D163">
    <cfRule type="expression" dxfId="1445" priority="109">
      <formula>cluster_compute_hosts_per_rack_chosen&lt;11</formula>
    </cfRule>
  </conditionalFormatting>
  <conditionalFormatting sqref="D164">
    <cfRule type="expression" dxfId="1444" priority="110">
      <formula>cluster_compute_hosts_per_rack_chosen&lt;12</formula>
    </cfRule>
  </conditionalFormatting>
  <conditionalFormatting sqref="D165">
    <cfRule type="expression" dxfId="1443" priority="111">
      <formula>cluster_compute_hosts_per_rack_chosen&lt;13</formula>
    </cfRule>
  </conditionalFormatting>
  <conditionalFormatting sqref="D166">
    <cfRule type="expression" dxfId="1442" priority="112">
      <formula>cluster_compute_hosts_per_rack_chosen&lt;14</formula>
    </cfRule>
  </conditionalFormatting>
  <conditionalFormatting sqref="D167">
    <cfRule type="expression" dxfId="1441" priority="113">
      <formula>cluster_compute_hosts_per_rack_chosen&lt;15</formula>
    </cfRule>
  </conditionalFormatting>
  <conditionalFormatting sqref="D168">
    <cfRule type="expression" dxfId="1440" priority="114">
      <formula>cluster_compute_hosts_per_rack_chosen&lt;16</formula>
    </cfRule>
  </conditionalFormatting>
  <conditionalFormatting sqref="D179:D210 D212:D215 D217:D220 D222:D225 D227:D230 D254:D261 D232:D235 D24:D27 D29:D44 D48 D96:D117 D124 D129 D134 D139:D148 D153:D168 D173:D174 D237:D240 D242:D252">
    <cfRule type="expression" dxfId="1439" priority="55">
      <formula>cluster_result="Excluded"</formula>
    </cfRule>
  </conditionalFormatting>
  <conditionalFormatting sqref="D179:D210 D237:D240 D242:D252 D254:D261 D212:D215 D227:D230 D72:D81 D96:D117 D139:D148 D232:D235 D19 D50:D59 D61:D70 D29:D44 D153:D168 D24:D27 D48 D124 D129 D134 D173:D174 D217:D220 D222:D225 D303:D309 D83:D92 D295:D301 D311:D317 D319:D325 D268:D271 D273:D288 D292:D293 D329:D350 D354:D357 D362:D378 D381:D384 D387:D389 D392:D394 D399:D430 D435 D438:D439 D442:D452">
    <cfRule type="containsBlanks" dxfId="1438" priority="323">
      <formula>LEN(TRIM(D19))=0</formula>
    </cfRule>
  </conditionalFormatting>
  <conditionalFormatting sqref="D180:D187 D213:D215 D218:D220 D223:D225 D228:D230 D254:D261 D233:D235 D237:D240 D242 D244:D252">
    <cfRule type="expression" dxfId="1437" priority="42">
      <formula>cluster_cl01_vds_copy_profile_chosen="Unselected"</formula>
    </cfRule>
  </conditionalFormatting>
  <conditionalFormatting sqref="D182:D185">
    <cfRule type="expression" dxfId="1436" priority="29">
      <formula>cluster_vds01_link_type_chosen="VDS Uplinks"</formula>
    </cfRule>
  </conditionalFormatting>
  <conditionalFormatting sqref="D187:D210 D179:D185">
    <cfRule type="expression" dxfId="1435" priority="322">
      <formula>wld_cl01_vds_profile_chosen="custom"</formula>
    </cfRule>
  </conditionalFormatting>
  <conditionalFormatting sqref="D189">
    <cfRule type="expression" dxfId="1434" priority="288">
      <formula>mgmt_host_overlay_addressing_chosen&lt;&gt;"IP Pool"</formula>
    </cfRule>
    <cfRule type="notContainsBlanks" dxfId="1433" priority="289" stopIfTrue="1">
      <formula>LEN(TRIM(D189))&gt;0</formula>
    </cfRule>
    <cfRule type="containsBlanks" dxfId="1432" priority="290">
      <formula>LEN(TRIM(D189))=0</formula>
    </cfRule>
  </conditionalFormatting>
  <conditionalFormatting sqref="D190:D199">
    <cfRule type="expression" dxfId="1431" priority="320" stopIfTrue="1">
      <formula>cluster_vds_profile_chosen="Custom"</formula>
    </cfRule>
    <cfRule type="expression" dxfId="1430" priority="321">
      <formula>cluster_vds_profile_chosen="Default"</formula>
    </cfRule>
  </conditionalFormatting>
  <conditionalFormatting sqref="D193:D196">
    <cfRule type="expression" dxfId="1429" priority="28">
      <formula>cluster_vds02_link_type_chosen="VDS Uplinks"</formula>
    </cfRule>
  </conditionalFormatting>
  <conditionalFormatting sqref="D201:D210">
    <cfRule type="expression" dxfId="1428" priority="59">
      <formula>cluster_vds_profile_chosen ="vSAN Max Storage Traffic Separation"</formula>
    </cfRule>
    <cfRule type="expression" dxfId="1427" priority="134">
      <formula>cluster_vds_profile_chosen="Custom"</formula>
    </cfRule>
    <cfRule type="expression" dxfId="1426" priority="184">
      <formula>cluster_vds_profile_chosen="NSX Traffic Separation"</formula>
    </cfRule>
    <cfRule type="expression" dxfId="1425" priority="315">
      <formula>cluster_vds_profile_chosen="Storage Traffic Separation"</formula>
    </cfRule>
    <cfRule type="expression" dxfId="1424" priority="316">
      <formula>cluster_vds_profile_chosen="Default"</formula>
    </cfRule>
  </conditionalFormatting>
  <conditionalFormatting sqref="D204:D207">
    <cfRule type="expression" dxfId="1423" priority="27">
      <formula>cluster_vds03_link_type_chosen="VDS Uplinks"</formula>
    </cfRule>
  </conditionalFormatting>
  <conditionalFormatting sqref="D212">
    <cfRule type="expression" dxfId="1422" priority="291">
      <formula>wld_cl01_vds_profile_chosen="custom"</formula>
    </cfRule>
  </conditionalFormatting>
  <conditionalFormatting sqref="D213:D215 D218:D220 D223:D225">
    <cfRule type="expression" dxfId="1421" priority="26">
      <formula>cluster_vds01_link_type_chosen="VDS Lag"</formula>
    </cfRule>
  </conditionalFormatting>
  <conditionalFormatting sqref="D227">
    <cfRule type="expression" dxfId="1420" priority="217">
      <formula>wld_cl01_vds_profile_chosen="custom"</formula>
    </cfRule>
  </conditionalFormatting>
  <conditionalFormatting sqref="D228:D230">
    <cfRule type="expression" dxfId="1419" priority="12">
      <formula>AND((cluster_vds_profile_chosen="vvSAN Max Storage Traffic Separation"),(cluster_vds02_link_type_chosen="VDS Lag"))</formula>
    </cfRule>
    <cfRule type="expression" dxfId="1418" priority="13">
      <formula>AND((cluster_vds_profile_chosen="vSAN Max Storage Traffic and NSX Traffic Separation"),(cluster_vds02_link_type_chosen="VDS Lag"))</formula>
    </cfRule>
    <cfRule type="expression" dxfId="1417" priority="22">
      <formula>AND((cluster_vds_profile_chosen="Default"),(cluster_vds01_link_type_chosen="VDS Lag"))</formula>
    </cfRule>
    <cfRule type="expression" dxfId="1416" priority="23">
      <formula>AND((cluster_vds_profile_chosen="NSX Traffic Separation"),(cluster_vds01_link_type_chosen="VDS Lag"))</formula>
    </cfRule>
    <cfRule type="expression" dxfId="1415" priority="24">
      <formula>AND((cluster_vds_profile_chosen="Storage Traffic and NSX Traffic Separation"),(cluster_vds02_link_type_chosen="VDS Lag"))</formula>
    </cfRule>
    <cfRule type="expression" dxfId="1414" priority="25">
      <formula>AND((cluster_vds_profile_chosen="Storage Traffic Separation"),(cluster_vds02_link_type_chosen="VDS Lag"))</formula>
    </cfRule>
  </conditionalFormatting>
  <conditionalFormatting sqref="D232">
    <cfRule type="expression" dxfId="1413" priority="198">
      <formula>wld_cl01_vds_profile_chosen="custom"</formula>
    </cfRule>
  </conditionalFormatting>
  <conditionalFormatting sqref="D232:D235">
    <cfRule type="expression" dxfId="1412" priority="14">
      <formula>cluster_secondary_storage_chosen="Exclude"</formula>
    </cfRule>
  </conditionalFormatting>
  <conditionalFormatting sqref="D233:D235">
    <cfRule type="expression" dxfId="1411" priority="11">
      <formula>cluster_vds01_link_type_chosen="VDS Lag"</formula>
    </cfRule>
  </conditionalFormatting>
  <conditionalFormatting sqref="D238">
    <cfRule type="expression" dxfId="1410" priority="306">
      <formula>cluster_nsx_default_operation_mode_chosen="Selected"</formula>
    </cfRule>
  </conditionalFormatting>
  <conditionalFormatting sqref="D242">
    <cfRule type="expression" dxfId="1409" priority="213">
      <formula>$D$174="Unselected"</formula>
    </cfRule>
  </conditionalFormatting>
  <conditionalFormatting sqref="D242:D251">
    <cfRule type="expression" dxfId="1408" priority="43">
      <formula>cluster_nsx_overlay_transport_zone_chosen="Unselected"</formula>
    </cfRule>
  </conditionalFormatting>
  <conditionalFormatting sqref="D245:D252 D254:D257">
    <cfRule type="expression" dxfId="1407" priority="185">
      <formula>cluster_host_overlay_addressing_chosen="DHCP"</formula>
    </cfRule>
  </conditionalFormatting>
  <conditionalFormatting sqref="D246 D258">
    <cfRule type="expression" dxfId="1406" priority="296">
      <formula>wld_host_overlay_addressing_chosen="DHCP"</formula>
    </cfRule>
  </conditionalFormatting>
  <conditionalFormatting sqref="D247:D252 D254:D257">
    <cfRule type="expression" dxfId="1405" priority="186">
      <formula>input_cluster_az1_host_overlay_new_pool_chosen="Re-use an existing Pool"</formula>
    </cfRule>
  </conditionalFormatting>
  <conditionalFormatting sqref="D252">
    <cfRule type="expression" dxfId="1404" priority="44">
      <formula>cluster_nsx_vlan_transport_zone_chosen="Unselected"</formula>
    </cfRule>
  </conditionalFormatting>
  <conditionalFormatting sqref="D259:D261">
    <cfRule type="expression" dxfId="1403" priority="9">
      <formula>AND((cluster_vds_profile_chosen="vSAN MAx Storage Traffic and NSX Traffic Separation"),(cluster_vds03_link_type_chosen="VDS Lag"))</formula>
    </cfRule>
    <cfRule type="expression" dxfId="1402" priority="10">
      <formula>AND((cluster_vds_profile_chosen="vSAN Max Storage Traffic Separation"),(cluster_vds01_link_type_chosen="VDS Lag"))</formula>
    </cfRule>
    <cfRule type="expression" dxfId="1401" priority="18">
      <formula>AND((cluster_vds_profile_chosen="Default"),(cluster_vds01_link_type_chosen="VDS Lag"))</formula>
    </cfRule>
    <cfRule type="expression" dxfId="1400" priority="19">
      <formula>AND((cluster_vds_profile_chosen="NSX Traffic Separation"),(cluster_vds02_link_type_chosen="VDS Lag"))</formula>
    </cfRule>
    <cfRule type="expression" dxfId="1399" priority="20">
      <formula>AND((cluster_vds_profile_chosen="Storage Traffic and NSX Traffic Separation"),(cluster_vds03_link_type_chosen="VDS Lag"))</formula>
    </cfRule>
    <cfRule type="expression" dxfId="1398" priority="21">
      <formula>AND((cluster_vds_profile_chosen="Storage Traffic Separation"),(cluster_vds01_link_type_chosen="VDS Lag"))</formula>
    </cfRule>
  </conditionalFormatting>
  <conditionalFormatting sqref="D268:D271 D273:D288 D292:D293 D295:D301 D303:D309 D311:D317 D319:D325 D329:D350 D354:D357 D362:D378 D381:D384 D387:D389 D392:D394 D399:D430 D435 D438:D439 D442:D452">
    <cfRule type="expression" dxfId="1397" priority="40">
      <formula>cluster_stretched_cluster_result="Excluded"</formula>
    </cfRule>
  </conditionalFormatting>
  <conditionalFormatting sqref="D295:D301 D303:D309 D311:D317 D319:D325">
    <cfRule type="expression" dxfId="1396" priority="46">
      <formula>cluster_az2_reuse_vcf_networkpool_chosen="Re-use an existing VCF Network Pool"</formula>
    </cfRule>
  </conditionalFormatting>
  <conditionalFormatting sqref="D303:D309">
    <cfRule type="expression" dxfId="1395" priority="52">
      <formula>AND((cluster_principal_storage_chosen&lt;&gt;"vSAN-ESA"),(cluster_principal_storage_chosen&lt;&gt;"vSAN-OSA"))</formula>
    </cfRule>
  </conditionalFormatting>
  <conditionalFormatting sqref="D319:D325">
    <cfRule type="expression" dxfId="1394" priority="45">
      <formula>cluster_principal_storage_chosen&lt;&gt;"vSAN Storage Cluster"</formula>
    </cfRule>
  </conditionalFormatting>
  <conditionalFormatting sqref="D415:D416">
    <cfRule type="expression" dxfId="1393" priority="31">
      <formula>OR((cluster_principal_storage_chosen&lt;&gt;"vSAN Compute Cluster"),(cluster_stretched_cluster_result&lt;&gt;"Included"))</formula>
    </cfRule>
  </conditionalFormatting>
  <conditionalFormatting sqref="D8:E8 B8">
    <cfRule type="expression" dxfId="1392" priority="168">
      <formula>$E$8="Cluster Deployment not selected on VCF &amp; VVF Planning Tab"</formula>
    </cfRule>
  </conditionalFormatting>
  <conditionalFormatting sqref="D8:E8">
    <cfRule type="expression" dxfId="1391" priority="39">
      <formula>$E$9="Required: Minimum Number of hosts must be selected"</formula>
    </cfRule>
  </conditionalFormatting>
  <conditionalFormatting sqref="D8:E9">
    <cfRule type="expression" dxfId="1389" priority="97">
      <formula>AND((cluster_compute_hosts_per_rack_chosen&lt;&gt;"Exclude"),(cluster_compute_hosts_per_rack_result="Excluded"))</formula>
    </cfRule>
  </conditionalFormatting>
  <conditionalFormatting sqref="D9:E10 B9:B10">
    <cfRule type="expression" dxfId="1388" priority="98">
      <formula>$E$9="Cause: Max number of Hosts per Cluster is 64."</formula>
    </cfRule>
  </conditionalFormatting>
  <conditionalFormatting sqref="E9">
    <cfRule type="expression" dxfId="1387" priority="160">
      <formula>vcf_version_result="Excluded"</formula>
    </cfRule>
  </conditionalFormatting>
  <conditionalFormatting sqref="E96:E111">
    <cfRule type="expression" dxfId="1386" priority="383">
      <formula>OR((wld_vlcm_model_result="Excluded"),(wld_vlcm_model_chosen="Baselines"))</formula>
    </cfRule>
  </conditionalFormatting>
  <dataValidations count="25">
    <dataValidation type="list" allowBlank="1" showInputMessage="1" showErrorMessage="1" sqref="D174 D144 D237 D239:D240" xr:uid="{3811AEB6-F2F0-EE48-9D3A-9674E5CA5224}">
      <formula1>"Selected,Unselected"</formula1>
    </dataValidation>
    <dataValidation type="list" allowBlank="1" showInputMessage="1" showErrorMessage="1" sqref="D143" xr:uid="{BF297065-A292-B94A-8A8D-34226032FCA6}">
      <formula1>storage_ftt</formula1>
    </dataValidation>
    <dataValidation type="list" allowBlank="1" showInputMessage="1" showErrorMessage="1" sqref="D214:D215 D219:D220 D224:D225 D229:D230 D234:D235" xr:uid="{DF9E634B-54CF-D84F-8B60-2A55CCED2116}">
      <formula1>"Active,Standby,Unused"</formula1>
    </dataValidation>
    <dataValidation type="list" allowBlank="1" showInputMessage="1" showErrorMessage="1" sqref="D213 D218 D223 D228 D233" xr:uid="{F2874E36-B5C6-5143-9B7D-C25981DE9BE7}">
      <formula1>"Route based on IP hash,Route based on source MAC hash,Route based on the source of the port ID,Use explicit failover order,Route Based on Physical NIC Load"</formula1>
    </dataValidation>
    <dataValidation type="list" allowBlank="1" showInputMessage="1" showErrorMessage="1" sqref="D259" xr:uid="{97DD5E61-671B-A049-BABD-72E1AD2758C2}">
      <formula1>"Load Balance Source,Failover Order,Load Balance Source MAC Address"</formula1>
    </dataValidation>
    <dataValidation type="list" allowBlank="1" showInputMessage="1" showErrorMessage="1" sqref="D238" xr:uid="{AF996C1F-71DF-274E-B2EF-8F204BB2F48C}">
      <formula1>"Standard,Enhanced Datapath Standard,Enhanced Datapath Dedicated"</formula1>
    </dataValidation>
    <dataValidation type="list" allowBlank="1" showInputMessage="1" showErrorMessage="1" sqref="D173" xr:uid="{2CFDEF2F-DDBC-254F-967A-6062966CD374}">
      <formula1>IF(cluster_secondary_storage_chosen="vSAN Storage Client Network",wld_cl01_vds_vsanmax_preconfigured_profiles,wld_cl01_vds_standard_preconfigured_profiles)</formula1>
    </dataValidation>
    <dataValidation type="list" allowBlank="1" showInputMessage="1" showErrorMessage="1" sqref="D244" xr:uid="{DE08ACB9-7989-E84E-8CB7-9C2BEFD1BB77}">
      <formula1>"DHCP,Static IP Pool"</formula1>
    </dataValidation>
    <dataValidation type="list" allowBlank="1" showInputMessage="1" showErrorMessage="1" sqref="B11" xr:uid="{7E4FA57C-784B-2B4B-AAEE-3D7F6BD7D784}">
      <formula1>table_vcf_version9x_cluster_storage_type</formula1>
    </dataValidation>
    <dataValidation type="list" allowBlank="1" showInputMessage="1" showErrorMessage="1" sqref="B12" xr:uid="{EBACAC01-9461-6146-A4D5-77C44D0F2D82}">
      <formula1>" Exclude,Secondary NFS Storage Network,vSAN Storage Client Network"</formula1>
    </dataValidation>
    <dataValidation type="list" allowBlank="1" showInputMessage="1" showErrorMessage="1" sqref="D245 D418" xr:uid="{B04A3CC5-A2AE-4149-B12B-B0EADD6BDF18}">
      <formula1>"Re-use an existing Pool,Create New Static IP Pool"</formula1>
    </dataValidation>
    <dataValidation type="list" allowBlank="1" showInputMessage="1" showErrorMessage="1" sqref="B14" xr:uid="{CB9AF8FC-75BF-B840-BAE1-8A478D3BAAB6}">
      <formula1>"Include,Exclude"</formula1>
    </dataValidation>
    <dataValidation type="list" allowBlank="1" showInputMessage="1" showErrorMessage="1" sqref="B8" xr:uid="{46402162-C398-744F-9813-2AEA8D0ED7E9}">
      <formula1>"Deploy a Single-Rack / Multi-Rack Layer 2 Cluster,Deploy a Multi-Rack Layer 3 Cluster"</formula1>
    </dataValidation>
    <dataValidation type="list" allowBlank="1" showInputMessage="1" showErrorMessage="1" sqref="B9" xr:uid="{6C8E78C8-E63B-BF4A-9E34-3590D0BB6FBE}">
      <formula1>"Exclude,1,2,3,4,5,6,7,8,9,10,11,12,13,14,15,16"</formula1>
    </dataValidation>
    <dataValidation type="list" allowBlank="1" showInputMessage="1" showErrorMessage="1" sqref="B10" xr:uid="{85FD78EA-8E70-3D4B-BC8C-F0F99D97D3EA}">
      <formula1>"Exclude,3,4,5,6,7"</formula1>
    </dataValidation>
    <dataValidation type="list" allowBlank="1" showInputMessage="1" showErrorMessage="1" sqref="B13 D292" xr:uid="{DB84F846-6867-3446-BB4D-65E6B02D5030}">
      <formula1>"Re-use an existing VCF Network Pool,Create a new VCF Network Pool"</formula1>
    </dataValidation>
    <dataValidation type="list" allowBlank="1" showInputMessage="1" showErrorMessage="1" sqref="D298 D314 D306 D371 D322" xr:uid="{27C3E5C4-FDD5-4748-A7D4-1787DC967E79}">
      <formula1>table_masks</formula1>
    </dataValidation>
    <dataValidation type="list" allowBlank="1" showInputMessage="1" showErrorMessage="1" sqref="D415" xr:uid="{75586F99-D106-CA46-B6D3-76D630620FEC}">
      <formula1>"Symmetric,Asymmetric"</formula1>
    </dataValidation>
    <dataValidation type="list" allowBlank="1" showInputMessage="1" showErrorMessage="1" sqref="D416" xr:uid="{623059D5-F95F-9640-BE3C-BB2D1B9E0644}">
      <formula1>"Primary,Secondary"</formula1>
    </dataValidation>
    <dataValidation type="list" allowBlank="1" showInputMessage="1" showErrorMessage="1" sqref="D181 D192 D203" xr:uid="{4E3965A0-3BF1-4E48-9CD1-E18FCB6D7359}">
      <formula1>"VDS Uplinks, VDS LAG"</formula1>
    </dataValidation>
    <dataValidation type="list" allowBlank="1" showInputMessage="1" showErrorMessage="1" sqref="D183 D194 D205" xr:uid="{6BE82285-977C-E949-A1FB-1C741920DEB2}">
      <formula1>"Active,Passive"</formula1>
    </dataValidation>
    <dataValidation type="list" allowBlank="1" showInputMessage="1" showErrorMessage="1" sqref="D184 D195 D206" xr:uid="{74FC30BA-D432-E841-AB37-5A965F16383C}">
      <formula1>lag_load_balancing</formula1>
    </dataValidation>
    <dataValidation type="list" allowBlank="1" showInputMessage="1" showErrorMessage="1" sqref="D185 D196 D207" xr:uid="{E9D0A69D-091F-E94F-857E-0748FAB5E088}">
      <formula1>"Slow,Fast"</formula1>
    </dataValidation>
    <dataValidation type="list" allowBlank="1" showInputMessage="1" showErrorMessage="1" sqref="D53 D64 D75 D86" xr:uid="{0C20DDD5-34DF-8C4D-BF5A-89B64738571F}">
      <formula1>"Static,DHCP,SLAAC"</formula1>
    </dataValidation>
    <dataValidation type="list" allowBlank="1" showInputMessage="1" showErrorMessage="1" sqref="D50 D61 D72 D83" xr:uid="{01BA80AB-0F5E-5647-AC31-5F06C49AC1BE}">
      <formula1>"IPv4,IPv6"</formula1>
    </dataValidation>
  </dataValidations>
  <pageMargins left="0.7" right="0.7" top="0.75" bottom="0.75" header="0.3" footer="0.3"/>
  <pageSetup paperSize="9" orientation="portrait" horizontalDpi="0" verticalDpi="0"/>
  <ignoredErrors>
    <ignoredError sqref="D143" numberStoredAsText="1"/>
  </ignoredErrors>
  <drawing r:id="rId1"/>
  <extLst>
    <ext xmlns:x14="http://schemas.microsoft.com/office/spreadsheetml/2009/9/main" uri="{78C0D931-6437-407d-A8EE-F0AAD7539E65}">
      <x14:conditionalFormattings>
        <x14:conditionalFormatting xmlns:xm="http://schemas.microsoft.com/office/excel/2006/main">
          <x14:cfRule type="containsText" priority="326" operator="containsText" id="{9A0BD65F-A1E4-AF45-9A88-63E1EA94DF01}">
            <xm:f>NOT(ISERROR(SEARCH("Value Missing",D19)))</xm:f>
            <xm:f>"Value Missing"</xm:f>
            <x14:dxf>
              <font>
                <color theme="1"/>
              </font>
              <fill>
                <patternFill>
                  <bgColor rgb="FFFFBE29"/>
                </patternFill>
              </fill>
            </x14:dxf>
          </x14:cfRule>
          <xm:sqref>D19 D24:D27 D29:D44 D48 D50:D59 D61:D70 D72:D81 D83:D92 D96:D117 D124 D129 D134 D139:D148 D153:D168 D173:D174 D179:D210 D212:D215 D217:D220 D222:D225 D227:D230 D232:D235 D237:D240 D242:D252 D254:D261 D268:D271 D273:D288 D292:D293 D295:D301 D303:D309 D311:D317 D319:D325 D329:D350 D354:D357 D362:D378 D381:D384 D387:D389 D392:D394 D399:D430 D435 D438:D439 D442:D452</xm:sqref>
        </x14:conditionalFormatting>
        <x14:conditionalFormatting xmlns:xm="http://schemas.microsoft.com/office/excel/2006/main">
          <x14:cfRule type="containsText" priority="394" stopIfTrue="1" operator="containsText" id="{0A385B47-D6E5-CB44-AB9F-5502ADAEE367}">
            <xm:f>NOT(ISERROR(SEARCH("Value Missing",D60)))</xm:f>
            <xm:f>"Value Missing"</xm:f>
            <x14:dxf>
              <font>
                <color rgb="FF0E223A"/>
              </font>
              <fill>
                <patternFill>
                  <bgColor rgb="FFFFBE29"/>
                </patternFill>
              </fill>
            </x14:dxf>
          </x14:cfRule>
          <xm:sqref>D60</xm:sqref>
        </x14:conditionalFormatting>
        <x14:conditionalFormatting xmlns:xm="http://schemas.microsoft.com/office/excel/2006/main">
          <x14:cfRule type="containsText" priority="169" operator="containsText" id="{4E80F383-D640-334E-973C-BAC697783004}">
            <xm:f>NOT(ISERROR(SEARCH("A new layer 3 cluster will be added to the chosen Workloaded Domain - Additional Racks Tab must also be filled out",D8)))</xm:f>
            <xm:f>"A new layer 3 cluster will be added to the chosen Workloaded Domain - Additional Racks Tab must also be filled out"</xm:f>
            <x14:dxf>
              <font>
                <color theme="1"/>
              </font>
              <fill>
                <patternFill>
                  <bgColor rgb="FFFFBE29"/>
                </patternFill>
              </fill>
            </x14:dxf>
          </x14:cfRule>
          <xm:sqref>D8:E8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49971-0C8D-2D4A-8DB1-228218BCE545}">
  <sheetPr codeName="Sheet21"/>
  <dimension ref="B1:C37"/>
  <sheetViews>
    <sheetView workbookViewId="0">
      <selection activeCell="C40" sqref="C40"/>
    </sheetView>
  </sheetViews>
  <sheetFormatPr baseColWidth="10" defaultRowHeight="16" x14ac:dyDescent="0.2"/>
  <cols>
    <col min="2" max="2" width="45.83203125" bestFit="1" customWidth="1"/>
    <col min="3" max="3" width="43.6640625" bestFit="1" customWidth="1"/>
  </cols>
  <sheetData>
    <row r="1" spans="2:3" x14ac:dyDescent="0.2">
      <c r="B1" t="s">
        <v>3613</v>
      </c>
      <c r="C1" t="s">
        <v>3614</v>
      </c>
    </row>
    <row r="2" spans="2:3" x14ac:dyDescent="0.2">
      <c r="B2" s="9" t="s">
        <v>3602</v>
      </c>
      <c r="C2" s="9" t="s">
        <v>3590</v>
      </c>
    </row>
    <row r="3" spans="2:3" x14ac:dyDescent="0.2">
      <c r="B3" s="9" t="s">
        <v>3603</v>
      </c>
      <c r="C3" s="9" t="s">
        <v>3591</v>
      </c>
    </row>
    <row r="4" spans="2:3" x14ac:dyDescent="0.2">
      <c r="B4" s="9" t="s">
        <v>3604</v>
      </c>
      <c r="C4" s="9" t="s">
        <v>3592</v>
      </c>
    </row>
    <row r="5" spans="2:3" x14ac:dyDescent="0.2">
      <c r="B5" s="9" t="s">
        <v>3605</v>
      </c>
      <c r="C5" s="9" t="s">
        <v>3593</v>
      </c>
    </row>
    <row r="6" spans="2:3" x14ac:dyDescent="0.2">
      <c r="B6" s="9" t="s">
        <v>3606</v>
      </c>
      <c r="C6" s="9" t="s">
        <v>3594</v>
      </c>
    </row>
    <row r="7" spans="2:3" x14ac:dyDescent="0.2">
      <c r="B7" s="9" t="s">
        <v>3607</v>
      </c>
      <c r="C7" s="9" t="s">
        <v>3595</v>
      </c>
    </row>
    <row r="8" spans="2:3" x14ac:dyDescent="0.2">
      <c r="B8" s="9" t="s">
        <v>3608</v>
      </c>
      <c r="C8" s="9" t="s">
        <v>3596</v>
      </c>
    </row>
    <row r="9" spans="2:3" x14ac:dyDescent="0.2">
      <c r="B9" s="9" t="s">
        <v>3609</v>
      </c>
      <c r="C9" s="9" t="s">
        <v>3597</v>
      </c>
    </row>
    <row r="10" spans="2:3" x14ac:dyDescent="0.2">
      <c r="B10" s="9" t="s">
        <v>3610</v>
      </c>
      <c r="C10" s="9" t="s">
        <v>3598</v>
      </c>
    </row>
    <row r="11" spans="2:3" x14ac:dyDescent="0.2">
      <c r="B11" s="9" t="s">
        <v>3611</v>
      </c>
      <c r="C11" s="9" t="s">
        <v>3599</v>
      </c>
    </row>
    <row r="12" spans="2:3" x14ac:dyDescent="0.2">
      <c r="B12" s="9" t="s">
        <v>3611</v>
      </c>
      <c r="C12" s="9" t="s">
        <v>3600</v>
      </c>
    </row>
    <row r="13" spans="2:3" x14ac:dyDescent="0.2">
      <c r="B13" s="9" t="s">
        <v>3612</v>
      </c>
      <c r="C13" s="9" t="s">
        <v>3601</v>
      </c>
    </row>
    <row r="14" spans="2:3" x14ac:dyDescent="0.2">
      <c r="B14" s="9" t="s">
        <v>3616</v>
      </c>
      <c r="C14" s="9" t="s">
        <v>3615</v>
      </c>
    </row>
    <row r="15" spans="2:3" x14ac:dyDescent="0.2">
      <c r="B15" s="9" t="s">
        <v>3617</v>
      </c>
      <c r="C15" s="9" t="s">
        <v>3603</v>
      </c>
    </row>
    <row r="16" spans="2:3" x14ac:dyDescent="0.2">
      <c r="B16" s="9" t="s">
        <v>3618</v>
      </c>
      <c r="C16" s="9" t="s">
        <v>3606</v>
      </c>
    </row>
    <row r="17" spans="2:3" x14ac:dyDescent="0.2">
      <c r="B17" s="9" t="s">
        <v>3619</v>
      </c>
      <c r="C17" s="9" t="s">
        <v>3620</v>
      </c>
    </row>
    <row r="18" spans="2:3" x14ac:dyDescent="0.2">
      <c r="B18" s="9" t="s">
        <v>3621</v>
      </c>
      <c r="C18" s="9" t="s">
        <v>3622</v>
      </c>
    </row>
    <row r="19" spans="2:3" x14ac:dyDescent="0.2">
      <c r="B19" s="9" t="s">
        <v>3623</v>
      </c>
      <c r="C19" s="9" t="s">
        <v>3624</v>
      </c>
    </row>
    <row r="20" spans="2:3" x14ac:dyDescent="0.2">
      <c r="B20" s="9" t="s">
        <v>3625</v>
      </c>
      <c r="C20" s="9" t="s">
        <v>3626</v>
      </c>
    </row>
    <row r="21" spans="2:3" x14ac:dyDescent="0.2">
      <c r="B21" s="9" t="s">
        <v>3627</v>
      </c>
      <c r="C21" s="9" t="s">
        <v>3628</v>
      </c>
    </row>
    <row r="22" spans="2:3" x14ac:dyDescent="0.2">
      <c r="B22" s="9" t="s">
        <v>3629</v>
      </c>
      <c r="C22" s="9" t="s">
        <v>3630</v>
      </c>
    </row>
    <row r="23" spans="2:3" x14ac:dyDescent="0.2">
      <c r="B23" s="9" t="s">
        <v>3631</v>
      </c>
      <c r="C23" s="9" t="s">
        <v>3632</v>
      </c>
    </row>
    <row r="24" spans="2:3" x14ac:dyDescent="0.2">
      <c r="B24" s="9" t="s">
        <v>3633</v>
      </c>
      <c r="C24" s="9" t="s">
        <v>3634</v>
      </c>
    </row>
    <row r="25" spans="2:3" x14ac:dyDescent="0.2">
      <c r="B25" s="9" t="s">
        <v>3635</v>
      </c>
      <c r="C25" s="9" t="s">
        <v>3636</v>
      </c>
    </row>
    <row r="26" spans="2:3" x14ac:dyDescent="0.2">
      <c r="B26" s="9" t="s">
        <v>3637</v>
      </c>
      <c r="C26" s="9" t="s">
        <v>3638</v>
      </c>
    </row>
    <row r="27" spans="2:3" x14ac:dyDescent="0.2">
      <c r="B27" s="9" t="s">
        <v>3639</v>
      </c>
      <c r="C27" s="9" t="s">
        <v>3640</v>
      </c>
    </row>
    <row r="28" spans="2:3" x14ac:dyDescent="0.2">
      <c r="B28" s="9" t="s">
        <v>3641</v>
      </c>
      <c r="C28" s="9" t="s">
        <v>3642</v>
      </c>
    </row>
    <row r="29" spans="2:3" x14ac:dyDescent="0.2">
      <c r="B29" s="9" t="s">
        <v>3645</v>
      </c>
      <c r="C29" s="9" t="s">
        <v>3647</v>
      </c>
    </row>
    <row r="30" spans="2:3" x14ac:dyDescent="0.2">
      <c r="B30" s="9" t="s">
        <v>3646</v>
      </c>
      <c r="C30" s="9" t="s">
        <v>3648</v>
      </c>
    </row>
    <row r="31" spans="2:3" x14ac:dyDescent="0.2">
      <c r="B31" s="9" t="s">
        <v>3644</v>
      </c>
      <c r="C31" s="9" t="s">
        <v>3643</v>
      </c>
    </row>
    <row r="32" spans="2:3" x14ac:dyDescent="0.2">
      <c r="B32" s="9" t="s">
        <v>3660</v>
      </c>
      <c r="C32" s="9" t="s">
        <v>3656</v>
      </c>
    </row>
    <row r="33" spans="2:3" x14ac:dyDescent="0.2">
      <c r="B33" s="9" t="s">
        <v>3661</v>
      </c>
      <c r="C33" s="9" t="s">
        <v>3657</v>
      </c>
    </row>
    <row r="34" spans="2:3" x14ac:dyDescent="0.2">
      <c r="B34" s="9" t="s">
        <v>3662</v>
      </c>
      <c r="C34" s="9" t="s">
        <v>3658</v>
      </c>
    </row>
    <row r="35" spans="2:3" x14ac:dyDescent="0.2">
      <c r="B35" s="9" t="s">
        <v>3663</v>
      </c>
      <c r="C35" s="9" t="s">
        <v>3659</v>
      </c>
    </row>
    <row r="36" spans="2:3" x14ac:dyDescent="0.2">
      <c r="B36" s="9" t="s">
        <v>3672</v>
      </c>
      <c r="C36" s="9" t="s">
        <v>3673</v>
      </c>
    </row>
    <row r="37" spans="2:3" x14ac:dyDescent="0.2">
      <c r="C37" s="9"/>
    </row>
  </sheetData>
  <sheetProtection algorithmName="SHA-512" hashValue="CkxKXOcog3ji78486liVipiawT2abOJb1UPbL+o0o/WWE0u4KBkr6Eg925bblDfauuYSe9Bh5RrVCMkG6UUjxA==" saltValue="ucCMZObUIuMp+CRluacl3w=="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732C6-4551-7E4C-9C98-306D32A434DF}">
  <sheetPr codeName="Sheet20"/>
  <dimension ref="A1:Z79"/>
  <sheetViews>
    <sheetView workbookViewId="0">
      <selection activeCell="B2" sqref="B2"/>
    </sheetView>
  </sheetViews>
  <sheetFormatPr baseColWidth="10" defaultRowHeight="16" x14ac:dyDescent="0.2"/>
  <cols>
    <col min="1" max="1" width="45.83203125" style="9" bestFit="1" customWidth="1"/>
    <col min="2" max="2" width="25.1640625" style="9" bestFit="1" customWidth="1"/>
    <col min="3" max="3" width="15.5" style="9" bestFit="1" customWidth="1"/>
    <col min="4" max="4" width="11.83203125" style="9" bestFit="1" customWidth="1"/>
    <col min="5" max="6" width="10.83203125" style="9" customWidth="1"/>
    <col min="7" max="22" width="10.83203125" style="9"/>
    <col min="23" max="23" width="23.6640625" style="9" bestFit="1" customWidth="1"/>
    <col min="24" max="24" width="30.6640625" style="9" bestFit="1" customWidth="1"/>
    <col min="25" max="25" width="10.83203125" style="9"/>
    <col min="26" max="26" width="60.83203125" style="9" bestFit="1" customWidth="1"/>
    <col min="27" max="16384" width="10.83203125" style="9"/>
  </cols>
  <sheetData>
    <row r="1" spans="1:26" x14ac:dyDescent="0.2">
      <c r="A1" s="375" t="s">
        <v>985</v>
      </c>
    </row>
    <row r="2" spans="1:26" x14ac:dyDescent="0.2">
      <c r="A2" s="9" t="s">
        <v>986</v>
      </c>
      <c r="B2" s="388">
        <v>91002</v>
      </c>
      <c r="W2" s="9" t="s">
        <v>3685</v>
      </c>
    </row>
    <row r="3" spans="1:26" ht="18" x14ac:dyDescent="0.2">
      <c r="A3" s="9" t="s">
        <v>987</v>
      </c>
      <c r="B3" s="9" t="str">
        <f>IF(flt_custom_network_chosen="Shared Management Network",IF(mgmt_dpg_reuse_result="Included",CONCATENATE(prefix_mgmt_az1_cidr,"10.0/24"),CONCATENATE(prefix_mgmt_az1_cidr,"11.0/24")),IF(flt_custom_network_chosen="Overlay",CONCATENATE(prefix_xreg_cidr,".0/24"),CONCATENATE(prefix_flt_shared_cidr,".0/24")))</f>
        <v>10.11.10.0/24</v>
      </c>
      <c r="W3" s="427" t="s">
        <v>766</v>
      </c>
      <c r="X3" s="428"/>
      <c r="Y3" s="428"/>
      <c r="Z3" s="429"/>
    </row>
    <row r="4" spans="1:26" x14ac:dyDescent="0.2">
      <c r="A4" s="9" t="s">
        <v>988</v>
      </c>
      <c r="B4" s="9" t="str">
        <f>IF(flt_custom_network_chosen="Shared Management Network",IF(mgmt_dpg_reuse_result="Included",CONCATENATE(prefix_mgmt_az1_cidr,"10.0"),CONCATENATE(prefix_mgmt_az1_cidr,"11.0")),IF(flt_custom_network_chosen="Overlay",CONCATENATE(prefix_xreg_cidr,".0"),CONCATENATE(prefix_flt_shared_cidr,".0")))</f>
        <v>10.11.10.0</v>
      </c>
      <c r="W4" s="424" t="s">
        <v>770</v>
      </c>
      <c r="X4" s="425"/>
      <c r="Y4" s="425"/>
      <c r="Z4" s="426"/>
    </row>
    <row r="5" spans="1:26" x14ac:dyDescent="0.2">
      <c r="A5" s="9" t="s">
        <v>989</v>
      </c>
      <c r="B5" s="9" t="str">
        <f>IF(flt_custom_network_chosen="Shared Management Network",IF(mgmt_dpg_reuse_result="Included",CONCATENATE(prefix_mgmt_az1_cidr,"10.1"),CONCATENATE(prefix_mgmt_az1_cidr,"11.1")),IF(flt_custom_network_chosen="Overlay",CONCATENATE(prefix_xreg_cidr,".1"),CONCATENATE(prefix_flt_shared_cidr,".1")))</f>
        <v>10.11.10.1</v>
      </c>
      <c r="W5" s="4" t="s">
        <v>771</v>
      </c>
      <c r="X5" s="65" t="str">
        <f>CONCATENATE("overlay-tz-",this_instance,"-m01-nsx01")</f>
        <v>overlay-tz-sfo-m01-nsx01</v>
      </c>
      <c r="Y5" s="66"/>
      <c r="Z5" s="8" t="str">
        <f>IF(mgmt_domain_existing_vcenter_chosen="Selected","Inputs are masked out as you have opted to import an existing vCenter Server",
IF(mgmt_cl01_vds_profile_chosen="Storage Traffic Separation","Overlay Traffic will be configured on Primary Distributed Switch",
IF(mgmt_cl01_vds_profile_chosen="NSX Traffic Separation","Overlay Traffic will be configured on Secondary Distributed Switch",
IF(mgmt_cl01_vds_profile_chosen="Storage Traffic and NSX Traffic Separation","Overlay Traffic will be configured on Tertiary Distributed Switch",
IF(mgmt_cl01_vds_profile_chosen="Custom","","Overlay Traffic will be configured on Primary Distributed Switch")))))</f>
        <v>Overlay Traffic will be configured on Primary Distributed Switch</v>
      </c>
    </row>
    <row r="6" spans="1:26" ht="17" x14ac:dyDescent="0.2">
      <c r="A6" s="9" t="s">
        <v>990</v>
      </c>
      <c r="B6" s="9" t="s">
        <v>126</v>
      </c>
      <c r="W6" s="4" t="s">
        <v>774</v>
      </c>
      <c r="X6" s="109" t="str">
        <f>CONCATENATE(this_instance,"01-m01","-r01-ip-pool01-host")</f>
        <v>sfo01-m01-r01-ip-pool01-host</v>
      </c>
      <c r="Y6" s="66"/>
      <c r="Z6" s="4" t="str">
        <f>IF(mgmt_host_overlay_addressing_chosen&lt;&gt;"IP Pool","This input is masked out and only required if configuring IP Pools for Host Overlay","")</f>
        <v/>
      </c>
    </row>
    <row r="7" spans="1:26" x14ac:dyDescent="0.2">
      <c r="A7" s="9" t="s">
        <v>991</v>
      </c>
      <c r="B7" s="9">
        <v>9000</v>
      </c>
      <c r="W7" s="4" t="s">
        <v>256</v>
      </c>
      <c r="X7" s="103" t="s">
        <v>775</v>
      </c>
      <c r="Y7" s="66"/>
      <c r="Z7" s="4" t="str">
        <f>IF(mgmt_host_overlay_addressing_chosen&lt;&gt;"IP Pool","This input is masked out and only required if configuring IP Pools for Host Overlay","")</f>
        <v/>
      </c>
    </row>
    <row r="8" spans="1:26" x14ac:dyDescent="0.2">
      <c r="A8" s="9" t="s">
        <v>992</v>
      </c>
      <c r="B8" s="9" t="str">
        <f>CONCATENATE(MID(B5, FIND(".",B5)+1, FIND(".",B5,FIND(".",B5)+1) - FIND(".",B5) - 1),MID(B5, FIND(".", B5, FIND(".", B5)+1)+1, FIND(".", B5, FIND(".", B5, FIND(".", B5)+1)+1) - (FIND(".", B5, FIND(".", B5)+1)+1) ))</f>
        <v>1110</v>
      </c>
    </row>
    <row r="9" spans="1:26" x14ac:dyDescent="0.2">
      <c r="W9" s="424" t="s">
        <v>3417</v>
      </c>
      <c r="X9" s="425"/>
      <c r="Y9" s="425"/>
      <c r="Z9" s="426"/>
    </row>
    <row r="10" spans="1:26" x14ac:dyDescent="0.2">
      <c r="A10" s="375" t="s">
        <v>993</v>
      </c>
      <c r="W10" s="4" t="s">
        <v>3419</v>
      </c>
      <c r="X10" s="65" t="s">
        <v>142</v>
      </c>
      <c r="Y10" s="66" t="s">
        <v>142</v>
      </c>
      <c r="Z10" s="8" t="str">
        <f>IF(mgmt_domain_password_creation_chosen="Selected","Inputs are masked out as you have opted to deploy with system generated passwords","")</f>
        <v>Inputs are masked out as you have opted to deploy with system generated passwords</v>
      </c>
    </row>
    <row r="11" spans="1:26" x14ac:dyDescent="0.2">
      <c r="A11" s="4" t="s">
        <v>994</v>
      </c>
      <c r="B11" s="103" t="str">
        <f>CONCATENATE(this_instance,".rainpole.io")</f>
        <v>sfo.rainpole.io</v>
      </c>
      <c r="C11" s="66"/>
    </row>
    <row r="12" spans="1:26" x14ac:dyDescent="0.2">
      <c r="A12" s="4" t="s">
        <v>995</v>
      </c>
      <c r="B12" s="103" t="str">
        <f>CONCATENATE(other_instance,".rainpole.io")</f>
        <v>lax.rainpole.io</v>
      </c>
      <c r="C12" s="66"/>
      <c r="W12" s="9" t="s">
        <v>3941</v>
      </c>
    </row>
    <row r="13" spans="1:26" x14ac:dyDescent="0.2">
      <c r="A13" s="4" t="s">
        <v>996</v>
      </c>
      <c r="B13" s="103" t="str">
        <f>IF(mgmt_dpg_reuse_result="Included",CONCATENATE(prefix_mgmt_az1_cidr,"10.4"),CONCATENATE(prefix_mgmt_az1_cidr,"11.4"))</f>
        <v>10.11.10.4</v>
      </c>
      <c r="C13" s="66"/>
      <c r="W13" s="421" t="s">
        <v>540</v>
      </c>
      <c r="X13" s="422"/>
      <c r="Y13" s="422"/>
      <c r="Z13" s="423"/>
    </row>
    <row r="14" spans="1:26" x14ac:dyDescent="0.2">
      <c r="A14" s="4" t="s">
        <v>997</v>
      </c>
      <c r="B14" s="103" t="str">
        <f>IF(mgmt_dpg_reuse_result="Included",CONCATENATE(prefix_mgmt_az1_cidr,"10.5"),CONCATENATE(prefix_mgmt_az1_cidr,"11.5"))</f>
        <v>10.11.10.5</v>
      </c>
      <c r="C14" s="66"/>
      <c r="W14" s="4" t="s">
        <v>541</v>
      </c>
      <c r="X14" s="122" t="s">
        <v>542</v>
      </c>
      <c r="Y14" s="66" t="s">
        <v>542</v>
      </c>
      <c r="Z14" s="8" t="str">
        <f>IF(vcf_automation_cert_type_chosen="Generate Certificate","Create a self signed cert in VMware Cloud Foundation Operations",IF(vcf_automation_cert_type_chosen="Import Certificate","Import a signed cert from your CA",""))</f>
        <v>Create a self signed cert in VMware Cloud Foundation Operations</v>
      </c>
    </row>
    <row r="15" spans="1:26" x14ac:dyDescent="0.2">
      <c r="A15" s="4" t="s">
        <v>998</v>
      </c>
      <c r="B15" s="103" t="str">
        <f>CONCATENATE(this_instance,"-ad01")</f>
        <v>sfo-ad01</v>
      </c>
      <c r="C15" s="66"/>
      <c r="W15" s="4" t="s">
        <v>543</v>
      </c>
      <c r="X15" s="122" t="str">
        <f>CONCATENATE(prefix_portable_component,"-auto01","-cert")</f>
        <v>flt-auto01-cert</v>
      </c>
      <c r="Y15" s="66"/>
      <c r="Z15" s="8"/>
    </row>
    <row r="16" spans="1:26" x14ac:dyDescent="0.2">
      <c r="A16" s="4" t="s">
        <v>999</v>
      </c>
      <c r="B16" s="103" t="s">
        <v>1000</v>
      </c>
      <c r="C16" s="66"/>
      <c r="W16" s="4" t="s">
        <v>544</v>
      </c>
      <c r="X16" s="122" t="str">
        <f>CONCATENATE(prefix_portable_component,"-auto01","-cert.pem")</f>
        <v>flt-auto01-cert.pem</v>
      </c>
      <c r="Y16" s="66"/>
      <c r="Z16" s="8"/>
    </row>
    <row r="17" spans="1:26" x14ac:dyDescent="0.2">
      <c r="A17" s="4" t="s">
        <v>1001</v>
      </c>
      <c r="B17" s="103">
        <v>25</v>
      </c>
      <c r="C17" s="66"/>
      <c r="W17" s="4" t="s">
        <v>545</v>
      </c>
      <c r="X17" s="122" t="str">
        <f>CONCATENATE(prefix_portable_component,"-auto01.",sample_parent_dns_zone)</f>
        <v>flt-auto01.rainpole.io</v>
      </c>
      <c r="Y17" s="66"/>
      <c r="Z17" s="8"/>
    </row>
    <row r="18" spans="1:26" x14ac:dyDescent="0.2">
      <c r="A18" s="4" t="s">
        <v>1002</v>
      </c>
      <c r="B18" s="103" t="str">
        <f>CONCATENATE("ntp.",this_instance,".rainpole.io")</f>
        <v>ntp.sfo.rainpole.io</v>
      </c>
      <c r="C18" s="66"/>
      <c r="W18" s="4" t="s">
        <v>546</v>
      </c>
      <c r="X18" s="122" t="s">
        <v>60</v>
      </c>
      <c r="Y18" s="66"/>
      <c r="Z18" s="8"/>
    </row>
    <row r="19" spans="1:26" x14ac:dyDescent="0.2">
      <c r="A19" s="4" t="s">
        <v>1003</v>
      </c>
      <c r="B19" s="103" t="str">
        <f>CONCATENATE("ntp.",other_instance,".rainpole.io")</f>
        <v>ntp.lax.rainpole.io</v>
      </c>
      <c r="C19" s="285"/>
      <c r="W19" s="4" t="s">
        <v>547</v>
      </c>
      <c r="X19" s="122" t="s">
        <v>62</v>
      </c>
      <c r="Y19" s="66"/>
      <c r="Z19" s="8"/>
    </row>
    <row r="20" spans="1:26" x14ac:dyDescent="0.2">
      <c r="A20" s="2"/>
      <c r="B20" s="10" t="str">
        <f>CONCATENATE(prefix_wld_az1_rack_cidr,"23.0/24")</f>
        <v>10.13.23.0/24</v>
      </c>
      <c r="C20" s="66"/>
      <c r="W20" s="4" t="s">
        <v>548</v>
      </c>
      <c r="X20" s="122" t="s">
        <v>64</v>
      </c>
      <c r="Y20" s="66"/>
      <c r="Z20" s="8"/>
    </row>
    <row r="21" spans="1:26" x14ac:dyDescent="0.2">
      <c r="A21" s="2"/>
      <c r="B21" s="10" t="str">
        <f>CONCATENATE(prefix_wld_az1_rack_cidr,"24.0/24")</f>
        <v>10.13.24.0/24</v>
      </c>
      <c r="C21" s="66"/>
      <c r="W21" s="4" t="s">
        <v>549</v>
      </c>
      <c r="X21" s="122" t="s">
        <v>68</v>
      </c>
      <c r="Y21" s="66"/>
      <c r="Z21" s="8"/>
    </row>
    <row r="22" spans="1:26" x14ac:dyDescent="0.2">
      <c r="A22" s="2"/>
      <c r="B22" s="10" t="str">
        <f>CONCATENATE(prefix_wld_az1_rack_cidr,"26.0/24")</f>
        <v>10.13.26.0/24</v>
      </c>
      <c r="C22" s="66"/>
      <c r="W22" s="4" t="s">
        <v>550</v>
      </c>
      <c r="X22" s="122" t="s">
        <v>66</v>
      </c>
      <c r="Y22" s="66"/>
      <c r="Z22" s="8"/>
    </row>
    <row r="23" spans="1:26" x14ac:dyDescent="0.2">
      <c r="A23" s="2"/>
      <c r="B23" s="10" t="str">
        <f>CONCATENATE(prefix_wld_az1_rack_cidr,"25.0/24")</f>
        <v>10.13.25.0/24</v>
      </c>
      <c r="C23" s="66"/>
      <c r="W23" s="4" t="s">
        <v>551</v>
      </c>
      <c r="X23" s="122">
        <v>4096</v>
      </c>
      <c r="Y23" s="66" t="s">
        <v>552</v>
      </c>
      <c r="Z23" s="8"/>
    </row>
    <row r="24" spans="1:26" x14ac:dyDescent="0.2">
      <c r="A24" s="2"/>
      <c r="B24" s="10" t="str">
        <f>CONCATENATE(prefix_wld_az1_rack_cidr,"34.0/24")</f>
        <v>10.13.34.0/24</v>
      </c>
      <c r="C24" s="66"/>
      <c r="W24" s="4" t="s">
        <v>554</v>
      </c>
      <c r="X24" s="65" t="str">
        <f>sample_vcf_automation_cert_alias</f>
        <v>flt-auto01-cert</v>
      </c>
      <c r="Y24" s="66"/>
      <c r="Z24" s="8"/>
    </row>
    <row r="25" spans="1:26" x14ac:dyDescent="0.2">
      <c r="A25" s="2"/>
      <c r="B25" s="10" t="str">
        <f>CONCATENATE(prefix_wld_az1_rack_cidr,"35.0/24")</f>
        <v>10.13.35.0/24</v>
      </c>
      <c r="C25" s="66"/>
      <c r="W25" s="421" t="s">
        <v>555</v>
      </c>
      <c r="X25" s="422"/>
      <c r="Y25" s="422"/>
      <c r="Z25" s="423"/>
    </row>
    <row r="26" spans="1:26" x14ac:dyDescent="0.2">
      <c r="A26" s="2"/>
      <c r="B26" s="10" t="str">
        <f>CONCATENATE(prefix_wld_az1_rack_cidr,"37.0/24")</f>
        <v>10.13.37.0/24</v>
      </c>
      <c r="C26" s="66"/>
      <c r="W26" s="4" t="s">
        <v>556</v>
      </c>
      <c r="X26" s="65" t="str">
        <f>sample_mgmt_vc_fqdn</f>
        <v>sfo-m01-vc01.sfo.rainpole.io</v>
      </c>
      <c r="Y26" s="8" t="str">
        <f>mgmt_vc_fqdn</f>
        <v>Value Missing</v>
      </c>
      <c r="Z26" s="8"/>
    </row>
    <row r="27" spans="1:26" x14ac:dyDescent="0.2">
      <c r="A27" s="2"/>
      <c r="B27" s="10" t="str">
        <f>CONCATENATE(prefix_wld_az1_rack_cidr,"36.0/24")</f>
        <v>10.13.36.0/24</v>
      </c>
      <c r="C27" s="66"/>
      <c r="W27" s="4" t="s">
        <v>557</v>
      </c>
      <c r="X27" s="65" t="str">
        <f>CONCATENATE(sample_mgmt_datacenter,"#",sample_mgmt_cl01_cluster)</f>
        <v>sfo-m01-dc01#sfo-m01-cl01</v>
      </c>
      <c r="Y27" s="66"/>
      <c r="Z27" s="8"/>
    </row>
    <row r="28" spans="1:26" x14ac:dyDescent="0.2">
      <c r="A28" s="2"/>
      <c r="B28" s="10" t="str">
        <f>CONCATENATE(prefix_wld_az1_rack_cidr,"45.0/24")</f>
        <v>10.13.45.0/24</v>
      </c>
      <c r="C28" s="66"/>
      <c r="W28" s="4" t="s">
        <v>558</v>
      </c>
      <c r="X28" s="65" t="str">
        <f>CONCATENATE(this_instance,"-m01-cl01-fd-vcfauto01")</f>
        <v>sfo-m01-cl01-fd-vcfauto01</v>
      </c>
      <c r="Y28" s="66"/>
      <c r="Z28" s="8" t="s">
        <v>559</v>
      </c>
    </row>
    <row r="29" spans="1:26" x14ac:dyDescent="0.2">
      <c r="A29" s="2"/>
      <c r="B29" s="10" t="str">
        <f>CONCATENATE(prefix_wld_az1_rack_cidr,"46.0/24")</f>
        <v>10.13.46.0/24</v>
      </c>
      <c r="C29" s="66"/>
      <c r="W29" s="4" t="s">
        <v>560</v>
      </c>
      <c r="X29" s="65" t="str">
        <f>CONCATENATE(this_instance,"-m01-cl01-rp-vcfauto01")</f>
        <v>sfo-m01-cl01-rp-vcfauto01</v>
      </c>
      <c r="Y29" s="66"/>
      <c r="Z29" s="8" t="s">
        <v>559</v>
      </c>
    </row>
    <row r="30" spans="1:26" x14ac:dyDescent="0.2">
      <c r="A30" s="2"/>
      <c r="B30" s="10" t="str">
        <f>CONCATENATE(prefix_wld_az1_rack_cidr,"48.0/24")</f>
        <v>10.13.48.0/24</v>
      </c>
      <c r="C30" s="66"/>
      <c r="W30" s="4" t="s">
        <v>561</v>
      </c>
      <c r="X30" s="65" t="str">
        <f>IF(OR(flt_custom_network_chosen="NSX Overlay segment",flt_custom_network_chosen="NSX VLAN segment"),CONCATENATE(prefix_portable_component,"-m01-seg01"),IF(flt_custom_network_chosen="Dedicated Management Network",CONCATENATE(this_instance,"-m01-cl01-vds01-pg-flt-mgmt"),CONCATENATE(this_instance,"-m01-cl01-vds01-pg-vm-mgmt")))</f>
        <v>sfo-m01-cl01-vds01-pg-vm-mgmt</v>
      </c>
      <c r="Y30" s="66"/>
      <c r="Z30" s="8" t="s">
        <v>559</v>
      </c>
    </row>
    <row r="31" spans="1:26" x14ac:dyDescent="0.2">
      <c r="A31" s="2"/>
      <c r="B31" s="10" t="str">
        <f>CONCATENATE(prefix_wld_az1_rack_cidr,"47.0/24")</f>
        <v>10.13.47.0/24</v>
      </c>
      <c r="C31" s="66"/>
      <c r="W31" s="4" t="s">
        <v>562</v>
      </c>
      <c r="X31" s="65" t="str">
        <f>sample_mgmt_cl01_vsan_datastore</f>
        <v>sfo-m01-cl01-ds-vsan01</v>
      </c>
      <c r="Y31" s="8"/>
      <c r="Z31" s="8"/>
    </row>
    <row r="32" spans="1:26" x14ac:dyDescent="0.2">
      <c r="A32" s="2"/>
      <c r="B32" s="10" t="str">
        <f>CONCATENATE(prefix_wld_az1_rack_cidr,"56.0/24")</f>
        <v>10.13.56.0/24</v>
      </c>
      <c r="C32" s="66"/>
      <c r="W32" s="421" t="s">
        <v>245</v>
      </c>
      <c r="X32" s="422"/>
      <c r="Y32" s="422"/>
      <c r="Z32" s="423"/>
    </row>
    <row r="33" spans="1:26" x14ac:dyDescent="0.2">
      <c r="A33" s="2"/>
      <c r="B33" s="10" t="str">
        <f>CONCATENATE(prefix_wld_az1_rack_cidr,"57.0/24")</f>
        <v>10.13.57.0/24</v>
      </c>
      <c r="C33" s="66"/>
      <c r="W33" s="4" t="s">
        <v>563</v>
      </c>
      <c r="X33" s="65" t="str">
        <f>sample_parent_dns_zone</f>
        <v>rainpole.io</v>
      </c>
      <c r="Y33" s="8" t="str">
        <f>parent_dns_zone</f>
        <v>Value Missing</v>
      </c>
      <c r="Z33" s="8"/>
    </row>
    <row r="34" spans="1:26" x14ac:dyDescent="0.2">
      <c r="A34" s="2"/>
      <c r="B34" s="10" t="str">
        <f>CONCATENATE(prefix_wld_az1_rack_cidr,"59.0/24")</f>
        <v>10.13.59.0/24</v>
      </c>
      <c r="C34" s="66"/>
      <c r="W34" s="4" t="s">
        <v>564</v>
      </c>
      <c r="X34" s="65" t="str">
        <f>sample_parent_dns_zone</f>
        <v>rainpole.io</v>
      </c>
      <c r="Y34" s="8" t="str">
        <f>parent_dns_zone</f>
        <v>Value Missing</v>
      </c>
      <c r="Z34" s="8"/>
    </row>
    <row r="35" spans="1:26" ht="17" x14ac:dyDescent="0.2">
      <c r="A35" s="2"/>
      <c r="B35" s="10" t="str">
        <f>CONCATENATE(prefix_wld_az1_rack_cidr,"58.0/24")</f>
        <v>10.13.58.0/24</v>
      </c>
      <c r="C35" s="66"/>
      <c r="W35" s="4" t="s">
        <v>565</v>
      </c>
      <c r="X35" s="154" t="str">
        <f>CONCATENATE(sample_region_dns1_ip,",",sample_region_dns2_ip)</f>
        <v>10.11.10.4,10.11.10.5</v>
      </c>
      <c r="Y35" s="8" t="str">
        <f>CONCATENATE(region_dns1_ip,",",region_dns2_ip)</f>
        <v>Value Missing,Value Missing</v>
      </c>
      <c r="Z35" s="8"/>
    </row>
    <row r="36" spans="1:26" ht="17" x14ac:dyDescent="0.2">
      <c r="A36" s="2"/>
      <c r="B36" s="10" t="str">
        <f>CONCATENATE(prefix_wld_az1_rack_cidr,"67.0/24")</f>
        <v>10.13.67.0/24</v>
      </c>
      <c r="C36" s="66"/>
      <c r="W36" s="4" t="s">
        <v>566</v>
      </c>
      <c r="X36" s="154" t="s">
        <v>567</v>
      </c>
      <c r="Y36" s="66" t="s">
        <v>567</v>
      </c>
      <c r="Z36" s="8"/>
    </row>
    <row r="37" spans="1:26" x14ac:dyDescent="0.2">
      <c r="A37" s="2"/>
      <c r="B37" s="10" t="str">
        <f>CONCATENATE(prefix_wld_az1_rack_cidr,"68.0/24")</f>
        <v>10.13.68.0/24</v>
      </c>
      <c r="C37" s="66"/>
      <c r="W37" s="4" t="s">
        <v>292</v>
      </c>
      <c r="X37" s="65" t="str">
        <f>CONCATENATE(sample_region_ntp1_server,",",sample_region_ntp2_server)</f>
        <v>ntp0.sfo.rainpole.io,ntp1.sfo.rainpole.io</v>
      </c>
      <c r="Y37" s="8" t="str">
        <f>CONCATENATE(region_ntp1_server,",",region_ntp2_server)</f>
        <v>Value Missing,Value Missing</v>
      </c>
      <c r="Z37" s="8"/>
    </row>
    <row r="38" spans="1:26" x14ac:dyDescent="0.2">
      <c r="A38" s="2"/>
      <c r="B38" s="10" t="str">
        <f>CONCATENATE(prefix_wld_az1_rack_cidr,"70.0/24")</f>
        <v>10.13.70.0/24</v>
      </c>
      <c r="C38" s="66"/>
      <c r="W38" s="4" t="s">
        <v>568</v>
      </c>
      <c r="X38" s="65" t="str">
        <f>IF(flt_custom_network_chosen="Shared Management Network",IF(mgmt_dpg_reuse_result="Included",CONCATENATE(prefix_mgmt_az1_cidr,"10.1"),CONCATENATE(prefix_mgmt_az1_cidr,"11.1")),IF(flt_custom_network_chosen="NSX Overlay Segment",CONCATENATE(prefix_xreg_cidr,".1"),CONCATENATE(prefix_flt_shared_cidr,".1")))</f>
        <v>10.11.10.1</v>
      </c>
      <c r="Y38" s="8"/>
      <c r="Z38" s="8"/>
    </row>
    <row r="39" spans="1:26" x14ac:dyDescent="0.2">
      <c r="A39" s="2"/>
      <c r="B39" s="10" t="str">
        <f>CONCATENATE(prefix_wld_az1_rack_cidr,"69.0/24")</f>
        <v>10.13.69.0/24</v>
      </c>
      <c r="C39" s="66"/>
      <c r="W39" s="4" t="s">
        <v>569</v>
      </c>
      <c r="X39" s="65" t="s">
        <v>126</v>
      </c>
      <c r="Y39" s="8"/>
      <c r="Z39" s="8"/>
    </row>
    <row r="40" spans="1:26" x14ac:dyDescent="0.2">
      <c r="A40" s="2"/>
      <c r="B40" s="10" t="str">
        <f>CONCATENATE(prefix_wld_az1_rack_cidr,"78.0/24")</f>
        <v>10.13.78.0/24</v>
      </c>
      <c r="C40" s="66"/>
      <c r="W40" s="421" t="s">
        <v>570</v>
      </c>
      <c r="X40" s="422"/>
      <c r="Y40" s="422"/>
      <c r="Z40" s="423"/>
    </row>
    <row r="41" spans="1:26" x14ac:dyDescent="0.2">
      <c r="A41" s="2"/>
      <c r="B41" s="10" t="str">
        <f>CONCATENATE(prefix_wld_az1_rack_cidr,"79.0/24")</f>
        <v>10.13.79.0/24</v>
      </c>
      <c r="C41" s="66"/>
      <c r="W41" s="23" t="s">
        <v>571</v>
      </c>
      <c r="X41" s="334" t="s">
        <v>572</v>
      </c>
      <c r="Y41" s="335"/>
      <c r="Z41" s="8"/>
    </row>
    <row r="42" spans="1:26" x14ac:dyDescent="0.2">
      <c r="A42" s="2"/>
      <c r="B42" s="10" t="str">
        <f>CONCATENATE(prefix_wld_az1_rack_cidr,"81.0/24")</f>
        <v>10.13.81.0/24</v>
      </c>
      <c r="C42" s="66"/>
      <c r="W42" s="30" t="s">
        <v>573</v>
      </c>
      <c r="X42" s="336" t="s">
        <v>574</v>
      </c>
      <c r="Y42" s="335"/>
      <c r="Z42" s="8"/>
    </row>
    <row r="43" spans="1:26" x14ac:dyDescent="0.2">
      <c r="A43" s="2"/>
      <c r="B43" s="10" t="str">
        <f>CONCATENATE(prefix_wld_az1_rack_cidr,"80.0/24")</f>
        <v>10.13.80.0/24</v>
      </c>
      <c r="C43" s="66"/>
      <c r="W43" s="30" t="s">
        <v>575</v>
      </c>
      <c r="X43" s="336" t="s">
        <v>422</v>
      </c>
      <c r="Y43" s="335"/>
      <c r="Z43" s="8"/>
    </row>
    <row r="44" spans="1:26" x14ac:dyDescent="0.2">
      <c r="A44" s="2"/>
      <c r="B44" s="10" t="str">
        <f>CONCATENATE(prefix_wld_az1_rack_cidr,"89.0/24")</f>
        <v>10.13.89.0/24</v>
      </c>
      <c r="C44" s="66"/>
      <c r="W44" s="4" t="s">
        <v>576</v>
      </c>
      <c r="X44" s="122" t="str">
        <f>CONCATENATE(prefix_portable_component,"-auto01","-password")</f>
        <v>flt-auto01-password</v>
      </c>
      <c r="Y44" s="66"/>
      <c r="Z44" s="8"/>
    </row>
    <row r="45" spans="1:26" x14ac:dyDescent="0.2">
      <c r="A45" s="2"/>
      <c r="B45" s="10" t="str">
        <f>CONCATENATE(prefix_wld_az1_rack_cidr,"90.0/24")</f>
        <v>10.13.90.0/24</v>
      </c>
      <c r="C45" s="66"/>
      <c r="W45" s="4" t="s">
        <v>527</v>
      </c>
      <c r="X45" s="122" t="s">
        <v>139</v>
      </c>
      <c r="Y45" s="66"/>
      <c r="Z45" s="8"/>
    </row>
    <row r="46" spans="1:26" x14ac:dyDescent="0.2">
      <c r="A46" s="2"/>
      <c r="B46" s="10" t="str">
        <f>CONCATENATE(prefix_wld_az1_rack_cidr,"92.0/24")</f>
        <v>10.13.92.0/24</v>
      </c>
      <c r="C46" s="66"/>
      <c r="W46" s="4" t="s">
        <v>577</v>
      </c>
      <c r="X46" s="122" t="s">
        <v>578</v>
      </c>
      <c r="Y46" s="66"/>
      <c r="Z46" s="8"/>
    </row>
    <row r="47" spans="1:26" x14ac:dyDescent="0.2">
      <c r="A47" s="2"/>
      <c r="B47" s="10" t="str">
        <f>CONCATENATE(prefix_wld_az1_rack_cidr,"91.0/24")</f>
        <v>10.13.91.0/24</v>
      </c>
      <c r="C47" s="66"/>
      <c r="W47" s="4" t="s">
        <v>579</v>
      </c>
      <c r="X47" s="108" t="s">
        <v>262</v>
      </c>
      <c r="Y47" s="107"/>
      <c r="Z47" s="8"/>
    </row>
    <row r="48" spans="1:26" x14ac:dyDescent="0.2">
      <c r="A48" s="2"/>
      <c r="B48" s="2"/>
      <c r="C48" s="2"/>
      <c r="W48" s="4" t="s">
        <v>580</v>
      </c>
      <c r="X48" s="122" t="str">
        <f>sample_mgmt_vc_fqdn</f>
        <v>sfo-m01-vc01.sfo.rainpole.io</v>
      </c>
      <c r="Y48" s="107"/>
      <c r="Z48" s="8"/>
    </row>
    <row r="49" spans="1:26" x14ac:dyDescent="0.2">
      <c r="A49" s="2"/>
      <c r="B49" s="2" t="s">
        <v>1004</v>
      </c>
      <c r="C49" s="2" t="str">
        <f>IF(ISBLANK(input_mgmt_existing_active_nsx_gm),"Value Missing",input_mgmt_existing_active_nsx_gm)</f>
        <v>Value Missing</v>
      </c>
      <c r="W49" s="30" t="s">
        <v>39</v>
      </c>
      <c r="X49" s="108" t="str">
        <f>sample_vcf_automation_vip_fqdn</f>
        <v>flt-auto01.rainpole.io</v>
      </c>
      <c r="Y49" s="8" t="str">
        <f t="array" ref="Y49">vcf_automation_vip_fqdn</f>
        <v>Value Missing</v>
      </c>
      <c r="Z49" s="8"/>
    </row>
    <row r="50" spans="1:26" x14ac:dyDescent="0.2">
      <c r="A50" s="2"/>
      <c r="B50" s="2" t="s">
        <v>1005</v>
      </c>
      <c r="C50" s="2" t="str">
        <f>IF(ISBLANK(input_mgmt_existing_cross_instance_t0_name),"Value Missing",input_mgmt_existing_cross_instance_t0_name)</f>
        <v>Value Missing</v>
      </c>
      <c r="W50" s="30" t="s">
        <v>540</v>
      </c>
      <c r="X50" s="108" t="str">
        <f>sample_vcf_automation_cert_alias</f>
        <v>flt-auto01-cert</v>
      </c>
      <c r="Y50" s="8" t="str">
        <f t="array" ref="Y50">vcf_automation_cert_alias</f>
        <v>Value Missing</v>
      </c>
      <c r="Z50" s="8"/>
    </row>
    <row r="51" spans="1:26" x14ac:dyDescent="0.2">
      <c r="W51" s="30" t="s">
        <v>39</v>
      </c>
      <c r="X51" s="108" t="str">
        <f>sample_vcf_automation_vip_fqdn</f>
        <v>flt-auto01.rainpole.io</v>
      </c>
      <c r="Y51" s="8" t="str">
        <f t="array" ref="Y51">vcf_automation_vip_fqdn</f>
        <v>Value Missing</v>
      </c>
      <c r="Z51" s="8"/>
    </row>
    <row r="52" spans="1:26" x14ac:dyDescent="0.2">
      <c r="W52" s="30" t="s">
        <v>581</v>
      </c>
      <c r="X52" s="108" t="s">
        <v>582</v>
      </c>
      <c r="Y52" s="66" t="s">
        <v>582</v>
      </c>
      <c r="Z52" s="8"/>
    </row>
    <row r="53" spans="1:26" x14ac:dyDescent="0.2">
      <c r="W53" s="30" t="s">
        <v>528</v>
      </c>
      <c r="X53" s="108" t="str">
        <f>CONCATENATE(prefix_portable_component,"-auto")</f>
        <v>flt-auto</v>
      </c>
      <c r="Y53" s="66" t="s">
        <v>583</v>
      </c>
      <c r="Z53" s="8" t="s">
        <v>529</v>
      </c>
    </row>
    <row r="54" spans="1:26" x14ac:dyDescent="0.2">
      <c r="W54" s="30" t="s">
        <v>584</v>
      </c>
      <c r="X54" s="65" t="str">
        <f>sample_vcf_automation_vip_ip</f>
        <v>10.11.10.25</v>
      </c>
      <c r="Y54" s="8" t="str">
        <f t="array" ref="Y54">vcf_automation_vip_ip</f>
        <v>Value Missing</v>
      </c>
      <c r="Z54" s="8"/>
    </row>
    <row r="55" spans="1:26" x14ac:dyDescent="0.2">
      <c r="B55" s="9" t="s">
        <v>1006</v>
      </c>
      <c r="C55" s="9" t="s">
        <v>1007</v>
      </c>
      <c r="E55" s="9" t="s">
        <v>1008</v>
      </c>
      <c r="F55" s="9" t="s">
        <v>1007</v>
      </c>
      <c r="H55" s="376" t="s">
        <v>1009</v>
      </c>
      <c r="I55" s="9" t="s">
        <v>1007</v>
      </c>
      <c r="K55" s="376" t="s">
        <v>1010</v>
      </c>
      <c r="L55" s="9" t="s">
        <v>1007</v>
      </c>
      <c r="N55" s="376" t="s">
        <v>1011</v>
      </c>
      <c r="O55" s="9" t="s">
        <v>1007</v>
      </c>
      <c r="Q55" s="376" t="s">
        <v>1012</v>
      </c>
      <c r="R55" s="9" t="s">
        <v>1007</v>
      </c>
      <c r="T55" s="376" t="s">
        <v>1013</v>
      </c>
      <c r="U55" s="9" t="s">
        <v>1007</v>
      </c>
      <c r="W55" s="30" t="s">
        <v>585</v>
      </c>
      <c r="X55" s="108" t="s">
        <v>586</v>
      </c>
      <c r="Y55" s="66" t="s">
        <v>586</v>
      </c>
      <c r="Z55" s="8" t="s">
        <v>534</v>
      </c>
    </row>
    <row r="56" spans="1:26" x14ac:dyDescent="0.2">
      <c r="A56" s="9" t="s">
        <v>1014</v>
      </c>
      <c r="B56" s="9" t="str">
        <f>IF(cluster_wld_domain_chosen="VI Workload Domain",(CONCATENATE(prefix_wld_az1_vlan,"28")),(CONCATENATE(prefix_mgmt_az1_vlan,"28")))</f>
        <v>1128</v>
      </c>
      <c r="E56" s="9" t="str">
        <f>IF(cluster_wld_domain_chosen="VI Workload Domain",(CONCATENATE(prefix_wld_az1_vlan,"39")),(CONCATENATE(prefix_mgmt_az1_vlan,"39")))</f>
        <v>1139</v>
      </c>
      <c r="H56" s="9" t="str">
        <f>IF(cluster_wld_domain_chosen="VI Workload Domain",(CONCATENATE(prefix_wld_az1_vlan,"50")),(CONCATENATE(prefix_mgmt_az1_vlan,"50")))</f>
        <v>1150</v>
      </c>
      <c r="K56" s="9" t="str">
        <f>IF(cluster_wld_domain_chosen="VI Workload Domain",(CONCATENATE(prefix_wld_az1_vlan,"61")),(CONCATENATE(prefix_mgmt_az1_vlan,"61")))</f>
        <v>1161</v>
      </c>
      <c r="N56" s="9" t="str">
        <f>IF(cluster_wld_domain_chosen="VI Workload Domain",(CONCATENATE(prefix_wld_az1_vlan,"72")),(CONCATENATE(prefix_mgmt_az1_vlan,"72")))</f>
        <v>1172</v>
      </c>
      <c r="Q56" s="9" t="str">
        <f>IF(cluster_wld_domain_chosen="VI Workload Domain",(CONCATENATE(prefix_wld_az1_vlan,"83")),(CONCATENATE(prefix_mgmt_az1_vlan,"83")))</f>
        <v>1183</v>
      </c>
      <c r="T56" s="9" t="str">
        <f>IF(cluster_wld_domain_chosen="VI Workload Domain",(CONCATENATE(prefix_wld_az1_vlan,"94")),(CONCATENATE(prefix_mgmt_az1_vlan,"94")))</f>
        <v>1194</v>
      </c>
      <c r="W56" s="30" t="s">
        <v>587</v>
      </c>
      <c r="X56" s="108" t="s">
        <v>588</v>
      </c>
      <c r="Y56" s="66"/>
      <c r="Z56" s="8"/>
    </row>
    <row r="57" spans="1:26" x14ac:dyDescent="0.2">
      <c r="A57" s="9" t="s">
        <v>1015</v>
      </c>
      <c r="B57" s="9" t="str">
        <f>IF(cluster_wld_domain_chosen="VI Workload Domain",(CONCATENATE(prefix_wld_az1_vlan,"29")),(CONCATENATE(prefix_mgmt_az1_vlan,"29")))</f>
        <v>1129</v>
      </c>
      <c r="E57" s="9" t="str">
        <f>IF(cluster_wld_domain_chosen="VI Workload Domain",(CONCATENATE(prefix_wld_az1_vlan,"40")),(CONCATENATE(prefix_mgmt_az1_vlan,"40")))</f>
        <v>1140</v>
      </c>
      <c r="H57" s="9" t="str">
        <f>IF(cluster_wld_domain_chosen="VI Workload Domain",(CONCATENATE(prefix_wld_az1_vlan,"51")),(CONCATENATE(prefix_mgmt_az1_vlan,"51")))</f>
        <v>1151</v>
      </c>
      <c r="K57" s="9" t="str">
        <f>IF(cluster_wld_domain_chosen="VI Workload Domain",(CONCATENATE(prefix_wld_az1_vlan,"62")),(CONCATENATE(prefix_mgmt_az1_vlan,"62")))</f>
        <v>1162</v>
      </c>
      <c r="N57" s="9" t="str">
        <f>IF(cluster_wld_domain_chosen="VI Workload Domain",(CONCATENATE(prefix_wld_az1_vlan,"73")),(CONCATENATE(prefix_mgmt_az1_vlan,"73")))</f>
        <v>1173</v>
      </c>
      <c r="Q57" s="9" t="str">
        <f>IF(cluster_wld_domain_chosen="VI Workload Domain",(CONCATENATE(prefix_wld_az1_vlan,"84")),(CONCATENATE(prefix_mgmt_az1_vlan,"84")))</f>
        <v>1184</v>
      </c>
      <c r="T57" s="9" t="str">
        <f>IF(cluster_wld_domain_chosen="VI Workload Domain",(CONCATENATE(prefix_wld_az1_vlan,"95")),(CONCATENATE(prefix_mgmt_az1_vlan,"95")))</f>
        <v>1195</v>
      </c>
      <c r="W57" s="30" t="s">
        <v>589</v>
      </c>
      <c r="X57" s="65" t="str">
        <f>IF(flt_custom_network_chosen="Shared Management Network",IF(mgmt_dpg_reuse_result="Included",CONCATENATE(prefix_mgmt_az1_cidr,"10.40"),CONCATENATE(prefix_mgmt_az1_cidr,"11.40")),IF(flt_custom_network_chosen="NSX Overlay Segment",CONCATENATE(prefix_xreg_cidr,".40"),CONCATENATE(prefix_flt_shared_cidr,".40")))</f>
        <v>10.11.10.40</v>
      </c>
      <c r="Y57" s="66"/>
      <c r="Z57" s="8"/>
    </row>
    <row r="58" spans="1:26" x14ac:dyDescent="0.2">
      <c r="A58" s="9" t="s">
        <v>1016</v>
      </c>
      <c r="B58" s="9" t="str">
        <f>IF(cluster_wld_domain_chosen="VI Workload Domain",(CONCATENATE(prefix_wld_az1_vlan,"30")),(CONCATENATE(prefix_mgmt_az1_vlan,"30")))</f>
        <v>1130</v>
      </c>
      <c r="E58" s="9" t="str">
        <f>IF(cluster_wld_domain_chosen="VI Workload Domain",(CONCATENATE(prefix_wld_az1_vlan,"41")),(CONCATENATE(prefix_mgmt_az1_vlan,"41")))</f>
        <v>1141</v>
      </c>
      <c r="H58" s="9" t="str">
        <f>IF(cluster_wld_domain_chosen="VI Workload Domain",(CONCATENATE(prefix_wld_az1_vlan,"52")),(CONCATENATE(prefix_mgmt_az1_vlan,"52")))</f>
        <v>1152</v>
      </c>
      <c r="K58" s="9" t="str">
        <f>IF(cluster_wld_domain_chosen="VI Workload Domain",(CONCATENATE(prefix_wld_az1_vlan,"63")),(CONCATENATE(prefix_mgmt_az1_vlan,"63")))</f>
        <v>1163</v>
      </c>
      <c r="N58" s="9" t="str">
        <f>IF(cluster_wld_domain_chosen="VI Workload Domain",(CONCATENATE(prefix_wld_az1_vlan,"74")),(CONCATENATE(prefix_mgmt_az1_vlan,"74")))</f>
        <v>1174</v>
      </c>
      <c r="Q58" s="9" t="str">
        <f>IF(cluster_wld_domain_chosen="VI Workload Domain",(CONCATENATE(prefix_wld_az1_vlan,"85")),(CONCATENATE(prefix_mgmt_az1_vlan,"85")))</f>
        <v>1185</v>
      </c>
      <c r="T58" s="9" t="str">
        <f>IF(cluster_wld_domain_chosen="VI Workload Domain",(CONCATENATE(prefix_wld_az1_vlan,"96")),(CONCATENATE(prefix_mgmt_az1_vlan,"96")))</f>
        <v>1196</v>
      </c>
      <c r="W58" s="30" t="s">
        <v>590</v>
      </c>
      <c r="X58" s="65" t="str">
        <f>IF(flt_custom_network_chosen="Shared Management Network",IF(mgmt_dpg_reuse_result="Included",CONCATENATE(prefix_mgmt_az1_cidr,"10.41"),CONCATENATE(prefix_mgmt_az1_cidr,"11.41")),IF(flt_custom_network_chosen="NSX Overlay Segment",CONCATENATE(prefix_xreg_cidr,".41"),CONCATENATE(prefix_flt_shared_cidr,".41")))</f>
        <v>10.11.10.41</v>
      </c>
      <c r="Y58" s="66"/>
      <c r="Z58" s="8"/>
    </row>
    <row r="59" spans="1:26" x14ac:dyDescent="0.2">
      <c r="A59" s="9" t="s">
        <v>1017</v>
      </c>
      <c r="B59" s="9" t="str">
        <f>IF(cluster_wld_domain_chosen="VI Workload Domain",CONCATENATE(prefix_wld_az1_cidr,"28.0"),CONCATENATE(prefix_mgmt_az1_cidr,"28.0"))</f>
        <v>10.11.28.0</v>
      </c>
      <c r="E59" s="9" t="str">
        <f>IF(cluster_wld_domain_chosen="VI Workload Domain",CONCATENATE(prefix_wld_az1_cidr,"39.0"),CONCATENATE(prefix_mgmt_az1_cidr,"39.0"))</f>
        <v>10.11.39.0</v>
      </c>
      <c r="H59" s="9" t="str">
        <f>IF(cluster_wld_domain_chosen="VI Workload Domain",CONCATENATE(prefix_wld_az1_cidr,"50.0"),CONCATENATE(prefix_mgmt_az1_cidr,"50.0"))</f>
        <v>10.11.50.0</v>
      </c>
      <c r="K59" s="9" t="str">
        <f>IF(cluster_wld_domain_chosen="VI Workload Domain",CONCATENATE(prefix_wld_az1_cidr,"61.0"),CONCATENATE(prefix_mgmt_az1_cidr,"61.0"))</f>
        <v>10.11.61.0</v>
      </c>
      <c r="N59" s="9" t="str">
        <f>IF(cluster_wld_domain_chosen="VI Workload Domain",CONCATENATE(prefix_wld_az1_cidr,"72.0"),CONCATENATE(prefix_mgmt_az1_cidr,"72.0"))</f>
        <v>10.11.72.0</v>
      </c>
      <c r="Q59" s="9" t="str">
        <f>IF(cluster_wld_domain_chosen="VI Workload Domain",CONCATENATE(prefix_wld_az1_cidr,"83.0"),CONCATENATE(prefix_mgmt_az1_cidr,"83.0"))</f>
        <v>10.11.83.0</v>
      </c>
      <c r="T59" s="9" t="str">
        <f>IF(cluster_wld_domain_chosen="VI Workload Domain",CONCATENATE(prefix_wld_az1_cidr,"94.0"),CONCATENATE(prefix_mgmt_az1_cidr,"94.0"))</f>
        <v>10.11.94.0</v>
      </c>
      <c r="W59" s="30" t="s">
        <v>591</v>
      </c>
      <c r="X59" s="65" t="str">
        <f>IF(flt_custom_network_chosen="Shared Management Network",IF(mgmt_dpg_reuse_result="Included",CONCATENATE(prefix_mgmt_az1_cidr,"10.42"),CONCATENATE(prefix_mgmt_az1_cidr,"11.42")),IF(flt_custom_network_chosen="NSX Overlay Segment",CONCATENATE(prefix_xreg_cidr,".42"),CONCATENATE(prefix_flt_shared_cidr,".42")))</f>
        <v>10.11.10.42</v>
      </c>
      <c r="Y59" s="66"/>
      <c r="Z59" s="8"/>
    </row>
    <row r="60" spans="1:26" x14ac:dyDescent="0.2">
      <c r="A60" s="9" t="s">
        <v>1018</v>
      </c>
      <c r="B60" s="9" t="str">
        <f>IF(cluster_wld_domain_chosen="VI Workload Domain",CONCATENATE(prefix_wld_az1_cidr,"29.0"),CONCATENATE(prefix_mgmt_az1_cidr,"29.0"))</f>
        <v>10.11.29.0</v>
      </c>
      <c r="E60" s="9" t="str">
        <f>IF(cluster_wld_domain_chosen="VI Workload Domain",CONCATENATE(prefix_wld_az1_cidr,"40.0"),CONCATENATE(prefix_mgmt_az1_cidr,"40.0"))</f>
        <v>10.11.40.0</v>
      </c>
      <c r="H60" s="9" t="str">
        <f>IF(cluster_wld_domain_chosen="VI Workload Domain",CONCATENATE(prefix_wld_az1_cidr,"51.0"),CONCATENATE(prefix_mgmt_az1_cidr,"51.0"))</f>
        <v>10.11.51.0</v>
      </c>
      <c r="K60" s="9" t="str">
        <f>IF(cluster_wld_domain_chosen="VI Workload Domain",CONCATENATE(prefix_wld_az1_cidr,"62.0"),CONCATENATE(prefix_mgmt_az1_cidr,"62.0"))</f>
        <v>10.11.62.0</v>
      </c>
      <c r="N60" s="9" t="str">
        <f>IF(cluster_wld_domain_chosen="VI Workload Domain",CONCATENATE(prefix_wld_az1_cidr,"73.0"),CONCATENATE(prefix_mgmt_az1_cidr,"73.0"))</f>
        <v>10.11.73.0</v>
      </c>
      <c r="Q60" s="9" t="str">
        <f>IF(cluster_wld_domain_chosen="VI Workload Domain",CONCATENATE(prefix_wld_az1_cidr,"84.0"),CONCATENATE(prefix_mgmt_az1_cidr,"84.0"))</f>
        <v>10.11.84.0</v>
      </c>
      <c r="T60" s="9" t="str">
        <f>IF(cluster_wld_domain_chosen="VI Workload Domain",CONCATENATE(prefix_wld_az1_cidr,"95.0"),CONCATENATE(prefix_mgmt_az1_cidr,"95.0"))</f>
        <v>10.11.95.0</v>
      </c>
      <c r="W60" s="30" t="s">
        <v>592</v>
      </c>
      <c r="X60" s="65" t="str">
        <f>IF(flt_custom_network_chosen="Shared Management Network",IF(mgmt_dpg_reuse_result="Included",CONCATENATE(prefix_mgmt_az1_cidr,"10.43"),CONCATENATE(prefix_mgmt_az1_cidr,"11.43")),IF(flt_custom_network_chosen="NSX Overlay Segment",CONCATENATE(prefix_xreg_cidr,".43"),CONCATENATE(prefix_flt_shared_cidr,".43")))</f>
        <v>10.11.10.43</v>
      </c>
      <c r="Y60" s="66"/>
      <c r="Z60" s="8"/>
    </row>
    <row r="61" spans="1:26" x14ac:dyDescent="0.2">
      <c r="A61" s="9" t="s">
        <v>1019</v>
      </c>
      <c r="B61" s="9" t="str">
        <f>IF(cluster_wld_domain_chosen="VI Workload Domain",CONCATENATE(prefix_wld_az1_cidr,"30.0"),CONCATENATE(prefix_mgmt_az1_cidr,"30.0"))</f>
        <v>10.11.30.0</v>
      </c>
      <c r="E61" s="9" t="str">
        <f>IF(cluster_wld_domain_chosen="VI Workload Domain",CONCATENATE(prefix_wld_az1_cidr,"41.0"),CONCATENATE(prefix_mgmt_az1_cidr,"41.0"))</f>
        <v>10.11.41.0</v>
      </c>
      <c r="H61" s="9" t="str">
        <f>IF(cluster_wld_domain_chosen="VI Workload Domain",CONCATENATE(prefix_wld_az1_cidr,"52.0"),CONCATENATE(prefix_mgmt_az1_cidr,"52.0"))</f>
        <v>10.11.52.0</v>
      </c>
      <c r="K61" s="9" t="str">
        <f>IF(cluster_wld_domain_chosen="VI Workload Domain",CONCATENATE(prefix_wld_az1_cidr,"63.0"),CONCATENATE(prefix_mgmt_az1_cidr,"63.0"))</f>
        <v>10.11.63.0</v>
      </c>
      <c r="N61" s="9" t="str">
        <f>IF(cluster_wld_domain_chosen="VI Workload Domain",CONCATENATE(prefix_wld_az1_cidr,"74.0"),CONCATENATE(prefix_mgmt_az1_cidr,"74.0"))</f>
        <v>10.11.74.0</v>
      </c>
      <c r="Q61" s="9" t="str">
        <f>IF(cluster_wld_domain_chosen="VI Workload Domain",CONCATENATE(prefix_wld_az1_cidr,"85.0"),CONCATENATE(prefix_mgmt_az1_cidr,"85.0"))</f>
        <v>10.11.85.0</v>
      </c>
      <c r="T61" s="9" t="str">
        <f>IF(cluster_wld_domain_chosen="VI Workload Domain",CONCATENATE(prefix_wld_az1_cidr,"96.0"),CONCATENATE(prefix_mgmt_az1_cidr,"96.0"))</f>
        <v>10.11.96.0</v>
      </c>
      <c r="W61" s="30" t="s">
        <v>3758</v>
      </c>
      <c r="X61" s="65" t="str">
        <f>IF(flt_custom_network_chosen="Shared Management Network",IF(mgmt_dpg_reuse_result="Included",CONCATENATE(prefix_mgmt_az1_cidr,"10.44"),CONCATENATE(prefix_mgmt_az1_cidr,"11.44")),IF(flt_custom_network_chosen="NSX Overlay Segment",CONCATENATE(prefix_xreg_cidr,".44"),CONCATENATE(prefix_flt_shared_cidr,".44")))</f>
        <v>10.11.10.44</v>
      </c>
      <c r="Y61" s="1"/>
      <c r="Z61" s="2"/>
    </row>
    <row r="62" spans="1:26" x14ac:dyDescent="0.2">
      <c r="A62" s="9" t="s">
        <v>1020</v>
      </c>
      <c r="B62" s="9" t="str">
        <f>IF(cluster_wld_domain_chosen="VI Workload Domain",CONCATENATE(prefix_wld_az1_cidr,"28.1"),CONCATENATE(prefix_mgmt_az1_cidr,"28.1"))</f>
        <v>10.11.28.1</v>
      </c>
      <c r="E62" s="9" t="str">
        <f>IF(cluster_wld_domain_chosen="VI Workload Domain",CONCATENATE(prefix_wld_az1_cidr,"39.1"),CONCATENATE(prefix_mgmt_az1_cidr,"39.1"))</f>
        <v>10.11.39.1</v>
      </c>
      <c r="H62" s="9" t="str">
        <f>IF(cluster_wld_domain_chosen="VI Workload Domain",CONCATENATE(prefix_wld_az1_cidr,"50.1"),CONCATENATE(prefix_mgmt_az1_cidr,"50.1"))</f>
        <v>10.11.50.1</v>
      </c>
      <c r="K62" s="9" t="str">
        <f>IF(cluster_wld_domain_chosen="VI Workload Domain",CONCATENATE(prefix_wld_az1_cidr,"61.1"),CONCATENATE(prefix_mgmt_az1_cidr,"61.1"))</f>
        <v>10.11.61.1</v>
      </c>
      <c r="N62" s="9" t="str">
        <f>IF(cluster_wld_domain_chosen="VI Workload Domain",CONCATENATE(prefix_wld_az1_cidr,"72.1"),CONCATENATE(prefix_mgmt_az1_cidr,"72.1"))</f>
        <v>10.11.72.1</v>
      </c>
      <c r="Q62" s="9" t="str">
        <f>IF(cluster_wld_domain_chosen="VI Workload Domain",CONCATENATE(prefix_wld_az1_cidr,"83.1"),CONCATENATE(prefix_mgmt_az1_cidr,"83.1"))</f>
        <v>10.11.83.1</v>
      </c>
      <c r="T62" s="9" t="str">
        <f>IF(cluster_wld_domain_chosen="VI Workload Domain",CONCATENATE(prefix_wld_az1_cidr,"94.1"),CONCATENATE(prefix_mgmt_az1_cidr,"94.1"))</f>
        <v>10.11.94.1</v>
      </c>
      <c r="W62" s="30" t="s">
        <v>3759</v>
      </c>
      <c r="X62" s="65" t="str">
        <f>IF(flt_custom_network_chosen="Shared Management Network",IF(mgmt_dpg_reuse_result="Included",CONCATENATE(prefix_mgmt_az1_cidr,"10.45"),CONCATENATE(prefix_mgmt_az1_cidr,"11.45")),IF(flt_custom_network_chosen="NSX Overlay Segment",CONCATENATE(prefix_xreg_cidr,".45"),CONCATENATE(prefix_flt_shared_cidr,".45")))</f>
        <v>10.11.10.45</v>
      </c>
      <c r="Y62" s="1"/>
      <c r="Z62" s="2"/>
    </row>
    <row r="63" spans="1:26" x14ac:dyDescent="0.2">
      <c r="A63" s="9" t="s">
        <v>1021</v>
      </c>
      <c r="B63" s="9" t="str">
        <f>IF(cluster_wld_domain_chosen="VI Workload Domain",CONCATENATE(prefix_wld_az1_cidr,"29.1"),CONCATENATE(prefix_mgmt_az1_cidr,"29.1"))</f>
        <v>10.11.29.1</v>
      </c>
      <c r="E63" s="9" t="str">
        <f>IF(cluster_wld_domain_chosen="VI Workload Domain",CONCATENATE(prefix_wld_az1_cidr,"40.1"),CONCATENATE(prefix_mgmt_az1_cidr,"40.1"))</f>
        <v>10.11.40.1</v>
      </c>
      <c r="H63" s="9" t="str">
        <f>IF(cluster_wld_domain_chosen="VI Workload Domain",CONCATENATE(prefix_wld_az1_cidr,"51.1"),CONCATENATE(prefix_mgmt_az1_cidr,"51.1"))</f>
        <v>10.11.51.1</v>
      </c>
      <c r="K63" s="9" t="str">
        <f>IF(cluster_wld_domain_chosen="VI Workload Domain",CONCATENATE(prefix_wld_az1_cidr,"62.1"),CONCATENATE(prefix_mgmt_az1_cidr,"62.1"))</f>
        <v>10.11.62.1</v>
      </c>
      <c r="N63" s="9" t="str">
        <f>IF(cluster_wld_domain_chosen="VI Workload Domain",CONCATENATE(prefix_wld_az1_cidr,"73.1"),CONCATENATE(prefix_mgmt_az1_cidr,"73.1"))</f>
        <v>10.11.73.1</v>
      </c>
      <c r="Q63" s="9" t="str">
        <f>IF(cluster_wld_domain_chosen="VI Workload Domain",CONCATENATE(prefix_wld_az1_cidr,"84.1"),CONCATENATE(prefix_mgmt_az1_cidr,"84.1"))</f>
        <v>10.11.84.1</v>
      </c>
      <c r="T63" s="9" t="str">
        <f>IF(cluster_wld_domain_chosen="VI Workload Domain",CONCATENATE(prefix_wld_az1_cidr,"95.1"),CONCATENATE(prefix_mgmt_az1_cidr,"95.1"))</f>
        <v>10.11.95.1</v>
      </c>
    </row>
    <row r="64" spans="1:26" x14ac:dyDescent="0.2">
      <c r="A64" s="9" t="s">
        <v>1022</v>
      </c>
      <c r="B64" s="9" t="str">
        <f>IF(cluster_wld_domain_chosen="VI Workload Domain",CONCATENATE(prefix_wld_az1_cidr,"30.1"),CONCATENATE(prefix_mgmt_az1_cidr,"30.1"))</f>
        <v>10.11.30.1</v>
      </c>
      <c r="E64" s="9" t="str">
        <f>IF(cluster_wld_domain_chosen="VI Workload Domain",CONCATENATE(prefix_wld_az1_cidr,"41.1"),CONCATENATE(prefix_mgmt_az1_cidr,"41.1"))</f>
        <v>10.11.41.1</v>
      </c>
      <c r="H64" s="9" t="str">
        <f>IF(cluster_wld_domain_chosen="VI Workload Domain",CONCATENATE(prefix_wld_az1_cidr,"52.1"),CONCATENATE(prefix_mgmt_az1_cidr,"52.1"))</f>
        <v>10.11.52.1</v>
      </c>
      <c r="K64" s="9" t="str">
        <f>IF(cluster_wld_domain_chosen="VI Workload Domain",CONCATENATE(prefix_wld_az1_cidr,"63.1"),CONCATENATE(prefix_mgmt_az1_cidr,"63.1"))</f>
        <v>10.11.63.1</v>
      </c>
      <c r="N64" s="9" t="str">
        <f>IF(cluster_wld_domain_chosen="VI Workload Domain",CONCATENATE(prefix_wld_az1_cidr,"74.1"),CONCATENATE(prefix_mgmt_az1_cidr,"74.1"))</f>
        <v>10.11.74.1</v>
      </c>
      <c r="Q64" s="9" t="str">
        <f>IF(cluster_wld_domain_chosen="VI Workload Domain",CONCATENATE(prefix_wld_az1_cidr,"85.1"),CONCATENATE(prefix_mgmt_az1_cidr,"85.1"))</f>
        <v>10.11.85.1</v>
      </c>
      <c r="T64" s="9" t="str">
        <f>IF(cluster_wld_domain_chosen="VI Workload Domain",CONCATENATE(prefix_wld_az1_cidr,"96.1"),CONCATENATE(prefix_mgmt_az1_cidr,"96.1"))</f>
        <v>10.11.96.1</v>
      </c>
    </row>
    <row r="65" spans="1:24" x14ac:dyDescent="0.2">
      <c r="A65" s="9" t="s">
        <v>1023</v>
      </c>
      <c r="B65" s="9" t="s">
        <v>126</v>
      </c>
      <c r="E65" s="9" t="s">
        <v>126</v>
      </c>
      <c r="H65" s="9" t="s">
        <v>126</v>
      </c>
      <c r="K65" s="9" t="s">
        <v>126</v>
      </c>
      <c r="N65" s="9" t="s">
        <v>126</v>
      </c>
      <c r="Q65" s="9" t="s">
        <v>126</v>
      </c>
      <c r="T65" s="9" t="s">
        <v>126</v>
      </c>
      <c r="W65" s="42" t="s">
        <v>4123</v>
      </c>
      <c r="X65" s="42" t="str">
        <f>IF(mgmt_set_appliance_size_chosen="Selected",mgmt_vcenter_appliance_size_chosen,
IF(mgmt_domain_vcf_operations_ha_mode_chosen="Simple","Small",
IF(AND(mgmt_domain_vcf_operations_ha_mode_chosen="High Availability (Three-Node)",mgmt_domain_vcf_operations_size_chosen="Medium"),"Medium",
IF(AND(mgmt_domain_vcf_operations_ha_mode_chosen="High Availability (Three-Node)",mgmt_domain_vcf_operations_size_chosen="Large"),"Large"))))</f>
        <v>Medium</v>
      </c>
    </row>
    <row r="66" spans="1:24" x14ac:dyDescent="0.2">
      <c r="A66" s="9" t="s">
        <v>1024</v>
      </c>
      <c r="B66" s="9" t="s">
        <v>126</v>
      </c>
      <c r="E66" s="9" t="s">
        <v>126</v>
      </c>
      <c r="H66" s="9" t="s">
        <v>126</v>
      </c>
      <c r="K66" s="9" t="s">
        <v>126</v>
      </c>
      <c r="N66" s="9" t="s">
        <v>126</v>
      </c>
      <c r="Q66" s="9" t="s">
        <v>126</v>
      </c>
      <c r="T66" s="9" t="s">
        <v>126</v>
      </c>
      <c r="W66" s="42" t="s">
        <v>4124</v>
      </c>
      <c r="X66" s="42" t="str">
        <f>IF(mgmt_set_appliance_size_chosen="Selected",mgmt_vcenter_storage_size_chosen,
IF(mgmt_domain_vcf_operations_ha_mode_chosen="Simple","lstorage",
IF(AND(mgmt_domain_vcf_operations_ha_mode_chosen="High Availability (Three-Node)",mgmt_domain_vcf_operations_size_chosen="Medium"),"lstorage",
IF(AND(mgmt_domain_vcf_operations_ha_mode_chosen="High Availability (Three-Node)",mgmt_domain_vcf_operations_size_chosen="Large"),"xlstorage"))))</f>
        <v>lstorage</v>
      </c>
    </row>
    <row r="67" spans="1:24" x14ac:dyDescent="0.2">
      <c r="A67" s="9" t="s">
        <v>1025</v>
      </c>
      <c r="B67" s="9" t="s">
        <v>126</v>
      </c>
      <c r="E67" s="9" t="s">
        <v>126</v>
      </c>
      <c r="H67" s="9" t="s">
        <v>126</v>
      </c>
      <c r="K67" s="9" t="s">
        <v>126</v>
      </c>
      <c r="N67" s="9" t="s">
        <v>126</v>
      </c>
      <c r="Q67" s="9" t="s">
        <v>126</v>
      </c>
      <c r="T67" s="9" t="s">
        <v>126</v>
      </c>
      <c r="W67" s="42" t="s">
        <v>1914</v>
      </c>
      <c r="X67" s="42" t="str">
        <f>IF(mgmt_set_appliance_size_chosen="Selected",mgmt_nsxt_appliance_size_chosen,
IF(mgmt_domain_vcf_operations_ha_mode_chosen="Simple","Medium",
IF(AND(mgmt_domain_vcf_operations_ha_mode_chosen="High Availability (Three-Node)",sizing_vcf_deployment_size_chosen="Medium"),"Medium",
IF(AND(mgmt_domain_vcf_operations_ha_mode_chosen="High Availability (Three-Node)",sizing_vcf_deployment_size_chosen="Large"),"Large","Large"))))</f>
        <v>Medium</v>
      </c>
    </row>
    <row r="68" spans="1:24" x14ac:dyDescent="0.2">
      <c r="A68" s="9" t="s">
        <v>1026</v>
      </c>
      <c r="B68" s="377">
        <v>9000</v>
      </c>
      <c r="C68" s="377"/>
      <c r="D68" s="377"/>
      <c r="E68" s="377">
        <v>9000</v>
      </c>
      <c r="F68" s="377"/>
      <c r="G68" s="377"/>
      <c r="H68" s="377">
        <v>9000</v>
      </c>
      <c r="I68" s="377"/>
      <c r="J68" s="377"/>
      <c r="K68" s="377">
        <v>9000</v>
      </c>
      <c r="L68" s="377"/>
      <c r="M68" s="377"/>
      <c r="N68" s="377">
        <v>9000</v>
      </c>
      <c r="O68" s="377"/>
      <c r="P68" s="377"/>
      <c r="Q68" s="377">
        <v>9000</v>
      </c>
      <c r="R68" s="377"/>
      <c r="S68" s="377"/>
      <c r="T68" s="377">
        <v>9000</v>
      </c>
      <c r="W68" s="42" t="s">
        <v>4125</v>
      </c>
      <c r="X68" s="42" t="str">
        <f>IF(mgmt_set_appliance_size_chosen="Selected",mgmt_vcfops_appliance_size_chosen,
IF(mgmt_domain_vcf_operations_ha_mode_chosen="Simple","Small",
IF(AND(mgmt_domain_vcf_operations_ha_mode_chosen="High Availability (Three-Node)",mgmt_domain_vcf_operations_size_chosen="Medium"),"Medium",
IF(AND(mgmt_domain_vcf_operations_ha_mode_chosen="High Availability (Three-Node)",mgmt_domain_vcf_operations_size_chosen="Large"),"Large","Large"))))</f>
        <v>Medium</v>
      </c>
    </row>
    <row r="69" spans="1:24" x14ac:dyDescent="0.2">
      <c r="A69" s="9" t="s">
        <v>1027</v>
      </c>
      <c r="B69" s="377">
        <v>9000</v>
      </c>
      <c r="C69" s="377"/>
      <c r="D69" s="377"/>
      <c r="E69" s="377">
        <v>9000</v>
      </c>
      <c r="F69" s="377"/>
      <c r="G69" s="377"/>
      <c r="H69" s="377">
        <v>9000</v>
      </c>
      <c r="I69" s="377"/>
      <c r="J69" s="377"/>
      <c r="K69" s="377">
        <v>9000</v>
      </c>
      <c r="L69" s="377"/>
      <c r="M69" s="377"/>
      <c r="N69" s="377">
        <v>9000</v>
      </c>
      <c r="O69" s="377"/>
      <c r="P69" s="377"/>
      <c r="Q69" s="377">
        <v>9000</v>
      </c>
      <c r="R69" s="377"/>
      <c r="S69" s="377"/>
      <c r="T69" s="377">
        <v>9000</v>
      </c>
      <c r="W69" s="42" t="s">
        <v>4126</v>
      </c>
      <c r="X69" s="42" t="str">
        <f>IF(mgmt_set_appliance_size_chosen="Selected",mgmt_vcfops_collector_size_chosen,
IF(mgmt_domain_vcf_operations_ha_mode_chosen="Simple","Small",
IF(AND(mgmt_domain_vcf_operations_ha_mode_chosen="High Availability (Three-Node)",mgmt_domain_vcf_operations_size_chosen="Medium"),"Standard",
IF(AND(mgmt_domain_vcf_operations_ha_mode_chosen="High Availability (Three-Node)",mgmt_domain_vcf_operations_size_chosen="Large"),"Standard",""))))</f>
        <v>Standard</v>
      </c>
    </row>
    <row r="70" spans="1:24" x14ac:dyDescent="0.2">
      <c r="A70" s="9" t="s">
        <v>1028</v>
      </c>
      <c r="B70" s="377">
        <v>9000</v>
      </c>
      <c r="C70" s="377"/>
      <c r="D70" s="377"/>
      <c r="E70" s="377">
        <v>9000</v>
      </c>
      <c r="F70" s="377"/>
      <c r="G70" s="377"/>
      <c r="H70" s="377">
        <v>9000</v>
      </c>
      <c r="I70" s="377"/>
      <c r="J70" s="377"/>
      <c r="K70" s="377">
        <v>9000</v>
      </c>
      <c r="L70" s="377"/>
      <c r="M70" s="377"/>
      <c r="N70" s="377">
        <v>9000</v>
      </c>
      <c r="O70" s="377"/>
      <c r="P70" s="377"/>
      <c r="Q70" s="377">
        <v>9000</v>
      </c>
      <c r="R70" s="377"/>
      <c r="S70" s="377"/>
      <c r="T70" s="377">
        <v>9000</v>
      </c>
      <c r="W70" s="42" t="s">
        <v>3751</v>
      </c>
      <c r="X70" s="42" t="str">
        <f>IF(mgmt_domain_vcf_operations_ha_mode_chosen="Simple","Small",
IF(AND(mgmt_domain_vcf_operations_ha_mode_chosen="High Availability (Three-Node)",mgmt_domain_vcf_operations_size_chosen="Medium"),"Medium",
IF(AND(mgmt_domain_vcf_operations_ha_mode_chosen="High Availability (Three-Node)",mgmt_domain_vcf_operations_size_chosen="Large"),"Large","")))</f>
        <v>Medium</v>
      </c>
    </row>
    <row r="71" spans="1:24" ht="17" x14ac:dyDescent="0.2">
      <c r="A71" s="37" t="s">
        <v>120</v>
      </c>
      <c r="B71" s="9" t="str">
        <f>IF(cluster_wld_domain_chosen="VI Workload Domain",CONCATENATE(prefix_wld_az1_cidr,"30.2"),CONCATENATE(prefix_mgmt_az1_cidr,"30.2"))</f>
        <v>10.11.30.2</v>
      </c>
      <c r="E71" s="9" t="str">
        <f>IF(cluster_wld_domain_chosen="VI Workload Domain",CONCATENATE(prefix_wld_az1_cidr,"41.2"),CONCATENATE(prefix_mgmt_az1_cidr,"41.2"))</f>
        <v>10.11.41.2</v>
      </c>
      <c r="H71" s="9" t="str">
        <f>IF(cluster_wld_domain_chosen="VI Workload Domain",CONCATENATE(prefix_wld_az1_cidr,"52.2"),CONCATENATE(prefix_mgmt_az1_cidr,"52.2"))</f>
        <v>10.11.52.2</v>
      </c>
      <c r="K71" s="9" t="str">
        <f>IF(cluster_wld_domain_chosen="VI Workload Domain",CONCATENATE(prefix_wld_az1_cidr,"63.2"),CONCATENATE(prefix_mgmt_az1_cidr,"63.2"))</f>
        <v>10.11.63.2</v>
      </c>
      <c r="N71" s="9" t="str">
        <f>IF(cluster_wld_domain_chosen="VI Workload Domain",CONCATENATE(prefix_wld_az1_cidr,"74.2"),CONCATENATE(prefix_mgmt_az1_cidr,"74.2"))</f>
        <v>10.11.74.2</v>
      </c>
      <c r="Q71" s="9" t="str">
        <f>IF(cluster_wld_domain_chosen="VI Workload Domain",CONCATENATE(prefix_wld_az1_cidr,"85.2"),CONCATENATE(prefix_mgmt_az1_cidr,"85.2"))</f>
        <v>10.11.85.2</v>
      </c>
      <c r="T71" s="9" t="str">
        <f>IF(cluster_wld_domain_chosen="VI Workload Domain",CONCATENATE(prefix_wld_az1_cidr,"96.2"),CONCATENATE(prefix_mgmt_az1_cidr,"96.2"))</f>
        <v>10.11.96.2</v>
      </c>
      <c r="W71" s="42" t="s">
        <v>3399</v>
      </c>
      <c r="X71" s="42" t="str">
        <f>IF(mgmt_domain_vcf_operations_ha_mode_chosen="Simple","Small",
IF(AND(mgmt_domain_vcf_operations_ha_mode_chosen="High Availability (Three-Node)",mgmt_domain_vcf_operations_size_chosen="Medium"),"Medium",
IF(AND(mgmt_domain_vcf_operations_ha_mode_chosen="High Availability (Three-Node)",mgmt_domain_vcf_operations_size_chosen="Large"),"Large","")))</f>
        <v>Medium</v>
      </c>
    </row>
    <row r="72" spans="1:24" ht="17" x14ac:dyDescent="0.2">
      <c r="A72" s="311" t="s">
        <v>121</v>
      </c>
      <c r="B72" s="9" t="str">
        <f>IF(cluster_wld_domain_chosen="VI Workload Domain",CONCATENATE(prefix_wld_az1_cidr,"30.5"),CONCATENATE(prefix_mgmt_az1_cidr,"30.5"))</f>
        <v>10.11.30.5</v>
      </c>
      <c r="E72" s="9" t="str">
        <f>IF(cluster_wld_domain_chosen="VI Workload Domain",CONCATENATE(prefix_wld_az1_cidr,"41.5"),CONCATENATE(prefix_mgmt_az1_cidr,"41.5"))</f>
        <v>10.11.41.5</v>
      </c>
      <c r="H72" s="9" t="str">
        <f>IF(cluster_wld_domain_chosen="VI Workload Domain",CONCATENATE(prefix_wld_az1_cidr,"52.5"),CONCATENATE(prefix_mgmt_az1_cidr,"52.5"))</f>
        <v>10.11.52.5</v>
      </c>
      <c r="K72" s="9" t="str">
        <f>IF(cluster_wld_domain_chosen="VI Workload Domain",CONCATENATE(prefix_wld_az1_cidr,"63.5"),CONCATENATE(prefix_mgmt_az1_cidr,"63.5"))</f>
        <v>10.11.63.5</v>
      </c>
      <c r="N72" s="9" t="str">
        <f>IF(cluster_wld_domain_chosen="VI Workload Domain",CONCATENATE(prefix_wld_az1_cidr,"74.5"),CONCATENATE(prefix_mgmt_az1_cidr,"74.5"))</f>
        <v>10.11.74.5</v>
      </c>
      <c r="Q72" s="9" t="str">
        <f>IF(cluster_wld_domain_chosen="VI Workload Domain",CONCATENATE(prefix_wld_az1_cidr,"85.5"),CONCATENATE(prefix_mgmt_az1_cidr,"85.5"))</f>
        <v>10.11.85.5</v>
      </c>
      <c r="T72" s="9" t="str">
        <f>IF(cluster_wld_domain_chosen="VI Workload Domain",CONCATENATE(prefix_wld_az1_cidr,"96.5"),CONCATENATE(prefix_mgmt_az1_cidr,"96.5"))</f>
        <v>10.11.96.5</v>
      </c>
    </row>
    <row r="73" spans="1:24" x14ac:dyDescent="0.2">
      <c r="A73" s="4" t="s">
        <v>1029</v>
      </c>
      <c r="B73" s="9" t="str">
        <f>IF(cluster_wld_domain_chosen="VI Workload Domain",IF(mgmt_domain_chosen="First Instance","65102",IF(wld_nsxt_federation_result="Included","65202","65102")),IF(mgmt_domain_chosen="First Instance","65101",IF(mgmt_nsxt_federation_result="Included","65201","65101")))</f>
        <v>65101</v>
      </c>
      <c r="E73" s="9" t="str">
        <f>IF(cluster_wld_domain_chosen="VI Workload Domain",IF(mgmt_domain_chosen="First Instance","65102",IF(wld_nsxt_federation_result="Included","65202","65102")),IF(mgmt_domain_chosen="First Instance","65101",IF(mgmt_nsxt_federation_result="Included","65201","65101")))</f>
        <v>65101</v>
      </c>
      <c r="H73" s="9" t="str">
        <f>IF(cluster_wld_domain_chosen="VI Workload Domain",IF(mgmt_domain_chosen="First Instance","65102",IF(wld_nsxt_federation_result="Included","65202","65102")),IF(mgmt_domain_chosen="First Instance","65101",IF(mgmt_nsxt_federation_result="Included","65201","65101")))</f>
        <v>65101</v>
      </c>
      <c r="K73" s="9" t="str">
        <f>IF(cluster_wld_domain_chosen="VI Workload Domain",IF(mgmt_domain_chosen="First Instance","65102",IF(wld_nsxt_federation_result="Included","65202","65102")),IF(mgmt_domain_chosen="First Instance","65101",IF(mgmt_nsxt_federation_result="Included","65201","65101")))</f>
        <v>65101</v>
      </c>
      <c r="N73" s="9" t="str">
        <f>IF(cluster_wld_domain_chosen="VI Workload Domain",IF(mgmt_domain_chosen="First Instance","65102",IF(wld_nsxt_federation_result="Included","65202","65102")),IF(mgmt_domain_chosen="First Instance","65101",IF(mgmt_nsxt_federation_result="Included","65201","65101")))</f>
        <v>65101</v>
      </c>
      <c r="Q73" s="9" t="str">
        <f>IF(cluster_wld_domain_chosen="VI Workload Domain",IF(mgmt_domain_chosen="First Instance","65102",IF(wld_nsxt_federation_result="Included","65202","65102")),IF(mgmt_domain_chosen="First Instance","65101",IF(mgmt_nsxt_federation_result="Included","65201","65101")))</f>
        <v>65101</v>
      </c>
      <c r="T73" s="9" t="str">
        <f>IF(cluster_wld_domain_chosen="VI Workload Domain",IF(mgmt_domain_chosen="First Instance","65102",IF(wld_nsxt_federation_result="Included","65202","65102")),IF(mgmt_domain_chosen="First Instance","65101",IF(mgmt_nsxt_federation_result="Included","65201","65101")))</f>
        <v>65101</v>
      </c>
    </row>
    <row r="74" spans="1:24" x14ac:dyDescent="0.2">
      <c r="A74" s="4" t="s">
        <v>165</v>
      </c>
      <c r="B74" s="9" t="str">
        <f>IF(cluster_wld_domain_chosen="VI Workload Domain",CONCATENATE(prefix_wld_az1_cidr,"28.10"),CONCATENATE(prefix_mgmt_az1_cidr,"28.10"))</f>
        <v>10.11.28.10</v>
      </c>
      <c r="E74" s="9" t="str">
        <f>IF(cluster_wld_domain_chosen="VI Workload Domain",CONCATENATE(prefix_wld_az1_cidr,"39.10"),CONCATENATE(prefix_mgmt_az1_cidr,"39.10"))</f>
        <v>10.11.39.10</v>
      </c>
      <c r="H74" s="9" t="str">
        <f>IF(cluster_wld_domain_chosen="VI Workload Domain",CONCATENATE(prefix_wld_az1_cidr,"50.10"),CONCATENATE(prefix_mgmt_az1_cidr,"50.10"))</f>
        <v>10.11.50.10</v>
      </c>
      <c r="K74" s="9" t="str">
        <f>IF(cluster_wld_domain_chosen="VI Workload Domain",CONCATENATE(prefix_wld_az1_cidr,"61.10"),CONCATENATE(prefix_mgmt_az1_cidr,"61.10"))</f>
        <v>10.11.61.10</v>
      </c>
      <c r="N74" s="9" t="str">
        <f>IF(cluster_wld_domain_chosen="VI Workload Domain",CONCATENATE(prefix_wld_az1_cidr,"72.10"),CONCATENATE(prefix_mgmt_az1_cidr,"72.10"))</f>
        <v>10.11.72.10</v>
      </c>
      <c r="Q74" s="9" t="str">
        <f>IF(cluster_wld_domain_chosen="VI Workload Domain",CONCATENATE(prefix_wld_az1_cidr,"83.10"),CONCATENATE(prefix_mgmt_az1_cidr,"83.10"))</f>
        <v>10.11.83.10</v>
      </c>
      <c r="T74" s="9" t="str">
        <f>IF(cluster_wld_domain_chosen="VI Workload Domain",CONCATENATE(prefix_wld_az1_cidr,"94.10"),CONCATENATE(prefix_mgmt_az1_cidr,"94.10"))</f>
        <v>10.11.94.10</v>
      </c>
      <c r="W74" s="42" t="s">
        <v>4125</v>
      </c>
      <c r="X74" s="42" t="str">
        <f>IF(flt_def_vcf_custom_size_chosen="Selected",flt_def_vcf_operations_custom_size_chosen,
IF(flt_def_vcf_operations_ha_mode_chosen="Simple","Small",
IF(AND(flt_def_vcf_operations_ha_mode_chosen="High Availability (Three-Node)",flt_def_vcf_operations_size_chosen="Medium"),"Medium",
IF(AND(flt_def_vcf_operations_ha_mode_chosen="High Availability (Three-Node)",flt_def_vcf_operations_size_chosen="Large"),"Large","Large"))))</f>
        <v>Small</v>
      </c>
    </row>
    <row r="75" spans="1:24" x14ac:dyDescent="0.2">
      <c r="A75" s="4" t="s">
        <v>166</v>
      </c>
      <c r="B75" s="9" t="str">
        <f>IF(cluster_wld_domain_chosen="VI Workload Domain",IF(mgmt_domain_chosen="First Instance",CONCATENATE(asn_start,asn_instance,asn_wld_az1,2),IF(wld_nsxt_federation_result="Included",CONCATENATE(asn_start,asn_instance,asn_wld_az1,2),CONCATENATE(asn_start,asn_instance,asn_mgmt_az1,2))),IF(mgmt_domain_chosen="First Instance",CONCATENATE(asn_start,asn_instance,asn_mgmt_az1,2),IF(mgmt_nsxt_federation_result="Included",CONCATENATE(asn_start,asn_instance,asn_mgmt_az1,2),CONCATENATE(asn_start,asn_instance,asn_mgmt_az1,2))))</f>
        <v>65112</v>
      </c>
      <c r="E75" s="9" t="str">
        <f>IF(cluster_wld_domain_chosen="VI Workload Domain",IF(mgmt_domain_chosen="First Instance",CONCATENATE(asn_start,asn_instance,asn_wld_az1,3),IF(wld_nsxt_federation_result="Included",CONCATENATE(asn_start,asn_instance,asn_wld_az1,3),CONCATENATE(asn_start,asn_instance,asn_mgmt_az1,3))),IF(mgmt_domain_chosen="First Instance",CONCATENATE(asn_start,asn_instance,asn_mgmt_az1,3),IF(mgmt_nsxt_federation_result="Included",CONCATENATE(asn_start,asn_instance,asn_mgmt_az1,3),CONCATENATE(asn_start,asn_instance,asn_mgmt_az1,3))))</f>
        <v>65113</v>
      </c>
      <c r="H75" s="9" t="str">
        <f>IF(cluster_wld_domain_chosen="VI Workload Domain",IF(mgmt_domain_chosen="First Instance",CONCATENATE(asn_start,asn_instance,asn_wld_az1,4),IF(wld_nsxt_federation_result="Included",CONCATENATE(asn_start,asn_instance,asn_wld_az1,4),CONCATENATE(asn_start,asn_instance,asn_mgmt_az1,4))),IF(mgmt_domain_chosen="First Instance",CONCATENATE(asn_start,asn_instance,asn_mgmt_az1,4),IF(mgmt_nsxt_federation_result="Included",CONCATENATE(asn_start,asn_instance,asn_mgmt_az1,4),CONCATENATE(asn_start,asn_instance,asn_mgmt_az1,4))))</f>
        <v>65114</v>
      </c>
      <c r="K75" s="9" t="str">
        <f>IF(cluster_wld_domain_chosen="VI Workload Domain",IF(mgmt_domain_chosen="First Instance",CONCATENATE(asn_start,asn_instance,asn_wld_az1,5),IF(wld_nsxt_federation_result="Included",CONCATENATE(asn_start,asn_instance,asn_wld_az1,5),CONCATENATE(asn_start,asn_instance,asn_mgmt_az1,5))),IF(mgmt_domain_chosen="First Instance",CONCATENATE(asn_start,asn_instance,asn_mgmt_az1,5),IF(mgmt_nsxt_federation_result="Included",CONCATENATE(asn_start,asn_instance,asn_mgmt_az1,5),CONCATENATE(asn_start,asn_instance,asn_mgmt_az1,5))))</f>
        <v>65115</v>
      </c>
      <c r="N75" s="9" t="str">
        <f>IF(cluster_wld_domain_chosen="VI Workload Domain",IF(mgmt_domain_chosen="First Instance",CONCATENATE(asn_start,asn_instance,asn_wld_az1,6),IF(wld_nsxt_federation_result="Included",CONCATENATE(asn_start,asn_instance,asn_wld_az1,6),CONCATENATE(asn_start,asn_instance,asn_mgmt_az1,6))),IF(mgmt_domain_chosen="First Instance",CONCATENATE(asn_start,asn_instance,asn_mgmt_az1,6),IF(mgmt_nsxt_federation_result="Included",CONCATENATE(asn_start,asn_instance,asn_mgmt_az1,6),CONCATENATE(asn_start,asn_instance,asn_mgmt_az1,6))))</f>
        <v>65116</v>
      </c>
      <c r="Q75" s="9" t="str">
        <f>IF(cluster_wld_domain_chosen="VI Workload Domain",IF(mgmt_domain_chosen="First Instance",CONCATENATE(asn_start,asn_instance,asn_wld_az1,7),IF(wld_nsxt_federation_result="Included",CONCATENATE(asn_start,asn_instance,asn_wld_az1,7),CONCATENATE(asn_start,asn_instance,asn_mgmt_az1,7))),IF(mgmt_domain_chosen="First Instance",CONCATENATE(asn_start,asn_instance,asn_mgmt_az1,7),IF(mgmt_nsxt_federation_result="Included",CONCATENATE(asn_start,asn_instance,asn_mgmt_az1,7),CONCATENATE(asn_start,asn_instance,asn_mgmt_az1,7))))</f>
        <v>65117</v>
      </c>
      <c r="T75" s="9" t="str">
        <f>IF(cluster_wld_domain_chosen="VI Workload Domain",IF(mgmt_domain_chosen="First Instance",CONCATENATE(asn_start,asn_instance,asn_wld_az1,8),IF(wld_nsxt_federation_result="Included",CONCATENATE(asn_start,asn_instance,asn_wld_az1,8),CONCATENATE(asn_start,asn_instance,asn_mgmt_az1,8))),IF(mgmt_domain_chosen="First Instance",CONCATENATE(asn_start,asn_instance,asn_mgmt_az1,8),IF(mgmt_nsxt_federation_result="Included",CONCATENATE(asn_start,asn_instance,asn_mgmt_az1,8),CONCATENATE(asn_start,asn_instance,asn_mgmt_az1,8))))</f>
        <v>65118</v>
      </c>
      <c r="W75" s="42" t="s">
        <v>4126</v>
      </c>
      <c r="X75" s="42" t="str">
        <f>IF(flt_def_vcf_custom_size_chosen="Selected",flt_def_vcf_operations_proxy_custom_size_chosen,
IF(flt_def_vcf_operations_ha_mode_chosen="Simple","Small",
IF(AND(flt_def_vcf_operations_ha_mode_chosen="High Availability (Three-Node)",flt_def_vcf_operations_size_chosen="Medium"),"Standard",
IF(AND(flt_def_vcf_operations_ha_mode_chosen="High Availability (Three-Node)",flt_def_vcf_operations_size_chosen="Large"),"Standard",""))))</f>
        <v>Small</v>
      </c>
    </row>
    <row r="76" spans="1:24" x14ac:dyDescent="0.2">
      <c r="A76" s="4" t="s">
        <v>167</v>
      </c>
      <c r="B76" s="9" t="s">
        <v>31</v>
      </c>
      <c r="E76" s="9" t="s">
        <v>31</v>
      </c>
      <c r="H76" s="9" t="s">
        <v>31</v>
      </c>
      <c r="K76" s="9" t="s">
        <v>31</v>
      </c>
      <c r="N76" s="9" t="s">
        <v>31</v>
      </c>
      <c r="Q76" s="9" t="s">
        <v>31</v>
      </c>
      <c r="T76" s="9" t="s">
        <v>31</v>
      </c>
      <c r="W76" s="42" t="s">
        <v>3399</v>
      </c>
      <c r="X76" s="42" t="str">
        <f>IF(flt_def_vcf_custom_size_chosen="Selected",flt_def_auto_size_chosen,
IF(flt_def_vcf_operations_ha_mode_chosen="Simple","Small",
IF(AND(flt_def_vcf_operations_ha_mode_chosen="High Availability (Three-Node)",flt_def_vcf_operations_size_chosen="Medium"),"Medium",
IF(AND(flt_def_vcf_operations_ha_mode_chosen="High Availability (Three-Node)",flt_def_vcf_operations_size_chosen="Large"),"Large","Large"))))</f>
        <v>Small</v>
      </c>
    </row>
    <row r="77" spans="1:24" x14ac:dyDescent="0.2">
      <c r="A77" s="4" t="s">
        <v>168</v>
      </c>
      <c r="B77" s="9" t="str">
        <f>IF(cluster_wld_domain_chosen="VI Workload Domain",CONCATENATE(prefix_wld_az1_cidr,"29.10"),CONCATENATE(prefix_mgmt_az1_cidr,"29.10"))</f>
        <v>10.11.29.10</v>
      </c>
      <c r="E77" s="9" t="str">
        <f>IF(cluster_wld_domain_chosen="VI Workload Domain",CONCATENATE(prefix_wld_az1_cidr,"40.10"),CONCATENATE(prefix_mgmt_az1_cidr,"40.10"))</f>
        <v>10.11.40.10</v>
      </c>
      <c r="H77" s="9" t="str">
        <f>IF(cluster_wld_domain_chosen="VI Workload Domain",CONCATENATE(prefix_wld_az1_cidr,"51.10"),CONCATENATE(prefix_mgmt_az1_cidr,"51.10"))</f>
        <v>10.11.51.10</v>
      </c>
      <c r="K77" s="9" t="str">
        <f>IF(cluster_wld_domain_chosen="VI Workload Domain",CONCATENATE(prefix_wld_az1_cidr,"62.10"),CONCATENATE(prefix_mgmt_az1_cidr,"62.10"))</f>
        <v>10.11.62.10</v>
      </c>
      <c r="N77" s="9" t="str">
        <f>IF(cluster_wld_domain_chosen="VI Workload Domain",CONCATENATE(prefix_wld_az1_cidr,"73.10"),CONCATENATE(prefix_mgmt_az1_cidr,"73.10"))</f>
        <v>10.11.73.10</v>
      </c>
      <c r="Q77" s="9" t="str">
        <f>IF(cluster_wld_domain_chosen="VI Workload Domain",CONCATENATE(prefix_wld_az1_cidr,"84.10"),CONCATENATE(prefix_mgmt_az1_cidr,"84.10"))</f>
        <v>10.11.84.10</v>
      </c>
      <c r="T77" s="9" t="str">
        <f>IF(cluster_wld_domain_chosen="VI Workload Domain",CONCATENATE(prefix_wld_az1_cidr,"95.10"),CONCATENATE(prefix_mgmt_az1_cidr,"95.10"))</f>
        <v>10.11.95.10</v>
      </c>
    </row>
    <row r="78" spans="1:24" x14ac:dyDescent="0.2">
      <c r="A78" s="4" t="s">
        <v>169</v>
      </c>
      <c r="B78" s="9" t="str">
        <f>IF(cluster_wld_domain_chosen="VI Workload Domain",IF(mgmt_domain_chosen="First Instance",CONCATENATE(asn_start,asn_instance,asn_wld_az1,2),IF(wld_nsxt_federation_result="Included",CONCATENATE(asn_start,asn_instance,asn_wld_az1,2),CONCATENATE(asn_start,asn_instance,asn_mgmt_az1,2))),IF(mgmt_domain_chosen="First Instance",CONCATENATE(asn_start,asn_instance,asn_mgmt_az1,2),IF(mgmt_nsxt_federation_result="Included",CONCATENATE(asn_start,asn_instance,asn_mgmt_az1,2),CONCATENATE(asn_start,asn_instance,asn_mgmt_az1,2))))</f>
        <v>65112</v>
      </c>
      <c r="E78" s="9" t="str">
        <f>IF(cluster_wld_domain_chosen="VI Workload Domain",IF(mgmt_domain_chosen="First Instance",CONCATENATE(asn_start,asn_instance,asn_wld_az1,3),IF(wld_nsxt_federation_result="Included",CONCATENATE(asn_start,asn_instance,asn_wld_az1,3),CONCATENATE(asn_start,asn_instance,asn_mgmt_az1,3))),IF(mgmt_domain_chosen="First Instance",CONCATENATE(asn_start,asn_instance,asn_mgmt_az1,3),IF(mgmt_nsxt_federation_result="Included",CONCATENATE(asn_start,asn_instance,asn_mgmt_az1,3),CONCATENATE(asn_start,asn_instance,asn_mgmt_az1,3))))</f>
        <v>65113</v>
      </c>
      <c r="H78" s="9" t="str">
        <f>IF(cluster_wld_domain_chosen="VI Workload Domain",IF(mgmt_domain_chosen="First Instance",CONCATENATE(asn_start,asn_instance,asn_wld_az1,4),IF(wld_nsxt_federation_result="Included",CONCATENATE(asn_start,asn_instance,asn_wld_az1,4),CONCATENATE(asn_start,asn_instance,asn_mgmt_az1,4))),IF(mgmt_domain_chosen="First Instance",CONCATENATE(asn_start,asn_instance,asn_mgmt_az1,4),IF(mgmt_nsxt_federation_result="Included",CONCATENATE(asn_start,asn_instance,asn_mgmt_az1,4),CONCATENATE(asn_start,asn_instance,asn_mgmt_az1,4))))</f>
        <v>65114</v>
      </c>
      <c r="K78" s="9" t="str">
        <f>IF(cluster_wld_domain_chosen="VI Workload Domain",IF(mgmt_domain_chosen="First Instance",CONCATENATE(asn_start,asn_instance,asn_wld_az1,5),IF(wld_nsxt_federation_result="Included",CONCATENATE(asn_start,asn_instance,asn_wld_az1,5),CONCATENATE(asn_start,asn_instance,asn_mgmt_az1,5))),IF(mgmt_domain_chosen="First Instance",CONCATENATE(asn_start,asn_instance,asn_mgmt_az1,5),IF(mgmt_nsxt_federation_result="Included",CONCATENATE(asn_start,asn_instance,asn_mgmt_az1,5),CONCATENATE(asn_start,asn_instance,asn_mgmt_az1,5))))</f>
        <v>65115</v>
      </c>
      <c r="N78" s="9" t="str">
        <f>IF(cluster_wld_domain_chosen="VI Workload Domain",IF(mgmt_domain_chosen="First Instance",CONCATENATE(asn_start,asn_instance,asn_wld_az1,6),IF(wld_nsxt_federation_result="Included",CONCATENATE(asn_start,asn_instance,asn_wld_az1,6),CONCATENATE(asn_start,asn_instance,asn_mgmt_az1,6))),IF(mgmt_domain_chosen="First Instance",CONCATENATE(asn_start,asn_instance,asn_mgmt_az1,6),IF(mgmt_nsxt_federation_result="Included",CONCATENATE(asn_start,asn_instance,asn_mgmt_az1,6),CONCATENATE(asn_start,asn_instance,asn_mgmt_az1,6))))</f>
        <v>65116</v>
      </c>
      <c r="Q78" s="9" t="str">
        <f>IF(cluster_wld_domain_chosen="VI Workload Domain",IF(mgmt_domain_chosen="First Instance",CONCATENATE(asn_start,asn_instance,asn_wld_az1,7),IF(wld_nsxt_federation_result="Included",CONCATENATE(asn_start,asn_instance,asn_wld_az1,7),CONCATENATE(asn_start,asn_instance,asn_mgmt_az1,7))),IF(mgmt_domain_chosen="First Instance",CONCATENATE(asn_start,asn_instance,asn_mgmt_az1,7),IF(mgmt_nsxt_federation_result="Included",CONCATENATE(asn_start,asn_instance,asn_mgmt_az1,7),CONCATENATE(asn_start,asn_instance,asn_mgmt_az1,7))))</f>
        <v>65117</v>
      </c>
      <c r="T78" s="9" t="str">
        <f>IF(cluster_wld_domain_chosen="VI Workload Domain",IF(mgmt_domain_chosen="First Instance",CONCATENATE(asn_start,asn_instance,asn_wld_az1,8),IF(wld_nsxt_federation_result="Included",CONCATENATE(asn_start,asn_instance,asn_wld_az1,8),CONCATENATE(asn_start,asn_instance,asn_mgmt_az1,8))),IF(mgmt_domain_chosen="First Instance",CONCATENATE(asn_start,asn_instance,asn_mgmt_az1,8),IF(mgmt_nsxt_federation_result="Included",CONCATENATE(asn_start,asn_instance,asn_mgmt_az1,8),CONCATENATE(asn_start,asn_instance,asn_mgmt_az1,8))))</f>
        <v>65118</v>
      </c>
    </row>
    <row r="79" spans="1:24" x14ac:dyDescent="0.2">
      <c r="A79" s="4" t="s">
        <v>170</v>
      </c>
      <c r="B79" s="9" t="s">
        <v>31</v>
      </c>
      <c r="E79" s="9" t="s">
        <v>31</v>
      </c>
      <c r="H79" s="9" t="s">
        <v>31</v>
      </c>
      <c r="K79" s="9" t="s">
        <v>31</v>
      </c>
      <c r="N79" s="9" t="s">
        <v>31</v>
      </c>
      <c r="Q79" s="9" t="s">
        <v>31</v>
      </c>
      <c r="T79" s="9" t="s">
        <v>31</v>
      </c>
    </row>
  </sheetData>
  <sheetProtection algorithmName="SHA-512" hashValue="Zk2M0k/PskVEuutRvOyUn98g+RA9auhJrdtBEfMIZB6nMA9k6n9TmW97qZKJufMuom9DYMhnuALmGFdXmLsV/g==" saltValue="PptmlZciuzVSsg+/tQ4jtg==" spinCount="100000" sheet="1" objects="1" scenarios="1"/>
  <mergeCells count="7">
    <mergeCell ref="W25:Z25"/>
    <mergeCell ref="W40:Z40"/>
    <mergeCell ref="W32:Z32"/>
    <mergeCell ref="W4:Z4"/>
    <mergeCell ref="W3:Z3"/>
    <mergeCell ref="W9:Z9"/>
    <mergeCell ref="W13:Z13"/>
  </mergeCells>
  <conditionalFormatting sqref="A20">
    <cfRule type="expression" dxfId="1385" priority="60">
      <formula>AND((VRLI_Result="Excluded"),(VROPS_Result="Excluded"),(VRA_Result="Excluded"))</formula>
    </cfRule>
  </conditionalFormatting>
  <conditionalFormatting sqref="A13:C14 A18:C19">
    <cfRule type="expression" dxfId="1384" priority="54">
      <formula>vrslcm_result="Excluded"</formula>
    </cfRule>
  </conditionalFormatting>
  <conditionalFormatting sqref="A15:C15">
    <cfRule type="expression" dxfId="1383" priority="53" stopIfTrue="1">
      <formula>iam_result="Excluded"</formula>
    </cfRule>
  </conditionalFormatting>
  <conditionalFormatting sqref="A16:C17">
    <cfRule type="expression" dxfId="1382" priority="56">
      <formula>AND((iam_result="Excluded"),(intelligent_operations_result="Excluded"),(intelligent_logging_result="Excluded"),(private_cloud_result="Excluded"))</formula>
    </cfRule>
  </conditionalFormatting>
  <conditionalFormatting sqref="C11:C14">
    <cfRule type="notContainsBlanks" dxfId="1381" priority="59">
      <formula>LEN(TRIM(C11))&gt;0</formula>
    </cfRule>
  </conditionalFormatting>
  <conditionalFormatting sqref="C11:C17">
    <cfRule type="containsBlanks" dxfId="1380" priority="57">
      <formula>LEN(TRIM(C11))=0</formula>
    </cfRule>
  </conditionalFormatting>
  <conditionalFormatting sqref="C12">
    <cfRule type="expression" dxfId="1379" priority="52">
      <formula>AND((mgmt_stretched_cluster_result="Excluded"),(wld_stretched_cluster_result="Excluded"))</formula>
    </cfRule>
  </conditionalFormatting>
  <conditionalFormatting sqref="C18">
    <cfRule type="containsBlanks" dxfId="1378" priority="55">
      <formula>LEN(TRIM(C18))=0</formula>
    </cfRule>
  </conditionalFormatting>
  <conditionalFormatting sqref="C19">
    <cfRule type="expression" dxfId="1377" priority="58">
      <formula>AND((OR((spr_chosen="Management Only"),(spr_chosen="Management &amp; VI Workload"))),(ISBLANK(input_xregion_ntp2_server)))</formula>
    </cfRule>
  </conditionalFormatting>
  <conditionalFormatting sqref="X44:X53">
    <cfRule type="expression" dxfId="1376" priority="17">
      <formula>OR((private_cloud_result="Excluded"),(private_cloud_chosen="Connect Instance"))</formula>
    </cfRule>
  </conditionalFormatting>
  <conditionalFormatting sqref="X55:X56">
    <cfRule type="expression" dxfId="1375" priority="10">
      <formula>OR((private_cloud_result="Excluded"),(private_cloud_chosen="Connect Instance"))</formula>
    </cfRule>
  </conditionalFormatting>
  <conditionalFormatting sqref="Y5">
    <cfRule type="notContainsBlanks" dxfId="1373" priority="50">
      <formula>LEN(TRIM(Y5))&gt;0</formula>
    </cfRule>
    <cfRule type="containsBlanks" dxfId="1372" priority="51">
      <formula>LEN(TRIM(Y5))=0</formula>
    </cfRule>
  </conditionalFormatting>
  <conditionalFormatting sqref="Y5:Y7">
    <cfRule type="expression" dxfId="1371" priority="43">
      <formula>mgmt_cl01_vds_profile_chosen="Custom Switch Configuration"</formula>
    </cfRule>
    <cfRule type="expression" dxfId="1370" priority="44">
      <formula>mgmt_domain_existing_vcenter_chosen="Selected"</formula>
    </cfRule>
    <cfRule type="expression" dxfId="1369" priority="45">
      <formula>mgmt_domain_deployment_type_chosen="VMware vSphere Foundation"</formula>
    </cfRule>
  </conditionalFormatting>
  <conditionalFormatting sqref="Y6:Y7">
    <cfRule type="expression" dxfId="1368" priority="46">
      <formula>mgmt_host_overlay_addressing_chosen&lt;&gt;"IP Pool"</formula>
    </cfRule>
    <cfRule type="containsBlanks" dxfId="1367" priority="47">
      <formula>LEN(TRIM(Y6))=0</formula>
    </cfRule>
    <cfRule type="notContainsBlanks" dxfId="1366" priority="48">
      <formula>LEN(TRIM(Y6))&gt;0</formula>
    </cfRule>
  </conditionalFormatting>
  <conditionalFormatting sqref="Y10">
    <cfRule type="expression" dxfId="1365" priority="35">
      <formula>vcf_granular_option_chosen="Deploy a VCF Instance in an existing VCF Fleet"</formula>
    </cfRule>
    <cfRule type="expression" dxfId="1364" priority="36">
      <formula>mgmt_domain_deployment_type_chosen="VMware vSphere Foundation"</formula>
    </cfRule>
    <cfRule type="expression" dxfId="1363" priority="37">
      <formula>mgmt_domain_password_creation_chosen="Selected"</formula>
    </cfRule>
    <cfRule type="expression" dxfId="1362" priority="38">
      <formula>mgmt_domain_ops_automation_later_chosen="Selected"</formula>
    </cfRule>
    <cfRule type="expression" dxfId="1361" priority="39">
      <formula>mgmt_domain_existing_vcf_operations_chosen="Selected"</formula>
    </cfRule>
    <cfRule type="notContainsBlanks" dxfId="1359" priority="41">
      <formula>LEN(TRIM(Y10))&gt;0</formula>
    </cfRule>
    <cfRule type="containsBlanks" dxfId="1358" priority="42">
      <formula>LEN(TRIM(Y10))=0</formula>
    </cfRule>
  </conditionalFormatting>
  <conditionalFormatting sqref="Y14:Y23">
    <cfRule type="containsBlanks" dxfId="1357" priority="32">
      <formula>LEN(TRIM(Y14))=0</formula>
    </cfRule>
    <cfRule type="notContainsBlanks" dxfId="1355" priority="34">
      <formula>LEN(TRIM(Y14))&gt;0</formula>
    </cfRule>
  </conditionalFormatting>
  <conditionalFormatting sqref="Y14:Y24 Y26:Y31 Y33:Y39">
    <cfRule type="expression" dxfId="1354" priority="21">
      <formula>OR((flt_custom_network_vcf_ops_automation_chosen="Exclude"),(flt_custom_network_vcf_ops_automation_chosen ="Deploy VCF Operations and Automation"))</formula>
    </cfRule>
    <cfRule type="expression" dxfId="1353" priority="22">
      <formula>AND((flt_custom_network_vcf_ops_automation_chosen="Deploy VCF Automation"),(flt_custom_network_vcf_ops_automation_result="Excluded"))</formula>
    </cfRule>
    <cfRule type="expression" dxfId="1352" priority="23">
      <formula>vcf_automation_type="Import"</formula>
    </cfRule>
  </conditionalFormatting>
  <conditionalFormatting sqref="Y16">
    <cfRule type="expression" dxfId="1351" priority="31">
      <formula>vcf_automation_cert_type_chosen="Generate Certificate"</formula>
    </cfRule>
  </conditionalFormatting>
  <conditionalFormatting sqref="Y17:Y23">
    <cfRule type="expression" dxfId="1350" priority="30">
      <formula>vcf_automation_cert_type_chosen="Import Certificate"</formula>
    </cfRule>
  </conditionalFormatting>
  <conditionalFormatting sqref="Y24 Y26:Y31 Y33:Y39">
    <cfRule type="containsBlanks" dxfId="1349" priority="24">
      <formula>LEN(TRIM(Y24))=0</formula>
    </cfRule>
    <cfRule type="notContainsBlanks" dxfId="1347" priority="26">
      <formula>LEN(TRIM(Y24))&gt;0</formula>
    </cfRule>
  </conditionalFormatting>
  <conditionalFormatting sqref="Y41:Y62">
    <cfRule type="expression" dxfId="1346" priority="1">
      <formula>OR((flt_custom_network_vcf_ops_automation_chosen="Exclude"),(flt_custom_network_vcf_ops_automation_chosen ="Deploy VCF Operations and Automation"))</formula>
    </cfRule>
    <cfRule type="expression" dxfId="1345" priority="2">
      <formula>AND((flt_custom_network_vcf_ops_automation_chosen="Deploy VCF Automation"),(flt_custom_network_vcf_ops_automation_result="Excluded"))</formula>
    </cfRule>
    <cfRule type="containsBlanks" dxfId="1344" priority="4">
      <formula>LEN(TRIM(Y41))=0</formula>
    </cfRule>
    <cfRule type="notContainsBlanks" dxfId="1342" priority="6">
      <formula>LEN(TRIM(Y41))&gt;0</formula>
    </cfRule>
  </conditionalFormatting>
  <conditionalFormatting sqref="Y49:Y62">
    <cfRule type="expression" dxfId="1341" priority="3">
      <formula>vcf_automation_type="Import"</formula>
    </cfRule>
  </conditionalFormatting>
  <dataValidations disablePrompts="1" count="7">
    <dataValidation type="list" allowBlank="1" showInputMessage="1" showErrorMessage="1" sqref="C65:C67 F65:F67 I65:I67 L65:L67 O65:O67 R65:R67 U65:U67 Y39" xr:uid="{B13B4DB8-4DCC-2047-88E4-EBB71F90E5ED}">
      <formula1>table_masks</formula1>
    </dataValidation>
    <dataValidation type="list" allowBlank="1" showInputMessage="1" showErrorMessage="1" sqref="Y10" xr:uid="{AF68374F-C6E0-4249-91F4-B8396AEC4F33}">
      <formula1>"Selected,Unselected"</formula1>
    </dataValidation>
    <dataValidation type="list" allowBlank="1" showInputMessage="1" showErrorMessage="1" sqref="Y14" xr:uid="{ACAEE1EB-150C-A14A-8278-1F506B21EB1E}">
      <formula1>"Generate Certificate, Import Certificate"</formula1>
    </dataValidation>
    <dataValidation type="list" allowBlank="1" showInputMessage="1" showErrorMessage="1" sqref="Y23" xr:uid="{7143FC7E-7305-1444-9565-F8667B6757B2}">
      <formula1>"2048,4096"</formula1>
    </dataValidation>
    <dataValidation type="list" allowBlank="1" showInputMessage="1" showErrorMessage="1" sqref="Y36" xr:uid="{4D64331C-7C4C-904C-BDEB-9EA82E3E962B}">
      <formula1>"Use NTP Server,Use Host Time"</formula1>
    </dataValidation>
    <dataValidation type="list" allowBlank="1" showInputMessage="1" showErrorMessage="1" sqref="Y52" xr:uid="{BA2A58DB-A6BD-BA47-AEDB-5812ACF09ED2}">
      <formula1>"Internal Load Balancer, Others"</formula1>
    </dataValidation>
    <dataValidation type="list" allowBlank="1" showInputMessage="1" showErrorMessage="1" sqref="Y55" xr:uid="{8824C7EC-CB26-EB4D-8898-DCAD5633727D}">
      <formula1>"198.18.0.0/15,240.0.0.0/15,250.0.0.0/15"</formula1>
    </dataValidation>
  </dataValidations>
  <pageMargins left="0.7" right="0.7" top="0.75" bottom="0.75" header="0.3" footer="0.3"/>
  <pageSetup paperSize="9" orientation="portrait" horizontalDpi="0" verticalDpi="0"/>
  <extLst>
    <ext xmlns:x14="http://schemas.microsoft.com/office/spreadsheetml/2009/9/main" uri="{78C0D931-6437-407d-A8EE-F0AAD7539E65}">
      <x14:conditionalFormattings>
        <x14:conditionalFormatting xmlns:xm="http://schemas.microsoft.com/office/excel/2006/main">
          <x14:cfRule type="containsText" priority="49" operator="containsText" id="{8F8CCDBB-59A0-CA4D-8AED-EC36C61D5D50}">
            <xm:f>NOT(ISERROR(SEARCH("Value Missing",Y5)))</xm:f>
            <xm:f>"Value Missing"</xm:f>
            <x14:dxf>
              <font>
                <color rgb="FF0E223A"/>
              </font>
              <fill>
                <patternFill>
                  <bgColor rgb="FFFFBE29"/>
                </patternFill>
              </fill>
            </x14:dxf>
          </x14:cfRule>
          <xm:sqref>Y5</xm:sqref>
        </x14:conditionalFormatting>
        <x14:conditionalFormatting xmlns:xm="http://schemas.microsoft.com/office/excel/2006/main">
          <x14:cfRule type="containsText" priority="40" operator="containsText" id="{A67E0F63-B090-7247-B03E-6F600A9B0962}">
            <xm:f>NOT(ISERROR(SEARCH("Value Missing",Y10)))</xm:f>
            <xm:f>"Value Missing"</xm:f>
            <x14:dxf>
              <font>
                <color rgb="FF0E223A"/>
              </font>
              <fill>
                <patternFill>
                  <bgColor rgb="FFFFBE29"/>
                </patternFill>
              </fill>
            </x14:dxf>
          </x14:cfRule>
          <xm:sqref>Y10</xm:sqref>
        </x14:conditionalFormatting>
        <x14:conditionalFormatting xmlns:xm="http://schemas.microsoft.com/office/excel/2006/main">
          <x14:cfRule type="containsText" priority="33" operator="containsText" id="{66D4F762-F733-B94C-9D38-657E09FAB079}">
            <xm:f>NOT(ISERROR(SEARCH("Value Missing",Y14)))</xm:f>
            <xm:f>"Value Missing"</xm:f>
            <x14:dxf>
              <font>
                <color rgb="FF0E223A"/>
              </font>
              <fill>
                <patternFill>
                  <bgColor rgb="FFFFBE29"/>
                </patternFill>
              </fill>
            </x14:dxf>
          </x14:cfRule>
          <xm:sqref>Y14:Y23</xm:sqref>
        </x14:conditionalFormatting>
        <x14:conditionalFormatting xmlns:xm="http://schemas.microsoft.com/office/excel/2006/main">
          <x14:cfRule type="containsText" priority="25" operator="containsText" id="{3E48B7E1-2203-E14A-9AFC-4358F07A0DAE}">
            <xm:f>NOT(ISERROR(SEARCH("Value Missing",Y24)))</xm:f>
            <xm:f>"Value Missing"</xm:f>
            <x14:dxf>
              <font>
                <color rgb="FF0E223A"/>
              </font>
              <fill>
                <patternFill>
                  <bgColor rgb="FFFFBE29"/>
                </patternFill>
              </fill>
            </x14:dxf>
          </x14:cfRule>
          <xm:sqref>Y24 Y26:Y31 Y33:Y39</xm:sqref>
        </x14:conditionalFormatting>
        <x14:conditionalFormatting xmlns:xm="http://schemas.microsoft.com/office/excel/2006/main">
          <x14:cfRule type="containsText" priority="5" operator="containsText" id="{32CD9589-5CD7-4544-BD2E-4127BA6E2550}">
            <xm:f>NOT(ISERROR(SEARCH("Value Missing",Y41)))</xm:f>
            <xm:f>"Value Missing"</xm:f>
            <x14:dxf>
              <font>
                <color rgb="FF0E223A"/>
              </font>
              <fill>
                <patternFill>
                  <bgColor rgb="FFFFBE29"/>
                </patternFill>
              </fill>
            </x14:dxf>
          </x14:cfRule>
          <xm:sqref>Y41:Y62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4E573-5D55-1F41-89DB-9AB72D7C1F17}">
  <sheetPr codeName="Sheet28"/>
  <dimension ref="A1:AK509"/>
  <sheetViews>
    <sheetView showGridLines="0" topLeftCell="N1" zoomScaleNormal="100" workbookViewId="0">
      <pane ySplit="4" topLeftCell="A84" activePane="bottomLeft" state="frozen"/>
      <selection pane="bottomLeft" activeCell="AA101" sqref="AA101"/>
    </sheetView>
  </sheetViews>
  <sheetFormatPr baseColWidth="10" defaultColWidth="11" defaultRowHeight="20" customHeight="1" x14ac:dyDescent="0.2"/>
  <cols>
    <col min="1" max="1" width="2.83203125" style="9" customWidth="1"/>
    <col min="2" max="2" width="72.1640625" style="9" bestFit="1" customWidth="1"/>
    <col min="3" max="3" width="33.83203125" style="9" bestFit="1" customWidth="1"/>
    <col min="4" max="4" width="2.83203125" style="9" customWidth="1"/>
    <col min="5" max="5" width="55.6640625" style="9" bestFit="1" customWidth="1"/>
    <col min="6" max="6" width="40" style="9" bestFit="1" customWidth="1"/>
    <col min="7" max="7" width="2.83203125" style="9" customWidth="1"/>
    <col min="8" max="8" width="55.6640625" style="9" bestFit="1" customWidth="1"/>
    <col min="9" max="9" width="40.83203125" style="9" bestFit="1" customWidth="1"/>
    <col min="10" max="10" width="2.83203125" style="9" customWidth="1"/>
    <col min="11" max="11" width="54.6640625" style="9" bestFit="1" customWidth="1"/>
    <col min="12" max="12" width="49.6640625" style="9" bestFit="1" customWidth="1"/>
    <col min="13" max="13" width="2.83203125" style="9" customWidth="1"/>
    <col min="14" max="14" width="54.6640625" style="9" bestFit="1" customWidth="1"/>
    <col min="15" max="15" width="49.6640625" style="9" bestFit="1" customWidth="1"/>
    <col min="16" max="16" width="4.33203125" style="9" customWidth="1"/>
    <col min="17" max="17" width="54.6640625" style="9" bestFit="1" customWidth="1"/>
    <col min="18" max="18" width="49.6640625" style="9" bestFit="1" customWidth="1"/>
    <col min="19" max="19" width="4" style="9" customWidth="1"/>
    <col min="20" max="20" width="54.6640625" style="9" bestFit="1" customWidth="1"/>
    <col min="21" max="21" width="49.6640625" style="9" bestFit="1" customWidth="1"/>
    <col min="22" max="22" width="3.5" style="9" customWidth="1"/>
    <col min="23" max="23" width="54.6640625" style="9" bestFit="1" customWidth="1"/>
    <col min="24" max="24" width="49.6640625" style="9" bestFit="1" customWidth="1"/>
    <col min="25" max="25" width="2.6640625" style="9" customWidth="1"/>
    <col min="26" max="26" width="54.6640625" style="9" bestFit="1" customWidth="1"/>
    <col min="27" max="27" width="49.6640625" style="9" bestFit="1" customWidth="1"/>
    <col min="28" max="28" width="2.83203125" style="9" customWidth="1"/>
    <col min="29" max="29" width="54.6640625" style="9" bestFit="1" customWidth="1"/>
    <col min="30" max="30" width="49.6640625" style="9" bestFit="1" customWidth="1"/>
    <col min="31" max="31" width="2.83203125" style="9" customWidth="1"/>
    <col min="32" max="32" width="2.33203125" style="9" customWidth="1"/>
    <col min="33" max="33" width="51.6640625" style="9" bestFit="1" customWidth="1"/>
    <col min="34" max="34" width="50.83203125" style="9" customWidth="1"/>
    <col min="35" max="35" width="40.83203125" style="9" customWidth="1"/>
    <col min="36" max="37" width="2.83203125" style="9" customWidth="1"/>
    <col min="38" max="40" width="11" style="9" customWidth="1"/>
    <col min="41" max="16384" width="11" style="9"/>
  </cols>
  <sheetData>
    <row r="1" spans="1:34" s="2" customFormat="1" ht="16" customHeight="1" x14ac:dyDescent="0.2">
      <c r="A1" s="1"/>
      <c r="B1" s="1"/>
      <c r="C1" s="1"/>
      <c r="D1" s="1"/>
      <c r="E1" s="1"/>
      <c r="F1" s="1"/>
      <c r="G1" s="1"/>
      <c r="H1" s="1"/>
      <c r="I1" s="1"/>
      <c r="J1" s="1"/>
    </row>
    <row r="2" spans="1:34" s="2" customFormat="1" ht="54" customHeight="1" x14ac:dyDescent="0.2">
      <c r="E2" s="626" t="s">
        <v>1030</v>
      </c>
      <c r="F2" s="626"/>
      <c r="G2" s="626"/>
      <c r="H2" s="626"/>
      <c r="I2" s="626"/>
      <c r="J2" s="626"/>
      <c r="K2" s="626"/>
      <c r="L2" s="626"/>
      <c r="M2" s="626"/>
    </row>
    <row r="3" spans="1:34" s="2" customFormat="1" ht="20" customHeight="1" x14ac:dyDescent="0.2">
      <c r="E3" s="431" t="s">
        <v>1031</v>
      </c>
      <c r="F3" s="431"/>
      <c r="G3" s="431"/>
      <c r="H3" s="431"/>
      <c r="I3" s="431"/>
      <c r="J3" s="431"/>
      <c r="K3" s="431"/>
      <c r="L3" s="431"/>
      <c r="M3" s="431"/>
    </row>
    <row r="4" spans="1:34" s="2" customFormat="1" ht="16" x14ac:dyDescent="0.2">
      <c r="M4" s="11"/>
    </row>
    <row r="5" spans="1:34" s="2" customFormat="1" ht="16" x14ac:dyDescent="0.2">
      <c r="M5" s="11"/>
    </row>
    <row r="6" spans="1:34" s="2" customFormat="1" ht="20" customHeight="1" x14ac:dyDescent="0.2">
      <c r="B6" s="624" t="s">
        <v>1032</v>
      </c>
      <c r="C6" s="625"/>
      <c r="E6" s="624" t="s">
        <v>1033</v>
      </c>
      <c r="F6" s="625"/>
      <c r="H6" s="12" t="s">
        <v>1034</v>
      </c>
      <c r="I6" s="13"/>
      <c r="K6" s="12" t="s">
        <v>1035</v>
      </c>
      <c r="L6" s="13"/>
      <c r="N6" s="12" t="s">
        <v>1036</v>
      </c>
      <c r="O6" s="13"/>
      <c r="Q6" s="14" t="s">
        <v>1037</v>
      </c>
      <c r="R6" s="15"/>
      <c r="T6" s="14" t="s">
        <v>1038</v>
      </c>
      <c r="U6" s="15"/>
      <c r="W6" s="14" t="s">
        <v>1039</v>
      </c>
      <c r="X6" s="15"/>
      <c r="Z6" s="14" t="s">
        <v>1040</v>
      </c>
      <c r="AA6" s="15"/>
      <c r="AB6" s="7"/>
      <c r="AC6" s="14" t="s">
        <v>1041</v>
      </c>
      <c r="AD6" s="15"/>
      <c r="AG6" s="627" t="s">
        <v>1042</v>
      </c>
      <c r="AH6" s="629"/>
    </row>
    <row r="7" spans="1:34" s="2" customFormat="1" ht="20" customHeight="1" x14ac:dyDescent="0.2">
      <c r="B7" s="17" t="s">
        <v>254</v>
      </c>
      <c r="C7" s="18" t="s">
        <v>1043</v>
      </c>
      <c r="E7" s="17" t="s">
        <v>254</v>
      </c>
      <c r="F7" s="18" t="s">
        <v>1044</v>
      </c>
      <c r="H7" s="17" t="s">
        <v>254</v>
      </c>
      <c r="I7" s="18" t="s">
        <v>1044</v>
      </c>
      <c r="K7" s="17" t="s">
        <v>254</v>
      </c>
      <c r="L7" s="18" t="s">
        <v>1044</v>
      </c>
      <c r="N7" s="17" t="s">
        <v>254</v>
      </c>
      <c r="O7" s="18" t="s">
        <v>1044</v>
      </c>
      <c r="Q7" s="19" t="s">
        <v>254</v>
      </c>
      <c r="R7" s="20" t="s">
        <v>1044</v>
      </c>
      <c r="S7" s="21"/>
      <c r="T7" s="19" t="s">
        <v>254</v>
      </c>
      <c r="U7" s="20" t="s">
        <v>1044</v>
      </c>
      <c r="V7" s="21"/>
      <c r="W7" s="19" t="s">
        <v>254</v>
      </c>
      <c r="X7" s="20" t="s">
        <v>1044</v>
      </c>
      <c r="Y7" s="21"/>
      <c r="Z7" s="19" t="s">
        <v>254</v>
      </c>
      <c r="AA7" s="20" t="s">
        <v>1044</v>
      </c>
      <c r="AB7" s="21"/>
      <c r="AC7" s="19" t="s">
        <v>254</v>
      </c>
      <c r="AD7" s="20" t="s">
        <v>1044</v>
      </c>
      <c r="AG7" s="22" t="s">
        <v>1045</v>
      </c>
      <c r="AH7" s="8">
        <f>IF(AND(this_instance="sfo",wld_domain_number_chosen=1),13,IF(AND(this_instance="sfo",wld_domain_number_chosen=2),15,IF(AND(this_instance="sfo",wld_domain_number_chosen=3),17,IF(AND(this_instance="lax",wld_domain_number_chosen=1),23,IF(AND(this_instance="lax",wld_domain_number_chosen=2),25,IF(AND(this_instance="lax",wld_domain_number_chosen=3),27))))))</f>
        <v>13</v>
      </c>
    </row>
    <row r="8" spans="1:34" s="2" customFormat="1" ht="20" customHeight="1" x14ac:dyDescent="0.2">
      <c r="B8" s="4" t="s">
        <v>1046</v>
      </c>
      <c r="C8" s="8" t="str">
        <f>mgmt_offline_depot_chosen</f>
        <v>Online</v>
      </c>
      <c r="E8" s="4" t="s">
        <v>1047</v>
      </c>
      <c r="F8" s="8" t="str">
        <f>IF(ISBLANK('Deploy Management Domain'!L107),"Value Missing",'Deploy Management Domain'!L107)</f>
        <v>Value Missing</v>
      </c>
      <c r="H8" s="4" t="s">
        <v>1047</v>
      </c>
      <c r="I8" s="8" t="str">
        <f>IF(ISBLANK(input_wld_az1_mgmt_vm_vlan),"Value Missing",input_wld_az1_mgmt_vm_vlan)</f>
        <v>Value Missing</v>
      </c>
      <c r="K8" s="4" t="s">
        <v>1047</v>
      </c>
      <c r="L8" s="8" t="str">
        <f>IF(ISBLANK(input_wld_az1_rack2_mgmt_vm_vlan),"Value Missing",input_wld_az1_rack2_mgmt_vm_vlan)</f>
        <v>Value Missing</v>
      </c>
      <c r="N8" s="4" t="s">
        <v>1047</v>
      </c>
      <c r="O8" s="8" t="str">
        <f>IF(ISBLANK(input_wld_az1_rack3_mgmt_vm_vlan),"Value Missing",input_wld_az1_rack3_mgmt_vm_vlan)</f>
        <v>Value Missing</v>
      </c>
      <c r="Q8" s="4" t="s">
        <v>1047</v>
      </c>
      <c r="R8" s="8" t="str">
        <f>IF(ISBLANK(input_wld_az1_rack4_mgmt_vm_vlan),"Value Missing",input_wld_az1_rack4_mgmt_vm_vlan)</f>
        <v>Value Missing</v>
      </c>
      <c r="T8" s="4" t="s">
        <v>1047</v>
      </c>
      <c r="U8" s="8" t="str">
        <f>IF(ISBLANK(input_wld_az1_rack5_mgmt_vm_vlan),"Value Missing",input_wld_az1_rack5_mgmt_vm_vlan)</f>
        <v>Value Missing</v>
      </c>
      <c r="W8" s="4" t="s">
        <v>1047</v>
      </c>
      <c r="X8" s="8" t="str">
        <f>IF(ISBLANK(input_wld_az1_rack6_mgmt_vm_vlan),"Value Missing",input_wld_az1_rack6_mgmt_vm_vlan)</f>
        <v>Value Missing</v>
      </c>
      <c r="Z8" s="4" t="s">
        <v>1047</v>
      </c>
      <c r="AA8" s="8" t="str">
        <f>IF(ISBLANK(input_wld_az1_rack7_mgmt_vm_vlan),"Value Missing",input_wld_az1_rack7_mgmt_vm_vlan)</f>
        <v>Value Missing</v>
      </c>
      <c r="AC8" s="4" t="s">
        <v>1047</v>
      </c>
      <c r="AD8" s="8" t="str">
        <f>IF(ISBLANK(input_wld_az1_rack8_mgmt_vm_vlan),"Value Missing",input_wld_az1_rack8_mgmt_vm_vlan)</f>
        <v>Value Missing</v>
      </c>
      <c r="AG8" s="22" t="s">
        <v>1048</v>
      </c>
      <c r="AH8" s="8">
        <f>IF(AND(this_instance="sfo",wld_domain_number_chosen=1),14,IF(AND(this_instance="sfo",wld_domain_number_chosen=2),16,IF(AND(this_instance="sfo",wld_domain_number_chosen=3),18,IF(AND(this_instance="lax",wld_domain_number_chosen=1),24,IF(AND(this_instance="lax",wld_domain_number_chosen=2),26,IF(AND(this_instance="lax",wld_domain_number_chosen=3),28))))))</f>
        <v>14</v>
      </c>
    </row>
    <row r="9" spans="1:34" s="2" customFormat="1" ht="20" customHeight="1" x14ac:dyDescent="0.2">
      <c r="B9" s="4" t="s">
        <v>295</v>
      </c>
      <c r="C9" s="8" t="str">
        <f>mgmt_offline_depot_fqdn</f>
        <v>Value Missing</v>
      </c>
      <c r="E9" s="4" t="s">
        <v>1049</v>
      </c>
      <c r="F9" s="8" t="str">
        <f>IF(ISBLANK(input_mgmt_az1_mgmt_vlan),"Value Missing",input_mgmt_az1_mgmt_vlan)</f>
        <v>Value Missing</v>
      </c>
      <c r="H9" s="4" t="s">
        <v>1049</v>
      </c>
      <c r="I9" s="8" t="str">
        <f>IF(ISBLANK(input_wld_az1_mgmt_vlan),"Value Missing",input_wld_az1_mgmt_vlan)</f>
        <v>Value Missing</v>
      </c>
      <c r="K9" s="4" t="s">
        <v>1049</v>
      </c>
      <c r="L9" s="8" t="str">
        <f>IF(ISBLANK(input_wld_az1_rack2_mgmt_vlan),"Value Missing",input_wld_az1_rack2_mgmt_vlan)</f>
        <v>Value Missing</v>
      </c>
      <c r="N9" s="4" t="s">
        <v>1049</v>
      </c>
      <c r="O9" s="8" t="str">
        <f>IF(ISBLANK(input_wld_az1_rack3_mgmt_vlan),"Value Missing",input_wld_az1_rack3_mgmt_vlan)</f>
        <v>Value Missing</v>
      </c>
      <c r="Q9" s="4" t="s">
        <v>1049</v>
      </c>
      <c r="R9" s="8" t="str">
        <f>IF(ISBLANK(input_wld_az1_rack4_mgmt_vlan),"Value Missing",input_wld_az1_rack4_mgmt_vlan)</f>
        <v>Value Missing</v>
      </c>
      <c r="T9" s="4" t="s">
        <v>1049</v>
      </c>
      <c r="U9" s="8" t="str">
        <f>IF(ISBLANK(input_wld_az1_rack5_mgmt_vlan),"Value Missing",input_wld_az1_rack5_mgmt_vlan)</f>
        <v>Value Missing</v>
      </c>
      <c r="W9" s="4" t="s">
        <v>1049</v>
      </c>
      <c r="X9" s="8" t="str">
        <f>IF(ISBLANK(input_wld_az1_rack6_mgmt_vlan),"Value Missing",input_wld_az1_rack6_mgmt_vlan)</f>
        <v>Value Missing</v>
      </c>
      <c r="Z9" s="4" t="s">
        <v>1049</v>
      </c>
      <c r="AA9" s="8" t="str">
        <f>IF(ISBLANK(input_wld_az1_rack7_mgmt_vlan),"Value Missing",input_wld_az1_rack7_mgmt_vlan)</f>
        <v>Value Missing</v>
      </c>
      <c r="AC9" s="4" t="s">
        <v>1049</v>
      </c>
      <c r="AD9" s="8" t="str">
        <f>IF(ISBLANK(input_wld_az1_rack8_mgmt_vlan),"Value Missing",input_wld_az1_rack8_mgmt_vlan)</f>
        <v>Value Missing</v>
      </c>
      <c r="AG9" s="22" t="s">
        <v>1050</v>
      </c>
      <c r="AH9" s="8" t="str">
        <f>CONCATENATE("10.",prefix_wld_az1_rack_vlan,".")</f>
        <v>10.13.</v>
      </c>
    </row>
    <row r="10" spans="1:34" s="2" customFormat="1" ht="20" customHeight="1" x14ac:dyDescent="0.2">
      <c r="B10" s="4" t="s">
        <v>25</v>
      </c>
      <c r="C10" s="8" t="str">
        <f>mgmt_offline_depot_port</f>
        <v>Value Missing</v>
      </c>
      <c r="E10" s="4" t="s">
        <v>244</v>
      </c>
      <c r="F10" s="8" t="str">
        <f>IF(ISBLANK(input_mgmt_az1_vmotion_vlan),"Value Missing",input_mgmt_az1_vmotion_vlan)</f>
        <v>Value Missing</v>
      </c>
      <c r="H10" s="4" t="s">
        <v>244</v>
      </c>
      <c r="I10" s="8" t="str">
        <f>IF(ISBLANK(input_wld_az1_vmotion_vlan),"Value Missing",input_wld_az1_vmotion_vlan)</f>
        <v>Value Missing</v>
      </c>
      <c r="K10" s="4" t="s">
        <v>244</v>
      </c>
      <c r="L10" s="8" t="str">
        <f>IF(ISBLANK(input_wld_az1_rack2_vmotion_vlan),"Value Missing",input_wld_az1_rack2_vmotion_vlan)</f>
        <v>Value Missing</v>
      </c>
      <c r="N10" s="4" t="s">
        <v>244</v>
      </c>
      <c r="O10" s="8" t="str">
        <f>IF(ISBLANK(input_wld_az1_rack3_vmotion_vlan),"Value Missing",input_wld_az1_rack3_vmotion_vlan)</f>
        <v>Value Missing</v>
      </c>
      <c r="Q10" s="4" t="s">
        <v>244</v>
      </c>
      <c r="R10" s="8" t="str">
        <f>IF(ISBLANK(input_wld_az1_rack4_vmotion_vlan),"Value Missing",input_wld_az1_rack4_vmotion_vlan)</f>
        <v>Value Missing</v>
      </c>
      <c r="T10" s="4" t="s">
        <v>244</v>
      </c>
      <c r="U10" s="8" t="str">
        <f>IF(ISBLANK(input_wld_az1_rack5_vmotion_vlan),"Value Missing",input_wld_az1_rack5_vmotion_vlan)</f>
        <v>Value Missing</v>
      </c>
      <c r="W10" s="4" t="s">
        <v>244</v>
      </c>
      <c r="X10" s="8" t="str">
        <f>IF(ISBLANK(input_wld_az1_rack6_vmotion_vlan),"Value Missing",input_wld_az1_rack6_vmotion_vlan)</f>
        <v>Value Missing</v>
      </c>
      <c r="Z10" s="4" t="s">
        <v>244</v>
      </c>
      <c r="AA10" s="8" t="str">
        <f>IF(ISBLANK(input_wld_az1_rack7_vmotion_vlan),"Value Missing",input_wld_az1_rack7_vmotion_vlan)</f>
        <v>Value Missing</v>
      </c>
      <c r="AC10" s="4" t="s">
        <v>244</v>
      </c>
      <c r="AD10" s="8" t="str">
        <f>IF(ISBLANK(input_wld_az1_rack8_vmotion_vlan),"Value Missing",input_wld_az1_rack8_vmotion_vlan)</f>
        <v>Value Missing</v>
      </c>
      <c r="AG10" s="22" t="s">
        <v>1051</v>
      </c>
      <c r="AH10" s="8" t="str">
        <f>CONCATENATE("10.",prefix_wld_az2_rack_vlan)</f>
        <v>10.14</v>
      </c>
    </row>
    <row r="11" spans="1:34" s="2" customFormat="1" ht="20" customHeight="1" x14ac:dyDescent="0.2">
      <c r="B11" s="4" t="s">
        <v>30</v>
      </c>
      <c r="C11" s="8" t="str">
        <f>svc_my_vmware_password</f>
        <v>Value Missing</v>
      </c>
      <c r="E11" s="23" t="str">
        <f>CONCATENATE("Principal Storage Network ",wld_principal_storage_chosen)</f>
        <v>Principal Storage Network vSAN-ESA</v>
      </c>
      <c r="F11" s="8" t="str">
        <f>IF(ISBLANK(input_mgmt_az1_vsan_vlan),"Value Missing",input_mgmt_az1_vsan_vlan)</f>
        <v>Value Missing</v>
      </c>
      <c r="H11" s="23" t="s">
        <v>250</v>
      </c>
      <c r="I11" s="8" t="str">
        <f>IF(ISBLANK(input_wld_az1_principal_storage_vlan),"Value Missing",input_wld_az1_principal_storage_vlan)</f>
        <v>Value Missing</v>
      </c>
      <c r="K11" s="23" t="str">
        <f>CONCATENATE("Principal Storage Network ",wld_principal_storage_chosen)</f>
        <v>Principal Storage Network vSAN-ESA</v>
      </c>
      <c r="L11" s="8" t="str">
        <f>IF(ISBLANK(input_wld_az1_rack2_principal_storage_vlan),"Value Missing",input_wld_az1_rack2_principal_storage_vlan)</f>
        <v>Value Missing</v>
      </c>
      <c r="N11" s="23" t="str">
        <f>CONCATENATE("Principal Storage Network ",wld_principal_storage_chosen)</f>
        <v>Principal Storage Network vSAN-ESA</v>
      </c>
      <c r="O11" s="8" t="str">
        <f>IF(ISBLANK(input_wld_az1_rack3_principal_storage_vlan),"Value Missing",input_wld_az1_rack3_principal_storage_vlan)</f>
        <v>Value Missing</v>
      </c>
      <c r="Q11" s="23" t="str">
        <f>CONCATENATE("Principal Storage Network ",wld_principal_storage_chosen)</f>
        <v>Principal Storage Network vSAN-ESA</v>
      </c>
      <c r="R11" s="8" t="str">
        <f>IF(ISBLANK(input_wld_az1_rack4_principal_storage_vlan),"Value Missing",input_wld_az1_rack4_principal_storage_vlan)</f>
        <v>Value Missing</v>
      </c>
      <c r="T11" s="23" t="str">
        <f>CONCATENATE("Principal Storage Network ",wld_principal_storage_chosen)</f>
        <v>Principal Storage Network vSAN-ESA</v>
      </c>
      <c r="U11" s="8" t="str">
        <f>IF(ISBLANK(input_wld_az1_rack5_principal_storage_vlan),"Value Missing",input_wld_az1_rack5_principal_storage_vlan)</f>
        <v>Value Missing</v>
      </c>
      <c r="W11" s="23" t="str">
        <f>CONCATENATE("Principal Storage Network ",wld_principal_storage_chosen)</f>
        <v>Principal Storage Network vSAN-ESA</v>
      </c>
      <c r="X11" s="8" t="str">
        <f>IF(ISBLANK(input_wld_az1_rack6_principal_storage_vlan),"Value Missing",input_wld_az1_rack6_principal_storage_vlan)</f>
        <v>Value Missing</v>
      </c>
      <c r="Z11" s="23" t="str">
        <f>CONCATENATE("Principal Storage Network ",wld_principal_storage_chosen)</f>
        <v>Principal Storage Network vSAN-ESA</v>
      </c>
      <c r="AA11" s="8" t="str">
        <f>IF(ISBLANK(input_wld_az1_rack7_principal_storage_vlan),"Value Missing",input_wld_az1_rack7_principal_storage_vlan)</f>
        <v>Value Missing</v>
      </c>
      <c r="AC11" s="23" t="str">
        <f>CONCATENATE("Principal Storage Network ",wld_principal_storage_chosen)</f>
        <v>Principal Storage Network vSAN-ESA</v>
      </c>
      <c r="AD11" s="8" t="str">
        <f>IF(ISBLANK(input_wld_az1_rack8_principal_storage_vlan),"Value Missing",input_wld_az1_rack8_principal_storage_vlan)</f>
        <v>Value Missing</v>
      </c>
      <c r="AG11" s="9"/>
    </row>
    <row r="12" spans="1:34" s="2" customFormat="1" ht="20" customHeight="1" x14ac:dyDescent="0.2">
      <c r="B12" s="4" t="s">
        <v>1052</v>
      </c>
      <c r="C12" s="8" t="str">
        <f>mgmt_offline_depot_chosen</f>
        <v>Online</v>
      </c>
      <c r="E12" s="4" t="s">
        <v>1053</v>
      </c>
      <c r="F12" s="8" t="str">
        <f>IF(ISBLANK(input_mgmt_az1_host_overlay_vlan),"Value Missing",input_mgmt_az1_host_overlay_vlan)</f>
        <v>Value Missing</v>
      </c>
      <c r="H12" s="4" t="s">
        <v>1053</v>
      </c>
      <c r="I12" s="8" t="str">
        <f>IF(ISBLANK(input_wld_az1_host_overlay_vlan),"Value Missing",input_wld_az1_host_overlay_vlan)</f>
        <v>Value Missing</v>
      </c>
      <c r="K12" s="4" t="s">
        <v>1053</v>
      </c>
      <c r="L12" s="8" t="str">
        <f>IF(ISBLANK(input_wld_az1_rack2_host_overlay_vlan),"Value Missing",input_wld_az1_rack2_host_overlay_vlan)</f>
        <v>Value Missing</v>
      </c>
      <c r="N12" s="4" t="s">
        <v>1053</v>
      </c>
      <c r="O12" s="8" t="str">
        <f>IF(ISBLANK(input_wld_az1_rack3_host_overlay_vlan),"Value Missing",input_wld_az1_rack3_host_overlay_vlan)</f>
        <v>Value Missing</v>
      </c>
      <c r="Q12" s="4" t="s">
        <v>1053</v>
      </c>
      <c r="R12" s="8" t="str">
        <f>IF(ISBLANK(input_wld_az1_rack4_host_overlay_vlan),"Value Missing",input_wld_az1_rack4_host_overlay_vlan)</f>
        <v>Value Missing</v>
      </c>
      <c r="T12" s="4" t="s">
        <v>1053</v>
      </c>
      <c r="U12" s="8" t="str">
        <f>IF(ISBLANK(input_wld_az1_rack5_host_overlay_vlan),"Value Missing",input_wld_az1_rack5_host_overlay_vlan)</f>
        <v>Value Missing</v>
      </c>
      <c r="W12" s="4" t="s">
        <v>1053</v>
      </c>
      <c r="X12" s="8" t="str">
        <f>IF(ISBLANK(input_wld_az1_rack6_host_overlay_vlan),"Value Missing",input_wld_az1_rack6_host_overlay_vlan)</f>
        <v>Value Missing</v>
      </c>
      <c r="Z12" s="4" t="s">
        <v>1053</v>
      </c>
      <c r="AA12" s="8" t="str">
        <f>IF(ISBLANK(input_wld_az1_rack7_host_overlay_vlan),"Value Missing",input_wld_az1_rack7_host_overlay_vlan)</f>
        <v>Value Missing</v>
      </c>
      <c r="AC12" s="4" t="s">
        <v>1053</v>
      </c>
      <c r="AD12" s="8" t="str">
        <f>IF(ISBLANK(input_wld_az1_rack8_host_overlay_vlan),"Value Missing",input_wld_az1_rack8_host_overlay_vlan)</f>
        <v>Value Missing</v>
      </c>
    </row>
    <row r="13" spans="1:34" s="2" customFormat="1" ht="20" customHeight="1" x14ac:dyDescent="0.2">
      <c r="B13" s="4" t="s">
        <v>1054</v>
      </c>
      <c r="C13" s="8" t="str">
        <f>mgmt_internet_proxy_type_chosen</f>
        <v>HTTPS</v>
      </c>
      <c r="E13" s="24" t="s">
        <v>1055</v>
      </c>
      <c r="F13" s="8" t="str">
        <f>IF(ISBLANK(input_mgmt_az1_secondary_storage_vlan),"Value Missing",input_mgmt_az1_secondary_storage_vlan)</f>
        <v>Value Missing</v>
      </c>
      <c r="H13" s="4" t="s">
        <v>1055</v>
      </c>
      <c r="I13" s="8" t="str">
        <f>IF(ISBLANK(input_wld_az1_secondary_storage_vlan),"Value Missing",input_wld_az1_secondary_storage_vlan)</f>
        <v>Value Missing</v>
      </c>
      <c r="K13" s="4" t="s">
        <v>1055</v>
      </c>
      <c r="L13" s="8" t="str">
        <f>IF(ISBLANK(input_wld_az1_rack2_secondary_storage_vlan),"Value Missing",input_wld_az1_rack2_secondary_storage_vlan)</f>
        <v>Value Missing</v>
      </c>
      <c r="N13" s="4" t="s">
        <v>1055</v>
      </c>
      <c r="O13" s="8" t="str">
        <f>IF(ISBLANK(input_wld_az1_rack3_secondary_storage_vlan),"Value Missing",input_wld_az1_rack3_secondary_storage_vlan)</f>
        <v>Value Missing</v>
      </c>
      <c r="Q13" s="4" t="s">
        <v>1055</v>
      </c>
      <c r="R13" s="8" t="str">
        <f>IF(ISBLANK(input_wld_az1_rack4_secondary_storage_vlan),"Value Missing",input_wld_az1_rack4_secondary_storage_vlan)</f>
        <v>Value Missing</v>
      </c>
      <c r="T13" s="4" t="s">
        <v>1055</v>
      </c>
      <c r="U13" s="8" t="str">
        <f>IF(ISBLANK(input_wld_az1_rack5_secondary_storage_vlan),"Value Missing",input_wld_az1_rack5_secondary_storage_vlan)</f>
        <v>Value Missing</v>
      </c>
      <c r="W13" s="4" t="s">
        <v>1055</v>
      </c>
      <c r="X13" s="8" t="str">
        <f>IF(ISBLANK(input_wld_az1_rack6_secondary_storage_vlan),"Value Missing",input_wld_az1_rack6_secondary_storage_vlan)</f>
        <v>Value Missing</v>
      </c>
      <c r="Z13" s="4" t="s">
        <v>1055</v>
      </c>
      <c r="AA13" s="8" t="str">
        <f>IF(ISBLANK(input_wld_az1_rack7_secondary_storage_vlan),"Value Missing",input_wld_az1_rack7_secondary_storage_vlan)</f>
        <v>Value Missing</v>
      </c>
      <c r="AC13" s="4" t="s">
        <v>1055</v>
      </c>
      <c r="AD13" s="8" t="str">
        <f>IF(ISBLANK(input_wld_az1_rack8_secondary_storage_vlan),"Value Missing",input_wld_az1_rack8_secondary_storage_vlan)</f>
        <v>Value Missing</v>
      </c>
    </row>
    <row r="14" spans="1:34" s="2" customFormat="1" ht="20" customHeight="1" x14ac:dyDescent="0.2">
      <c r="B14" s="4" t="s">
        <v>1056</v>
      </c>
      <c r="C14" s="2" t="str">
        <f>mgmt_internet_proxy_chosen</f>
        <v>Unselected</v>
      </c>
      <c r="E14" s="24" t="s">
        <v>3864</v>
      </c>
      <c r="F14" s="8" t="str">
        <f>IF(ISBLANK(input_mgmt_az1_vcf_mgmt_vlan),"Value Missing",input_mgmt_az1_vcf_mgmt_vlan)</f>
        <v>Value Missing</v>
      </c>
      <c r="H14" s="4" t="s">
        <v>706</v>
      </c>
      <c r="I14" s="8" t="str">
        <f>IF(ISBLANK(input_wld_az1_storage_cluster_vlan),"Value Missing",input_wld_az1_storage_cluster_vlan)</f>
        <v>Value Missing</v>
      </c>
      <c r="K14" s="30" t="s">
        <v>706</v>
      </c>
      <c r="L14" s="8"/>
      <c r="N14" s="30" t="s">
        <v>706</v>
      </c>
      <c r="O14" s="8"/>
      <c r="Q14" s="30" t="s">
        <v>706</v>
      </c>
      <c r="R14" s="8"/>
      <c r="T14" s="30" t="s">
        <v>706</v>
      </c>
      <c r="U14" s="8"/>
      <c r="W14" s="30" t="s">
        <v>706</v>
      </c>
      <c r="X14" s="8"/>
      <c r="Z14" s="30" t="s">
        <v>706</v>
      </c>
      <c r="AA14" s="8"/>
      <c r="AC14" s="30" t="s">
        <v>706</v>
      </c>
      <c r="AD14" s="8"/>
    </row>
    <row r="15" spans="1:34" s="2" customFormat="1" ht="20" customHeight="1" x14ac:dyDescent="0.2">
      <c r="B15" s="4" t="s">
        <v>1057</v>
      </c>
      <c r="C15" s="8" t="str">
        <f>IF(ISBLANK(input_mgmt_internet_proxy_address),"Value Missing",input_mgmt_internet_proxy_address)</f>
        <v>Value Missing</v>
      </c>
      <c r="E15" s="4" t="s">
        <v>1058</v>
      </c>
      <c r="F15" s="8" t="str">
        <f>IF(ISBLANK(input_mgmt_az1_uplink01_vlan),"Value Missing",input_mgmt_az1_uplink01_vlan)</f>
        <v>Value Missing</v>
      </c>
      <c r="H15" s="4" t="s">
        <v>1058</v>
      </c>
      <c r="I15" s="8" t="str">
        <f>IF(ISBLANK(input_wld_az1_uplink01_vlan),"Value Missing",input_wld_az1_uplink01_vlan)</f>
        <v>Value Missing</v>
      </c>
      <c r="K15" s="4" t="s">
        <v>1058</v>
      </c>
      <c r="L15" s="8" t="str">
        <f>IF(ISBLANK(input_wld_az1_rack2_uplink01_vlan),"Value Missing",input_wld_az1_rack2_uplink01_vlan)</f>
        <v>Value Missing</v>
      </c>
      <c r="N15" s="4" t="s">
        <v>1058</v>
      </c>
      <c r="O15" s="8" t="str">
        <f>IF(ISBLANK(input_wld_az1_rack3_uplink01_vlan),"Value Missing",input_wld_az1_rack3_uplink01_vlan)</f>
        <v>Value Missing</v>
      </c>
      <c r="Q15" s="4" t="s">
        <v>1058</v>
      </c>
      <c r="R15" s="8" t="str">
        <f>IF(ISBLANK(input_wld_az1_rack4_uplink01_vlan),"Value Missing",input_wld_az1_rack4_uplink01_vlan)</f>
        <v>Value Missing</v>
      </c>
      <c r="T15" s="4" t="s">
        <v>1058</v>
      </c>
      <c r="U15" s="8" t="str">
        <f>IF(ISBLANK(input_wld_az1_rack5_uplink01_vlan),"Value Missing",input_wld_az1_rack5_uplink01_vlan)</f>
        <v>Value Missing</v>
      </c>
      <c r="W15" s="4" t="s">
        <v>1058</v>
      </c>
      <c r="X15" s="8" t="str">
        <f>IF(ISBLANK(input_wld_az1_rack6_uplink01_vlan),"Value Missing",input_wld_az1_rack6_uplink01_vlan)</f>
        <v>Value Missing</v>
      </c>
      <c r="Z15" s="4" t="s">
        <v>1058</v>
      </c>
      <c r="AA15" s="378" t="str">
        <f>IF(ISBLANK(input_wld_az1_rack7_uplink01_vlan),"Value Missing",input_wld_az1_rack7_uplink01_vlan)</f>
        <v>Value Missing</v>
      </c>
      <c r="AC15" s="4" t="s">
        <v>1058</v>
      </c>
      <c r="AD15" s="8" t="str">
        <f>IF(ISBLANK(input_wld_az1_rack8_uplink01_vlan),"Value Missing",input_wld_az1_rack8_uplink01_vlan)</f>
        <v>Value Missing</v>
      </c>
    </row>
    <row r="16" spans="1:34" s="2" customFormat="1" ht="20" customHeight="1" x14ac:dyDescent="0.2">
      <c r="B16" s="4" t="s">
        <v>1059</v>
      </c>
      <c r="C16" s="8" t="str">
        <f>mgmt_internet_proxy_port</f>
        <v>Value Missing</v>
      </c>
      <c r="E16" s="4" t="s">
        <v>1060</v>
      </c>
      <c r="F16" s="8" t="str">
        <f>IF(ISBLANK(input_mgmt_az1_uplink02_vlan),"Value Missing",input_mgmt_az1_uplink02_vlan)</f>
        <v>Value Missing</v>
      </c>
      <c r="H16" s="4" t="s">
        <v>1060</v>
      </c>
      <c r="I16" s="8" t="str">
        <f>IF(ISBLANK(input_wld_az1_uplink02_vlan),"Value Missing",input_wld_az1_uplink02_vlan)</f>
        <v>Value Missing</v>
      </c>
      <c r="K16" s="4" t="s">
        <v>1060</v>
      </c>
      <c r="L16" s="8" t="str">
        <f>IF(ISBLANK(input_wld_az1_rack2_uplink02_vlan),"Value Missing",input_wld_az1_rack2_uplink02_vlan)</f>
        <v>Value Missing</v>
      </c>
      <c r="N16" s="4" t="s">
        <v>1060</v>
      </c>
      <c r="O16" s="8" t="str">
        <f>IF(ISBLANK(input_wld_az1_rack3_uplink02_vlan),"Value Missing",input_wld_az1_rack3_uplink02_vlan)</f>
        <v>Value Missing</v>
      </c>
      <c r="Q16" s="4" t="s">
        <v>1060</v>
      </c>
      <c r="R16" s="8" t="str">
        <f>IF(ISBLANK(input_wld_az1_rack4_uplink02_vlan),"Value Missing",input_wld_az1_rack4_uplink02_vlan)</f>
        <v>Value Missing</v>
      </c>
      <c r="T16" s="4" t="s">
        <v>1060</v>
      </c>
      <c r="U16" s="8" t="str">
        <f>IF(ISBLANK(input_wld_az1_rack5_uplink02_vlan),"Value Missing",input_wld_az1_rack5_uplink02_vlan)</f>
        <v>Value Missing</v>
      </c>
      <c r="W16" s="4" t="s">
        <v>1060</v>
      </c>
      <c r="X16" s="8" t="str">
        <f>IF(ISBLANK(input_wld_az1_rack6_uplink02_vlan),"Value Missing",input_wld_az1_rack6_uplink02_vlan)</f>
        <v>Value Missing</v>
      </c>
      <c r="Z16" s="4" t="s">
        <v>1060</v>
      </c>
      <c r="AA16" s="8" t="str">
        <f>IF(ISBLANK(input_wld_az1_rack7_uplink02_vlan),"Value Missing",input_wld_az1_rack7_uplink02_vlan)</f>
        <v>Value Missing</v>
      </c>
      <c r="AC16" s="4" t="s">
        <v>1060</v>
      </c>
      <c r="AD16" s="8" t="str">
        <f>IF(ISBLANK(input_wld_az1_rack8_uplink02_vlan),"Value Missing",input_wld_az1_rack8_uplink02_vlan)</f>
        <v>Value Missing</v>
      </c>
    </row>
    <row r="17" spans="2:34" s="2" customFormat="1" ht="20" customHeight="1" x14ac:dyDescent="0.2">
      <c r="B17" s="4" t="s">
        <v>1061</v>
      </c>
      <c r="C17" s="2" t="str">
        <f>mgmt_internet_proxy_auth_chosen</f>
        <v>Unselected</v>
      </c>
      <c r="E17" s="4" t="s">
        <v>1062</v>
      </c>
      <c r="F17" s="8" t="str">
        <f>IF(ISBLANK(input_mgmt_az1_edge_overlay_vlan),"Value Missing",input_mgmt_az1_edge_overlay_vlan)</f>
        <v>Value Missing</v>
      </c>
      <c r="H17" s="4" t="s">
        <v>1062</v>
      </c>
      <c r="I17" s="8" t="str">
        <f>IF(ISBLANK(input_wld_az1_edge_overlay_vlan),"Value Missing",input_wld_az1_edge_overlay_vlan)</f>
        <v>Value Missing</v>
      </c>
      <c r="K17" s="4" t="s">
        <v>1062</v>
      </c>
      <c r="L17" s="8" t="str">
        <f>IF(ISBLANK(input_wld_az1_rack2_edge_overlay_vlan),"Value Missing",input_wld_az1_rack2_edge_overlay_vlan)</f>
        <v>Value Missing</v>
      </c>
      <c r="N17" s="4" t="s">
        <v>1062</v>
      </c>
      <c r="O17" s="8" t="str">
        <f>IF(ISBLANK(input_wld_az1_rack3_edge_overlay_vlan),"Value Missing",input_wld_az1_rack3_edge_overlay_vlan)</f>
        <v>Value Missing</v>
      </c>
      <c r="Q17" s="4" t="s">
        <v>1062</v>
      </c>
      <c r="R17" s="8" t="str">
        <f>IF(ISBLANK(input_wld_az1_rack4_edge_overlay_vlan),"Value Missing",input_wld_az1_rack4_edge_overlay_vlan)</f>
        <v>Value Missing</v>
      </c>
      <c r="T17" s="4" t="s">
        <v>1062</v>
      </c>
      <c r="U17" s="8" t="str">
        <f>IF(ISBLANK(input_wld_az1_rack5_edge_overlay_vlan),"Value Missing",input_wld_az1_rack5_edge_overlay_vlan)</f>
        <v>Value Missing</v>
      </c>
      <c r="W17" s="4" t="s">
        <v>1062</v>
      </c>
      <c r="X17" s="8" t="str">
        <f>IF(ISBLANK(input_wld_az1_rack6_edge_overlay_vlan),"Value Missing",input_wld_az1_rack6_edge_overlay_vlan)</f>
        <v>Value Missing</v>
      </c>
      <c r="Z17" s="4" t="s">
        <v>1062</v>
      </c>
      <c r="AA17" s="8" t="str">
        <f>IF(ISBLANK(input_wld_az1_rack7_edge_overlay_vlan),"Value Missing",input_wld_az1_rack7_edge_overlay_vlan)</f>
        <v>Value Missing</v>
      </c>
      <c r="AC17" s="4" t="s">
        <v>1062</v>
      </c>
      <c r="AD17" s="8" t="str">
        <f>IF(ISBLANK(input_wld_az1_rack8_edge_overlay_vlan),"Value Missing",input_wld_az1_rack8_edge_overlay_vlan)</f>
        <v>Value Missing</v>
      </c>
      <c r="AG17" s="627" t="s">
        <v>1063</v>
      </c>
      <c r="AH17" s="628">
        <v>65</v>
      </c>
    </row>
    <row r="18" spans="2:34" s="2" customFormat="1" ht="20" customHeight="1" x14ac:dyDescent="0.2">
      <c r="B18" s="4" t="s">
        <v>28</v>
      </c>
      <c r="C18" s="8" t="str">
        <f>IF(ISBLANK(input_mgmt_internet_proxy_email),"Value Missing",input_mgmt_internet_proxy_email)</f>
        <v>Value Missing</v>
      </c>
      <c r="E18" s="4" t="s">
        <v>1064</v>
      </c>
      <c r="F18" s="8" t="str">
        <f>IF(ISBLANK(input_mgmt_az1_rtep_overlay_vlan),"Value Missing",input_mgmt_az1_rtep_overlay_vlan)</f>
        <v>Value Missing</v>
      </c>
      <c r="H18" s="4" t="s">
        <v>1064</v>
      </c>
      <c r="I18" s="8" t="str">
        <f>IF(ISBLANK(input_wld_az1_rtep_overlay_vlan),"Value Missing",input_wld_az1_rtep_overlay_vlan)</f>
        <v>Value Missing</v>
      </c>
      <c r="K18" s="4" t="s">
        <v>1064</v>
      </c>
      <c r="L18" s="8"/>
      <c r="N18" s="4" t="s">
        <v>1064</v>
      </c>
      <c r="O18" s="8"/>
      <c r="Q18" s="4" t="s">
        <v>1064</v>
      </c>
      <c r="R18" s="8"/>
      <c r="T18" s="4" t="s">
        <v>1064</v>
      </c>
      <c r="U18" s="8"/>
      <c r="W18" s="4" t="s">
        <v>1064</v>
      </c>
      <c r="X18" s="8"/>
      <c r="Z18" s="4" t="s">
        <v>1064</v>
      </c>
      <c r="AA18" s="8"/>
      <c r="AC18" s="4" t="s">
        <v>1064</v>
      </c>
      <c r="AD18" s="8"/>
      <c r="AG18" s="8" t="s">
        <v>1065</v>
      </c>
      <c r="AH18" s="8">
        <f>IF(this_instance="sfo",1,2)</f>
        <v>1</v>
      </c>
    </row>
    <row r="19" spans="2:34" s="2" customFormat="1" ht="20" customHeight="1" x14ac:dyDescent="0.2">
      <c r="B19" s="4" t="s">
        <v>30</v>
      </c>
      <c r="C19" s="8" t="str">
        <f>IF(ISBLANK(input_mgmt_internet_proxy_password),"Value Missing",input_mgmt_internet_proxy_password)</f>
        <v>Value Missing</v>
      </c>
      <c r="E19" s="4" t="s">
        <v>1066</v>
      </c>
      <c r="F19" s="8" t="str">
        <f>IF(ISBLANK(input_mgmt_az1_vrms_vlan),"Value Missing",input_mgmt_az1_vrms_vlan)</f>
        <v>Value Missing</v>
      </c>
      <c r="H19" s="4" t="s">
        <v>1066</v>
      </c>
      <c r="I19" s="8" t="str">
        <f>IF(ISBLANK(input_wld_az1_vrms_vlan),"Value Missing",input_wld_az1_vrms_vlan)</f>
        <v>Value Missing</v>
      </c>
      <c r="K19" s="4" t="s">
        <v>1066</v>
      </c>
      <c r="L19" s="8"/>
      <c r="N19" s="4" t="s">
        <v>1066</v>
      </c>
      <c r="O19" s="8"/>
      <c r="Q19" s="4" t="s">
        <v>1066</v>
      </c>
      <c r="R19" s="8"/>
      <c r="T19" s="4" t="s">
        <v>1066</v>
      </c>
      <c r="U19" s="8"/>
      <c r="W19" s="4" t="s">
        <v>1066</v>
      </c>
      <c r="X19" s="8"/>
      <c r="Z19" s="4" t="s">
        <v>1066</v>
      </c>
      <c r="AA19" s="8"/>
      <c r="AC19" s="4" t="s">
        <v>1066</v>
      </c>
      <c r="AD19" s="8"/>
      <c r="AG19" s="8" t="s">
        <v>1067</v>
      </c>
      <c r="AH19" s="8">
        <v>1</v>
      </c>
    </row>
    <row r="20" spans="2:34" s="2" customFormat="1" ht="20" customHeight="1" x14ac:dyDescent="0.2">
      <c r="B20" s="6"/>
      <c r="AG20" s="8" t="s">
        <v>1068</v>
      </c>
      <c r="AH20" s="8">
        <v>2</v>
      </c>
    </row>
    <row r="21" spans="2:34" s="2" customFormat="1" ht="20" customHeight="1" x14ac:dyDescent="0.2">
      <c r="B21" s="624" t="s">
        <v>1069</v>
      </c>
      <c r="C21" s="625"/>
      <c r="E21" s="12" t="s">
        <v>1070</v>
      </c>
      <c r="F21" s="13"/>
      <c r="H21" s="12" t="s">
        <v>1071</v>
      </c>
      <c r="I21" s="13"/>
      <c r="K21" s="12" t="s">
        <v>1072</v>
      </c>
      <c r="L21" s="13"/>
      <c r="N21" s="12" t="s">
        <v>1073</v>
      </c>
      <c r="O21" s="13"/>
      <c r="Q21" s="14" t="s">
        <v>1074</v>
      </c>
      <c r="R21" s="15"/>
      <c r="T21" s="14" t="s">
        <v>1075</v>
      </c>
      <c r="U21" s="15"/>
      <c r="W21" s="14" t="s">
        <v>1076</v>
      </c>
      <c r="X21" s="15"/>
      <c r="Z21" s="14" t="s">
        <v>1077</v>
      </c>
      <c r="AA21" s="15"/>
      <c r="AC21" s="14" t="s">
        <v>1078</v>
      </c>
      <c r="AD21" s="15"/>
      <c r="AG21" s="8" t="s">
        <v>1079</v>
      </c>
      <c r="AH21" s="8">
        <f>IF(wld_domain_number_chosen=1,3,IF(wld_domain_number_chosen=2,5,7))</f>
        <v>3</v>
      </c>
    </row>
    <row r="22" spans="2:34" s="2" customFormat="1" ht="20" customHeight="1" x14ac:dyDescent="0.2">
      <c r="B22" s="17" t="s">
        <v>254</v>
      </c>
      <c r="C22" s="18" t="s">
        <v>1043</v>
      </c>
      <c r="E22" s="17" t="s">
        <v>254</v>
      </c>
      <c r="F22" s="18" t="s">
        <v>1044</v>
      </c>
      <c r="H22" s="17" t="s">
        <v>254</v>
      </c>
      <c r="I22" s="18" t="s">
        <v>1044</v>
      </c>
      <c r="K22" s="17" t="s">
        <v>254</v>
      </c>
      <c r="L22" s="18" t="s">
        <v>1044</v>
      </c>
      <c r="N22" s="17" t="s">
        <v>254</v>
      </c>
      <c r="O22" s="18" t="s">
        <v>1044</v>
      </c>
      <c r="Q22" s="19" t="s">
        <v>254</v>
      </c>
      <c r="R22" s="20" t="s">
        <v>1044</v>
      </c>
      <c r="S22" s="21"/>
      <c r="T22" s="19" t="s">
        <v>254</v>
      </c>
      <c r="U22" s="20" t="s">
        <v>1044</v>
      </c>
      <c r="V22" s="21"/>
      <c r="W22" s="19" t="s">
        <v>254</v>
      </c>
      <c r="X22" s="20" t="s">
        <v>1044</v>
      </c>
      <c r="Y22" s="21"/>
      <c r="Z22" s="19" t="s">
        <v>254</v>
      </c>
      <c r="AA22" s="20" t="s">
        <v>1044</v>
      </c>
      <c r="AB22" s="21"/>
      <c r="AC22" s="19" t="s">
        <v>254</v>
      </c>
      <c r="AD22" s="20" t="s">
        <v>1044</v>
      </c>
      <c r="AG22" s="8" t="s">
        <v>1080</v>
      </c>
      <c r="AH22" s="8">
        <f>IF(wld_domain_number_chosen=1,4,IF(wld_domain_number_chosen=2,6,8))</f>
        <v>4</v>
      </c>
    </row>
    <row r="23" spans="2:34" s="2" customFormat="1" ht="20" customHeight="1" x14ac:dyDescent="0.2">
      <c r="B23" s="4" t="s">
        <v>1081</v>
      </c>
      <c r="C23" s="8" t="str">
        <f>mgmt_domain_deployment_type_chosen</f>
        <v>VMware Cloud Foundation</v>
      </c>
      <c r="E23" s="4" t="s">
        <v>1047</v>
      </c>
      <c r="F23" s="8" t="str">
        <f>IF(mgmt_az1_mgmt_vm_network="Value missing","Value Missing",CONCATENATE(mgmt_az1_mgmt_vm_network,"/",VLOOKUP(mgmt_az1_mgmt_vm_mask,table_mask_to_cidr,2,FALSE)))</f>
        <v>Value Missing</v>
      </c>
      <c r="H23" s="4" t="s">
        <v>1047</v>
      </c>
      <c r="I23" s="8" t="str">
        <f>IF(wld_az1_mgmt_vm_network="Value missing","Value Missing",CONCATENATE(wld_az1_mgmt_vm_network,"/",VLOOKUP(wld_az1_mgmt_vm_mask,table_mask_to_cidr,2,FALSE)))</f>
        <v>Value Missing</v>
      </c>
      <c r="K23" s="4" t="s">
        <v>1047</v>
      </c>
      <c r="L23" s="8" t="str">
        <f>IF(ISBLANK(input_wld_az1_rack2_mgmt_vm_cidr),"Value Missing",input_wld_az1_rack2_mgmt_vm_cidr)</f>
        <v>Value Missing</v>
      </c>
      <c r="N23" s="4" t="s">
        <v>1047</v>
      </c>
      <c r="O23" s="8" t="str">
        <f>IF(ISBLANK(input_wld_az1_rack3_mgmt_vm_cidr),"Value Missing",input_wld_az1_rack3_mgmt_vm_cidr)</f>
        <v>Value Missing</v>
      </c>
      <c r="Q23" s="4" t="s">
        <v>1047</v>
      </c>
      <c r="R23" s="8" t="str">
        <f>IF(ISBLANK(input_wld_az1_rack4_mgmt_vm_cidr),"Value Missing",input_wld_az1_rack4_mgmt_vm_cidr)</f>
        <v>Value Missing</v>
      </c>
      <c r="T23" s="4" t="s">
        <v>1047</v>
      </c>
      <c r="U23" s="8" t="str">
        <f>IF(ISBLANK(input_wld_az1_rack5_mgmt_vm_cidr),"Value Missing",input_wld_az1_rack5_mgmt_vm_cidr)</f>
        <v>Value Missing</v>
      </c>
      <c r="W23" s="4" t="s">
        <v>1047</v>
      </c>
      <c r="X23" s="8" t="str">
        <f>IF(ISBLANK(input_wld_az1_rack6_mgmt_vm_cidr),"Value Missing",input_wld_az1_rack6_mgmt_vm_cidr)</f>
        <v>Value Missing</v>
      </c>
      <c r="Z23" s="4" t="s">
        <v>1047</v>
      </c>
      <c r="AA23" s="8" t="str">
        <f>IF(ISBLANK(input_wld_az1_rack7_mgmt_vm_cidr),"Value Missing",input_wld_az1_rack7_mgmt_vm_cidr)</f>
        <v>Value Missing</v>
      </c>
      <c r="AC23" s="4" t="s">
        <v>1047</v>
      </c>
      <c r="AD23" s="8" t="str">
        <f>IF(ISBLANK(input_wld_az1_rack8_mgmt_vm_cidr),"Value Missing",input_wld_az1_rack8_mgmt_vm_cidr)</f>
        <v>Value Missing</v>
      </c>
      <c r="AG23" s="9"/>
    </row>
    <row r="24" spans="2:34" s="2" customFormat="1" ht="20" customHeight="1" x14ac:dyDescent="0.2">
      <c r="B24" s="4" t="s">
        <v>1082</v>
      </c>
      <c r="C24" s="8" t="str">
        <f>IF(ISBLANK(input_mgmt_sddc_domain),"Value Missing",input_mgmt_sddc_domain)</f>
        <v>Value Missing</v>
      </c>
      <c r="E24" s="4" t="s">
        <v>1049</v>
      </c>
      <c r="F24" s="8" t="str">
        <f>IF(mgmt_az1_mgmt_network="Value missing","Value Missing",CONCATENATE(mgmt_az1_mgmt_network,"/",VLOOKUP(mgmt_az1_mgmt_mask,table_mask_to_cidr,2,FALSE)))</f>
        <v>Value Missing</v>
      </c>
      <c r="H24" s="4" t="s">
        <v>1049</v>
      </c>
      <c r="I24" s="8" t="str">
        <f>IF(wld_az1_mgmt_network="Value missing","Value Missing",CONCATENATE(wld_az1_mgmt_network,"/",VLOOKUP(wld_az1_mgmt_mask,table_mask_to_cidr,2,FALSE)))</f>
        <v>Value Missing</v>
      </c>
      <c r="K24" s="4" t="s">
        <v>1049</v>
      </c>
      <c r="L24" s="8" t="str">
        <f>IF(ISBLANK(input_wld_az1_rack2_mgmt_cidr),"Value Missing",input_wld_az1_rack2_mgmt_cidr)</f>
        <v>Value Missing</v>
      </c>
      <c r="N24" s="4" t="s">
        <v>1049</v>
      </c>
      <c r="O24" s="8" t="str">
        <f>IF(ISBLANK(input_wld_az1_rack3_mgmt_cidr),"Value Missing",input_wld_az1_rack3_mgmt_cidr)</f>
        <v>Value Missing</v>
      </c>
      <c r="Q24" s="4" t="s">
        <v>1049</v>
      </c>
      <c r="R24" s="8" t="str">
        <f>IF(ISBLANK(input_wld_az1_rack4_mgmt_cidr),"Value Missing",input_wld_az1_rack4_mgmt_cidr)</f>
        <v>Value Missing</v>
      </c>
      <c r="T24" s="4" t="s">
        <v>1049</v>
      </c>
      <c r="U24" s="8" t="str">
        <f>IF(ISBLANK(input_wld_az1_rack5_mgmt_cidr),"Value Missing",input_wld_az1_rack5_mgmt_cidr)</f>
        <v>Value Missing</v>
      </c>
      <c r="W24" s="4" t="s">
        <v>1049</v>
      </c>
      <c r="X24" s="8" t="str">
        <f>IF(ISBLANK(input_wld_az1_rack6_mgmt_cidr),"Value Missing",input_wld_az1_rack6_mgmt_cidr)</f>
        <v>Value Missing</v>
      </c>
      <c r="Z24" s="4" t="s">
        <v>1049</v>
      </c>
      <c r="AA24" s="8" t="str">
        <f>IF(ISBLANK(input_wld_az1_rack7_mgmt_cidr),"Value Missing",input_wld_az1_rack7_mgmt_cidr)</f>
        <v>Value Missing</v>
      </c>
      <c r="AC24" s="4" t="s">
        <v>1049</v>
      </c>
      <c r="AD24" s="8" t="str">
        <f>IF(ISBLANK(input_wld_az1_rack8_mgmt_cidr),"Value Missing",input_wld_az1_rack8_mgmt_cidr)</f>
        <v>Value Missing</v>
      </c>
      <c r="AG24" s="9"/>
    </row>
    <row r="25" spans="2:34" s="2" customFormat="1" ht="20" customHeight="1" x14ac:dyDescent="0.2">
      <c r="B25" s="4" t="s">
        <v>189</v>
      </c>
      <c r="C25" s="8" t="str">
        <f>vcf_version</f>
        <v>9.1.0.0</v>
      </c>
      <c r="E25" s="4" t="s">
        <v>244</v>
      </c>
      <c r="F25" s="8" t="str">
        <f>IF(mgmt_az1_vmotion_network="Value missing","Value Missing",CONCATENATE(mgmt_az1_vmotion_network,"/",VLOOKUP(mgmt_az1_vmotion_mask,table_mask_to_cidr,2,FALSE)))</f>
        <v>Value Missing</v>
      </c>
      <c r="H25" s="4" t="s">
        <v>244</v>
      </c>
      <c r="I25" s="8" t="str">
        <f>IF(wld_az1_vmotion_network="Value missing","Value Missing",CONCATENATE(wld_az1_vmotion_network,"/",VLOOKUP(wld_az1_vmotion_mask,table_mask_to_cidr,2,FALSE)))</f>
        <v>Value Missing</v>
      </c>
      <c r="K25" s="4" t="s">
        <v>244</v>
      </c>
      <c r="L25" s="8" t="str">
        <f>IF(OR(wld_az1_rack2_vmotion_network="Value Missing",wld_az1_rack2_vmotion_mask="Value Missing"),"Value Missing",(CONCATENATE(wld_az1_rack2_vmotion_network,"/",VLOOKUP(wld_az1_rack2_vmotion_mask,table_mask_to_cidr,2,FALSE))))</f>
        <v>Value Missing</v>
      </c>
      <c r="N25" s="4" t="s">
        <v>244</v>
      </c>
      <c r="O25" s="8" t="str">
        <f>IF(OR(wld_az1_rack3_vmotion_network="Value Missing",wld_az1_rack3_vmotion_mask="Value Missing"),"Value Missing",(CONCATENATE(wld_az1_rack3_vmotion_network,"/",VLOOKUP(wld_az1_rack3_vmotion_mask,table_mask_to_cidr,2,FALSE))))</f>
        <v>Value Missing</v>
      </c>
      <c r="Q25" s="4" t="s">
        <v>244</v>
      </c>
      <c r="R25" s="8" t="str">
        <f>IF(OR(wld_az1_rack4_vmotion_network="Value Missing",wld_az1_rack4_vmotion_mask="Value Missing"),"Value Missing",(CONCATENATE(wld_az1_rack4_vmotion_network,"/",VLOOKUP(wld_az1_rack4_vmotion_mask,table_mask_to_cidr,2,FALSE))))</f>
        <v>Value Missing</v>
      </c>
      <c r="T25" s="4" t="s">
        <v>244</v>
      </c>
      <c r="U25" s="8" t="str">
        <f>IF(OR(wld_az1_rack5_vmotion_network="Value Missing",wld_az1_rack5_vmotion_mask="Value Missing"),"Value Missing",(CONCATENATE(wld_az1_rack5_vmotion_network,"/",VLOOKUP(wld_az1_rack5_vmotion_mask,table_mask_to_cidr,2,FALSE))))</f>
        <v>Value Missing</v>
      </c>
      <c r="W25" s="4" t="s">
        <v>244</v>
      </c>
      <c r="X25" s="8" t="str">
        <f>IF(OR(wld_az1_rack6_vmotion_network="Value Missing",wld_az1_rack6_vmotion_mask="Value Missing"),"Value Missing",(CONCATENATE(wld_az1_rack6_vmotion_network,"/",VLOOKUP(wld_az1_rack6_vmotion_mask,table_mask_to_cidr,2,FALSE))))</f>
        <v>Value Missing</v>
      </c>
      <c r="Z25" s="4" t="s">
        <v>244</v>
      </c>
      <c r="AA25" s="8" t="str">
        <f>IF(OR(wld_az1_rack7_vmotion_network="Value Missing",wld_az1_rack7_vmotion_mask="Value Missing"),"Value Missing",(CONCATENATE(wld_az1_rack7_vmotion_network,"/",VLOOKUP(wld_az1_rack7_vmotion_mask,table_mask_to_cidr,2,FALSE))))</f>
        <v>Value Missing</v>
      </c>
      <c r="AC25" s="4" t="s">
        <v>244</v>
      </c>
      <c r="AD25" s="8" t="str">
        <f>IF(OR(wld_az1_rack8_vmotion_network="Value Missing",wld_az1_rack8_vmotion_mask="Value Missing"),"Value Missing",(CONCATENATE(wld_az1_rack8_vmotion_network,"/",VLOOKUP(wld_az1_rack8_vmotion_mask,table_mask_to_cidr,2,FALSE))))</f>
        <v>Value Missing</v>
      </c>
    </row>
    <row r="26" spans="2:34" s="2" customFormat="1" ht="20" customHeight="1" x14ac:dyDescent="0.2">
      <c r="B26" s="4" t="s">
        <v>1083</v>
      </c>
      <c r="C26" s="8" t="str">
        <f>mgmt_domain_vcf_operations_ha_mode_chosen</f>
        <v>High Availability (Three-Node)</v>
      </c>
      <c r="E26" s="23" t="str">
        <f>CONCATENATE("Principal Storage Network ",wld_principal_storage_chosen)</f>
        <v>Principal Storage Network vSAN-ESA</v>
      </c>
      <c r="F26" s="8" t="str">
        <f>IF(mgmt_az1_vsan_network="Value missing","Value Missing",CONCATENATE(mgmt_az1_vsan_network,"/",VLOOKUP(mgmt_az1_vsan_mask,table_mask_to_cidr,2,FALSE)))</f>
        <v>Value Missing</v>
      </c>
      <c r="H26" s="23" t="s">
        <v>250</v>
      </c>
      <c r="I26" s="8" t="str">
        <f>IF(wld_az1_principal_storage_network="Value missing","Value Missing",CONCATENATE(wld_az1_principal_storage_network,"/",VLOOKUP(wld_az1_principal_storage_mask,table_mask_to_cidr,2,FALSE)))</f>
        <v>Value Missing</v>
      </c>
      <c r="K26" s="23" t="str">
        <f>CONCATENATE("Principal Storage Network ",wld_principal_storage_chosen)</f>
        <v>Principal Storage Network vSAN-ESA</v>
      </c>
      <c r="L26" s="8" t="str">
        <f>IF(OR(wld_az1_rack2_principal_storage_network="Value Missing",wld_az1_rack2_principal_storage_mask="Value Missing"),"Value Missing",(CONCATENATE(wld_az1_rack2_principal_storage_network,"/",VLOOKUP(wld_az1_rack2_principal_storage_mask,table_mask_to_cidr,2,FALSE))))</f>
        <v>Value Missing</v>
      </c>
      <c r="N26" s="23" t="str">
        <f>CONCATENATE("Principal Storage Network ",wld_principal_storage_chosen)</f>
        <v>Principal Storage Network vSAN-ESA</v>
      </c>
      <c r="O26" s="8" t="str">
        <f>IF(OR(wld_az1_rack3_principal_storage_network="Value Missing",wld_az1_rack3_principal_storage_mask="Value Missing"),"Value Missing",(CONCATENATE(wld_az1_rack3_principal_storage_network,"/",VLOOKUP(wld_az1_rack3_principal_storage_mask,table_mask_to_cidr,2,FALSE))))</f>
        <v>Value Missing</v>
      </c>
      <c r="Q26" s="23" t="str">
        <f>CONCATENATE("Principal Storage Network ",wld_principal_storage_chosen)</f>
        <v>Principal Storage Network vSAN-ESA</v>
      </c>
      <c r="R26" s="8" t="str">
        <f>IF(OR(wld_az1_rack4_principal_storage_network="Value Missing",wld_az1_rack4_principal_storage_mask="Value Missing"),"Value Missing",(CONCATENATE(wld_az1_rack4_principal_storage_network,"/",VLOOKUP(wld_az1_rack4_principal_storage_mask,table_mask_to_cidr,2,FALSE))))</f>
        <v>Value Missing</v>
      </c>
      <c r="T26" s="23" t="str">
        <f>CONCATENATE("Principal Storage Network ",wld_principal_storage_chosen)</f>
        <v>Principal Storage Network vSAN-ESA</v>
      </c>
      <c r="U26" s="8" t="str">
        <f>IF(OR(wld_az1_rack5_principal_storage_network="Value Missing",wld_az1_rack5_principal_storage_mask="Value Missing"),"Value Missing",(CONCATENATE(wld_az1_rack5_principal_storage_network,"/",VLOOKUP(wld_az1_rack5_principal_storage_mask,table_mask_to_cidr,2,FALSE))))</f>
        <v>Value Missing</v>
      </c>
      <c r="W26" s="23" t="str">
        <f>CONCATENATE("Principal Storage Network ",wld_principal_storage_chosen)</f>
        <v>Principal Storage Network vSAN-ESA</v>
      </c>
      <c r="X26" s="8" t="str">
        <f>IF(OR(wld_az1_rack6_principal_storage_network="Value Missing",wld_az1_rack6_principal_storage_mask="Value Missing"),"Value Missing",(CONCATENATE(wld_az1_rack6_principal_storage_network,"/",VLOOKUP(wld_az1_rack6_principal_storage_mask,table_mask_to_cidr,2,FALSE))))</f>
        <v>Value Missing</v>
      </c>
      <c r="Z26" s="23" t="str">
        <f>CONCATENATE("Principal Storage Network ",wld_principal_storage_chosen)</f>
        <v>Principal Storage Network vSAN-ESA</v>
      </c>
      <c r="AA26" s="8" t="str">
        <f>IF(OR(wld_az1_rack7_principal_storage_network="Value Missing",wld_az1_rack7_principal_storage_mask="Value Missing"),"Value Missing",(CONCATENATE(wld_az1_rack7_principal_storage_network,"/",VLOOKUP(wld_az1_rack7_principal_storage_mask,table_mask_to_cidr,2,FALSE))))</f>
        <v>Value Missing</v>
      </c>
      <c r="AC26" s="23" t="str">
        <f>CONCATENATE("Principal Storage Network ",wld_principal_storage_chosen)</f>
        <v>Principal Storage Network vSAN-ESA</v>
      </c>
      <c r="AD26" s="8" t="str">
        <f>IF(OR(wld_az1_rack8_principal_storage_network="Value Missing",wld_az1_rack8_principal_storage_mask="Value Missing"),"Value Missing",(CONCATENATE(wld_az1_rack8_principal_storage_network,"/",VLOOKUP(wld_az1_rack8_principal_storage_mask,table_mask_to_cidr,2,FALSE))))</f>
        <v>Value Missing</v>
      </c>
      <c r="AG26" s="9"/>
    </row>
    <row r="27" spans="2:34" s="2" customFormat="1" ht="20" customHeight="1" x14ac:dyDescent="0.2">
      <c r="B27" s="4" t="s">
        <v>1084</v>
      </c>
      <c r="C27" s="8" t="str">
        <f>IF(mgmt_domain_password_creation_chosen="Included","Selected","Unselected")</f>
        <v>Unselected</v>
      </c>
      <c r="E27" s="4" t="s">
        <v>1053</v>
      </c>
      <c r="F27" s="8" t="str">
        <f>IF(mgmt_az1_host_overlay_network="Value missing","Value Missing",CONCATENATE(mgmt_az1_host_overlay_network,"/",VLOOKUP(mgmt_az1_host_overlay_mask,table_mask_to_cidr,2,FALSE)))</f>
        <v>Value Missing</v>
      </c>
      <c r="H27" s="4" t="s">
        <v>1053</v>
      </c>
      <c r="I27" s="8" t="str">
        <f>IF(ISBLANK(input_wld_az1_host_overlay_cidr),"Value Missing",input_wld_az1_host_overlay_cidr)</f>
        <v>Value Missing</v>
      </c>
      <c r="K27" s="4" t="s">
        <v>1053</v>
      </c>
      <c r="L27" s="8" t="str">
        <f>IF(OR(wld_az1_rack2_host_overlay_network="Value Missing",wld_az1_rack2_host_overlay_mask="Value Missing"),"Value Missing",(CONCATENATE(wld_az1_rack2_host_overlay_network,"/",VLOOKUP(wld_az1_rack2_host_overlay_mask,table_mask_to_cidr,2,FALSE))))</f>
        <v>Value Missing</v>
      </c>
      <c r="N27" s="4" t="s">
        <v>1053</v>
      </c>
      <c r="O27" s="8" t="str">
        <f>IF(OR(wld_az1_rack3_host_overlay_network="Value Missing",wld_az1_rack3_host_overlay_mask="Value Missing"),"Value Missing",(CONCATENATE(wld_az1_rack3_host_overlay_network,"/",VLOOKUP(wld_az1_rack3_host_overlay_mask,table_mask_to_cidr,2,FALSE))))</f>
        <v>Value Missing</v>
      </c>
      <c r="Q27" s="4" t="s">
        <v>1053</v>
      </c>
      <c r="R27" s="8" t="str">
        <f>IF(OR(wld_az1_rack4_host_overlay_network="Value Missing",wld_az1_rack4_host_overlay_mask="Value Missing"),"Value Missing",(CONCATENATE(wld_az1_rack4_host_overlay_network,"/",VLOOKUP(wld_az1_rack4_host_overlay_mask,table_mask_to_cidr,2,FALSE))))</f>
        <v>Value Missing</v>
      </c>
      <c r="T27" s="4" t="s">
        <v>1053</v>
      </c>
      <c r="U27" s="8" t="str">
        <f>IF(OR(wld_az1_rack5_host_overlay_network="Value Missing",wld_az1_rack5_host_overlay_mask="Value Missing"),"Value Missing",(CONCATENATE(wld_az1_rack5_host_overlay_network,"/",VLOOKUP(wld_az1_rack5_host_overlay_mask,table_mask_to_cidr,2,FALSE))))</f>
        <v>Value Missing</v>
      </c>
      <c r="W27" s="4" t="s">
        <v>1053</v>
      </c>
      <c r="X27" s="8" t="str">
        <f>IF(OR(wld_az1_rack6_host_overlay_network="Value Missing",wld_az1_rack6_host_overlay_mask="Value Missing"),"Value Missing",(CONCATENATE(wld_az1_rack6_host_overlay_network,"/",VLOOKUP(wld_az1_rack6_host_overlay_mask,table_mask_to_cidr,2,FALSE))))</f>
        <v>Value Missing</v>
      </c>
      <c r="Z27" s="4" t="s">
        <v>1053</v>
      </c>
      <c r="AA27" s="8" t="str">
        <f>IF(OR(wld_az1_rack7_host_overlay_network="Value Missing",wld_az1_rack7_host_overlay_mask="Value Missing"),"Value Missing",(CONCATENATE(wld_az1_rack7_host_overlay_network,"/",VLOOKUP(wld_az1_rack7_host_overlay_mask,table_mask_to_cidr,2,FALSE))))</f>
        <v>Value Missing</v>
      </c>
      <c r="AC27" s="4" t="s">
        <v>1053</v>
      </c>
      <c r="AD27" s="8" t="str">
        <f>IF(OR(wld_az1_rack8_host_overlay_network="Value Missing",wld_az1_rack8_host_overlay_mask="Value Missing"),"Value Missing",(CONCATENATE(wld_az1_rack8_host_overlay_network,"/",VLOOKUP(wld_az1_rack8_host_overlay_mask,table_mask_to_cidr,2,FALSE))))</f>
        <v>Value Missing</v>
      </c>
      <c r="AG27" s="9"/>
    </row>
    <row r="28" spans="2:34" s="2" customFormat="1" ht="20" customHeight="1" x14ac:dyDescent="0.2">
      <c r="B28" s="4" t="s">
        <v>1085</v>
      </c>
      <c r="C28" s="8" t="str">
        <f>mgmt_flt_fm_reuse_password_chosen</f>
        <v>Unselected</v>
      </c>
      <c r="E28" s="24" t="s">
        <v>1055</v>
      </c>
      <c r="F28" s="8" t="str">
        <f>IF(mgmt_az1_secondary_storage_network="Value missing","Value Missing",CONCATENATE(mgmt_az1_secondary_storage_network,"/",VLOOKUP(mgmt_az1_secondary_storage_mask,table_mask_to_cidr,2,FALSE)))</f>
        <v>Value Missing</v>
      </c>
      <c r="H28" s="4" t="s">
        <v>1055</v>
      </c>
      <c r="I28" s="8" t="str">
        <f>IF(wld_az1_secondary_storage_network="Value missing","Value Missing",CONCATENATE(wld_az1_secondary_storage_network,"/",VLOOKUP(wld_az1_secondary_storage_mask,table_mask_to_cidr,2,FALSE)))</f>
        <v>Value Missing</v>
      </c>
      <c r="K28" s="4" t="s">
        <v>1055</v>
      </c>
      <c r="L28" s="8" t="str">
        <f>IF(OR(wld_az1_rack2_secondary_storage_network="Value Missing",wld_az1_rack2_secondary_storage_mask="Value Missing"),"Value Missing",(CONCATENATE(wld_az1_rack2_secondary_storage_network,"/",VLOOKUP(wld_az1_rack2_secondary_storage_mask,table_mask_to_cidr,2,FALSE))))</f>
        <v>Value Missing</v>
      </c>
      <c r="N28" s="4" t="s">
        <v>1055</v>
      </c>
      <c r="O28" s="8" t="str">
        <f>IF(OR(wld_az1_rack3_secondary_storage_network="Value Missing",wld_az1_rack3_secondary_storage_mask="Value Missing"),"Value Missing",(CONCATENATE(wld_az1_rack3_secondary_storage_network,"/",VLOOKUP(wld_az1_rack3_secondary_storage_mask,table_mask_to_cidr,2,FALSE))))</f>
        <v>Value Missing</v>
      </c>
      <c r="Q28" s="4" t="s">
        <v>1055</v>
      </c>
      <c r="R28" s="8" t="str">
        <f>IF(OR(wld_az1_rack4_secondary_storage_network="Value Missing",wld_az1_rack4_secondary_storage_mask="Value Missing"),"Value Missing",(CONCATENATE(wld_az1_rack4_secondary_storage_network,"/",VLOOKUP(wld_az1_rack4_secondary_storage_mask,table_mask_to_cidr,2,FALSE))))</f>
        <v>Value Missing</v>
      </c>
      <c r="T28" s="4" t="s">
        <v>1055</v>
      </c>
      <c r="U28" s="8" t="str">
        <f>IF(OR(wld_az1_rack5_secondary_storage_network="Value Missing",wld_az1_rack5_secondary_storage_mask="Value Missing"),"Value Missing",(CONCATENATE(wld_az1_rack5_secondary_storage_network,"/",VLOOKUP(wld_az1_rack5_secondary_storage_mask,table_mask_to_cidr,2,FALSE))))</f>
        <v>Value Missing</v>
      </c>
      <c r="W28" s="4" t="s">
        <v>1055</v>
      </c>
      <c r="X28" s="8" t="str">
        <f>IF(OR(wld_az1_rack6_secondary_storage_network="Value Missing",wld_az1_rack6_secondary_storage_mask="Value Missing"),"Value Missing",(CONCATENATE(wld_az1_rack6_secondary_storage_network,"/",VLOOKUP(wld_az1_rack6_secondary_storage_mask,table_mask_to_cidr,2,FALSE))))</f>
        <v>Value Missing</v>
      </c>
      <c r="Z28" s="4" t="s">
        <v>1055</v>
      </c>
      <c r="AA28" s="8" t="str">
        <f>IF(OR(wld_az1_rack7_secondary_storage_network="Value Missing",wld_az1_rack7_secondary_storage_mask="Value Missing"),"Value Missing",(CONCATENATE(wld_az1_rack7_secondary_storage_network,"/",VLOOKUP(wld_az1_rack7_secondary_storage_mask,table_mask_to_cidr,2,FALSE))))</f>
        <v>Value Missing</v>
      </c>
      <c r="AC28" s="4" t="s">
        <v>1055</v>
      </c>
      <c r="AD28" s="8" t="str">
        <f>IF(OR(wld_az1_rack7_secondary_storage_network="Value Missing",wld_az1_rack8_secondary_storage_mask="Value Missing"),"Value Missing",(CONCATENATE(wld_az1_rack8_secondary_storage_network,"/",VLOOKUP(wld_az1_rack8_secondary_storage_mask,table_mask_to_cidr,2,FALSE))))</f>
        <v>Value Missing</v>
      </c>
      <c r="AG28" s="9"/>
    </row>
    <row r="29" spans="2:34" s="2" customFormat="1" ht="20" customHeight="1" x14ac:dyDescent="0.2">
      <c r="E29" s="24" t="s">
        <v>3721</v>
      </c>
      <c r="F29" s="8" t="str">
        <f>IF(mgmt_az1_vcf_mgmt_network="Value missing","Value Missing",CONCATENATE(mgmt_az1_vcf_mgmt_network,"/",VLOOKUP(mgmt_az1_vcf_mgmt_mask,table_mask_to_cidr,2,FALSE)))</f>
        <v>Value Missing</v>
      </c>
      <c r="H29" s="4" t="s">
        <v>706</v>
      </c>
      <c r="I29" s="8" t="str">
        <f>IF(wld_az1_storage_cluster_network="Value missing","Value Missing",CONCATENATE(wld_az1_storage_cluster_network,"/",VLOOKUP(wld_az1_storage_cluster_mask,table_mask_to_cidr,2,FALSE)))</f>
        <v>Value Missing</v>
      </c>
      <c r="K29" s="30" t="s">
        <v>706</v>
      </c>
      <c r="L29" s="8"/>
      <c r="N29" s="30" t="s">
        <v>706</v>
      </c>
      <c r="O29" s="8"/>
      <c r="Q29" s="30" t="s">
        <v>706</v>
      </c>
      <c r="R29" s="8"/>
      <c r="T29" s="30" t="s">
        <v>706</v>
      </c>
      <c r="U29" s="8"/>
      <c r="W29" s="30" t="s">
        <v>706</v>
      </c>
      <c r="X29" s="8"/>
      <c r="Z29" s="30" t="s">
        <v>706</v>
      </c>
      <c r="AA29" s="8"/>
      <c r="AC29" s="30" t="s">
        <v>706</v>
      </c>
      <c r="AD29" s="8"/>
      <c r="AG29" s="9"/>
    </row>
    <row r="30" spans="2:34" s="2" customFormat="1" ht="20" customHeight="1" x14ac:dyDescent="0.2">
      <c r="B30" s="624" t="s">
        <v>1086</v>
      </c>
      <c r="C30" s="625"/>
      <c r="E30" s="4" t="s">
        <v>1058</v>
      </c>
      <c r="F30" s="8" t="str">
        <f>IF(ISBLANK(input_mgmt_az1_uplink01_cidr),"Value Missing",input_mgmt_az1_uplink01_cidr)</f>
        <v>Value Missing</v>
      </c>
      <c r="H30" s="4" t="s">
        <v>1058</v>
      </c>
      <c r="I30" s="8" t="str">
        <f>IF(ISBLANK(input_wld_az1_uplink01_cidr),"Value Missing",input_wld_az1_uplink01_cidr)</f>
        <v>Value Missing</v>
      </c>
      <c r="K30" s="4" t="s">
        <v>1058</v>
      </c>
      <c r="L30" s="8" t="str">
        <f>IF(OR(wld_az1_rack2_uplink01_network="Value Missing",wld_az1_rack2_uplink01_mask="Value Missing"),"Value Missing",(CONCATENATE(wld_az1_rack2_uplink01_network,"/",VLOOKUP(wld_az1_rack2_uplink01_mask,table_mask_to_cidr,2,FALSE))))</f>
        <v>Value Missing</v>
      </c>
      <c r="N30" s="4" t="s">
        <v>1058</v>
      </c>
      <c r="O30" s="8" t="str">
        <f>IF(OR(wld_az1_rack3_uplink01_network="Value Missing",wld_az1_rack3_uplink01_mask="Value Missing"),"Value Missing",(CONCATENATE(wld_az1_rack3_uplink01_network,"/",VLOOKUP(wld_az1_rack3_uplink01_mask,table_mask_to_cidr,2,FALSE))))</f>
        <v>Value Missing</v>
      </c>
      <c r="Q30" s="4" t="s">
        <v>1058</v>
      </c>
      <c r="R30" s="8" t="str">
        <f>IF(OR(wld_az1_rack4_uplink01_network="Value Missing",wld_az1_rack4_uplink01_mask="Value Missing"),"Value Missing",(CONCATENATE(wld_az1_rack4_uplink01_network,"/",VLOOKUP(wld_az1_rack4_uplink01_mask,table_mask_to_cidr,2,FALSE))))</f>
        <v>Value Missing</v>
      </c>
      <c r="T30" s="4" t="s">
        <v>1058</v>
      </c>
      <c r="U30" s="8" t="str">
        <f>IF(OR(wld_az1_rack5_uplink01_network="Value Missing",wld_az1_rack5_uplink01_mask="Value Missing"),"Value Missing",(CONCATENATE(wld_az1_rack5_uplink01_network,"/",VLOOKUP(wld_az1_rack5_uplink01_mask,table_mask_to_cidr,2,FALSE))))</f>
        <v>Value Missing</v>
      </c>
      <c r="W30" s="4" t="s">
        <v>1058</v>
      </c>
      <c r="X30" s="8" t="str">
        <f>IF(OR(wld_az1_rack6_uplink01_network="Value Missing",wld_az1_rack6_uplink01_mask="Value Missing"),"Value Missing",(CONCATENATE(wld_az1_rack6_uplink01_network,"/",VLOOKUP(wld_az1_rack6_uplink01_mask,table_mask_to_cidr,2,FALSE))))</f>
        <v>Value Missing</v>
      </c>
      <c r="Z30" s="4" t="s">
        <v>1058</v>
      </c>
      <c r="AA30" s="8" t="str">
        <f>IF(OR(wld_az1_rack7_uplink01_network="Value Missing",wld_az1_rack7_uplink01_mask="Value Missing"),"Value Missing",(CONCATENATE(wld_az1_rack7_uplink01_network,"/",VLOOKUP(wld_az1_rack7_uplink01_mask,table_mask_to_cidr,2,FALSE))))</f>
        <v>Value Missing</v>
      </c>
      <c r="AC30" s="4" t="s">
        <v>1058</v>
      </c>
      <c r="AD30" s="8" t="str">
        <f>IF(OR(wld_az1_rack8_uplink01_network="Value Missing",wld_az1_rack8_uplink01_mask="Value Missing"),"Value Missing",(CONCATENATE(wld_az1_rack8_uplink01_network,"/",VLOOKUP(wld_az1_rack8_uplink01_mask,table_mask_to_cidr,2,FALSE))))</f>
        <v>Value Missing</v>
      </c>
      <c r="AG30" s="9"/>
    </row>
    <row r="31" spans="2:34" s="2" customFormat="1" ht="20" customHeight="1" x14ac:dyDescent="0.2">
      <c r="B31" s="17" t="s">
        <v>254</v>
      </c>
      <c r="C31" s="18" t="s">
        <v>1043</v>
      </c>
      <c r="E31" s="4" t="s">
        <v>1060</v>
      </c>
      <c r="F31" s="8" t="str">
        <f>IF(ISBLANK(input_mgmt_az1_uplink02_cidr),"Value Missing",input_mgmt_az1_uplink02_cidr)</f>
        <v>Value Missing</v>
      </c>
      <c r="H31" s="4" t="s">
        <v>1060</v>
      </c>
      <c r="I31" s="8" t="str">
        <f>IF(ISBLANK(input_wld_az1_uplink02_cidr),"Value Missing",input_wld_az1_uplink02_cidr)</f>
        <v>Value Missing</v>
      </c>
      <c r="K31" s="4" t="s">
        <v>1060</v>
      </c>
      <c r="L31" s="8" t="str">
        <f>IF(OR(wld_az1_rack2_uplink02_network="Value Missing",wld_az1_rack2_uplink02_mask="Value Missing"),"Value Missing",(CONCATENATE(wld_az1_rack2_uplink02_network,"/",VLOOKUP(wld_az1_rack2_uplink02_mask,table_mask_to_cidr,2,FALSE))))</f>
        <v>Value Missing</v>
      </c>
      <c r="N31" s="4" t="s">
        <v>1060</v>
      </c>
      <c r="O31" s="8" t="str">
        <f>IF(OR(wld_az1_rack3_uplink02_network="Value Missing",wld_az1_rack3_uplink02_mask="Value Missing"),"Value Missing",(CONCATENATE(wld_az1_rack3_uplink02_network,"/",VLOOKUP(wld_az1_rack3_uplink02_mask,table_mask_to_cidr,2,FALSE))))</f>
        <v>Value Missing</v>
      </c>
      <c r="Q31" s="4" t="s">
        <v>1060</v>
      </c>
      <c r="R31" s="8" t="str">
        <f>IF(OR(wld_az1_rack4_uplink02_network="Value Missing",wld_az1_rack4_uplink02_mask="Value Missing"),"Value Missing",(CONCATENATE(wld_az1_rack4_uplink02_network,"/",VLOOKUP(wld_az1_rack4_uplink02_mask,table_mask_to_cidr,2,FALSE))))</f>
        <v>Value Missing</v>
      </c>
      <c r="T31" s="4" t="s">
        <v>1060</v>
      </c>
      <c r="U31" s="8" t="str">
        <f>IF(OR(wld_az1_rack5_uplink02_network="Value Missing",wld_az1_rack5_uplink02_mask="Value Missing"),"Value Missing",(CONCATENATE(wld_az1_rack5_uplink02_network,"/",VLOOKUP(wld_az1_rack5_uplink02_mask,table_mask_to_cidr,2,FALSE))))</f>
        <v>Value Missing</v>
      </c>
      <c r="W31" s="4" t="s">
        <v>1060</v>
      </c>
      <c r="X31" s="8" t="str">
        <f>IF(OR(wld_az1_rack6_uplink02_network="Value Missing",wld_az1_rack6_uplink02_mask="Value Missing"),"Value Missing",(CONCATENATE(wld_az1_rack6_uplink02_network,"/",VLOOKUP(wld_az1_rack6_uplink02_mask,table_mask_to_cidr,2,FALSE))))</f>
        <v>Value Missing</v>
      </c>
      <c r="Z31" s="4" t="s">
        <v>1060</v>
      </c>
      <c r="AA31" s="8" t="str">
        <f>IF(OR(wld_az1_rack7_uplink02_network="Value Missing",wld_az1_rack7_uplink02_mask="Value Missing"),"Value Missing",(CONCATENATE(wld_az1_rack7_uplink02_network,"/",VLOOKUP(wld_az1_rack7_uplink02_mask,table_mask_to_cidr,2,FALSE))))</f>
        <v>Value Missing</v>
      </c>
      <c r="AC31" s="4" t="s">
        <v>1060</v>
      </c>
      <c r="AD31" s="8" t="str">
        <f>IF(OR(wld_az1_rack8_uplink02_network="Value Missing",wld_az1_rack8_uplink02_mask="Value Missing"),"Value Missing",(CONCATENATE(wld_az1_rack8_uplink02_network,"/",VLOOKUP(wld_az1_rack8_uplink02_mask,table_mask_to_cidr,2,FALSE))))</f>
        <v>Value Missing</v>
      </c>
      <c r="AG31" s="9"/>
    </row>
    <row r="32" spans="2:34" s="2" customFormat="1" ht="20" customHeight="1" x14ac:dyDescent="0.2">
      <c r="B32" s="17" t="s">
        <v>1087</v>
      </c>
      <c r="C32" s="18"/>
      <c r="E32" s="4" t="s">
        <v>1062</v>
      </c>
      <c r="F32" s="8" t="str">
        <f>IF(ISBLANK(input_mgmt_az1_edge_overlay_cidr),"Value Missing",input_mgmt_az1_edge_overlay_cidr)</f>
        <v>Value Missing</v>
      </c>
      <c r="H32" s="4" t="s">
        <v>1062</v>
      </c>
      <c r="I32" s="8" t="str">
        <f>IF(ISBLANK(input_wld_az1_edge_overlay_cidr),"Value Missing",input_wld_az1_edge_overlay_cidr)</f>
        <v>Value Missing</v>
      </c>
      <c r="K32" s="4" t="s">
        <v>1062</v>
      </c>
      <c r="L32" s="8" t="str">
        <f>IF(OR(wld_az1_rack2_edge_overlay_network="Value Missing",wld_az1_rack2_edge_overlay_mask="Value Missing"),"Value Missing",(CONCATENATE(wld_az1_rack2_edge_overlay_network,"/",VLOOKUP(wld_az1_rack2_edge_overlay_mask,table_mask_to_cidr,2,FALSE))))</f>
        <v>Value Missing</v>
      </c>
      <c r="N32" s="4" t="s">
        <v>1062</v>
      </c>
      <c r="O32" s="8" t="str">
        <f>IF(OR(wld_az1_rack3_edge_overlay_network="Value Missing",wld_az1_rack3_edge_overlay_mask="Value Missing"),"Value Missing",(CONCATENATE(wld_az1_rack3_edge_overlay_network,"/",VLOOKUP(wld_az1_rack3_edge_overlay_mask,table_mask_to_cidr,2,FALSE))))</f>
        <v>Value Missing</v>
      </c>
      <c r="Q32" s="4" t="s">
        <v>1062</v>
      </c>
      <c r="R32" s="8" t="str">
        <f>IF(OR(wld_az1_rack4_edge_overlay_network="Value Missing",wld_az1_rack4_edge_overlay_mask="Value Missing"),"Value Missing",(CONCATENATE(wld_az1_rack4_edge_overlay_network,"/",VLOOKUP(wld_az1_rack4_edge_overlay_mask,table_mask_to_cidr,2,FALSE))))</f>
        <v>Value Missing</v>
      </c>
      <c r="T32" s="4" t="s">
        <v>1062</v>
      </c>
      <c r="U32" s="8" t="str">
        <f>IF(OR(wld_az1_rack5_edge_overlay_network="Value Missing",wld_az1_rack5_edge_overlay_mask="Value Missing"),"Value Missing",(CONCATENATE(wld_az1_rack5_edge_overlay_network,"/",VLOOKUP(wld_az1_rack5_edge_overlay_mask,table_mask_to_cidr,2,FALSE))))</f>
        <v>Value Missing</v>
      </c>
      <c r="W32" s="4" t="s">
        <v>1062</v>
      </c>
      <c r="X32" s="8" t="str">
        <f>IF(OR(wld_az1_rack6_edge_overlay_network="Value Missing",wld_az1_rack6_edge_overlay_mask="Value Missing"),"Value Missing",(CONCATENATE(wld_az1_rack6_edge_overlay_network,"/",VLOOKUP(wld_az1_rack6_edge_overlay_mask,table_mask_to_cidr,2,FALSE))))</f>
        <v>Value Missing</v>
      </c>
      <c r="Z32" s="4" t="s">
        <v>1062</v>
      </c>
      <c r="AA32" s="8" t="str">
        <f>IF(OR(wld_az1_rack7_edge_overlay_network="Value Missing",wld_az1_rack7_edge_overlay_mask="Value Missing"),"Value Missing",(CONCATENATE(wld_az1_rack7_edge_overlay_network,"/",VLOOKUP(wld_az1_rack7_edge_overlay_mask,table_mask_to_cidr,2,FALSE))))</f>
        <v>Value Missing</v>
      </c>
      <c r="AC32" s="4" t="s">
        <v>1062</v>
      </c>
      <c r="AD32" s="8" t="str">
        <f>IF(OR(wld_az1_rack8_edge_overlay_network="Value Missing",wld_az1_rack8_edge_overlay_mask="Value Missing"),"Value Missing",(CONCATENATE(wld_az1_rack8_edge_overlay_network,"/",VLOOKUP(wld_az1_rack8_edge_overlay_mask,table_mask_to_cidr,2,FALSE))))</f>
        <v>Value Missing</v>
      </c>
      <c r="AG32" s="9"/>
    </row>
    <row r="33" spans="2:34" s="2" customFormat="1" ht="20" customHeight="1" x14ac:dyDescent="0.2">
      <c r="B33" s="4" t="s">
        <v>1088</v>
      </c>
      <c r="C33" s="8" t="str">
        <f>parent_dns_zone</f>
        <v>Value Missing</v>
      </c>
      <c r="E33" s="4" t="s">
        <v>1064</v>
      </c>
      <c r="F33" s="8" t="str">
        <f>IF(ISBLANK(input_mgmt_az1_rtep_overlay_cidr),"Value Missing",input_mgmt_az1_rtep_overlay_cidr)</f>
        <v>Value Missing</v>
      </c>
      <c r="H33" s="4" t="s">
        <v>1064</v>
      </c>
      <c r="I33" s="8" t="str">
        <f>IF(ISBLANK(input_wld_az1_rtep_overlay_cidr),"Value Missing",input_wld_az1_rtep_overlay_cidr)</f>
        <v>Value Missing</v>
      </c>
      <c r="K33" s="4" t="s">
        <v>1064</v>
      </c>
      <c r="L33" s="8"/>
      <c r="N33" s="4" t="s">
        <v>1064</v>
      </c>
      <c r="O33" s="8"/>
      <c r="Q33" s="4" t="s">
        <v>1064</v>
      </c>
      <c r="R33" s="8"/>
      <c r="T33" s="4" t="s">
        <v>1064</v>
      </c>
      <c r="U33" s="8"/>
      <c r="W33" s="4" t="s">
        <v>1064</v>
      </c>
      <c r="X33" s="8"/>
      <c r="Z33" s="4" t="s">
        <v>1064</v>
      </c>
      <c r="AA33" s="8"/>
      <c r="AC33" s="4" t="s">
        <v>1064</v>
      </c>
      <c r="AD33" s="8"/>
      <c r="AG33" s="9"/>
    </row>
    <row r="34" spans="2:34" s="2" customFormat="1" ht="20" customHeight="1" x14ac:dyDescent="0.2">
      <c r="B34" s="4" t="s">
        <v>1089</v>
      </c>
      <c r="C34" s="8" t="str">
        <f>region_dns1_ip</f>
        <v>Value Missing</v>
      </c>
      <c r="E34" s="4" t="s">
        <v>1066</v>
      </c>
      <c r="F34" s="8"/>
      <c r="H34" s="4" t="s">
        <v>1066</v>
      </c>
      <c r="I34" s="8" t="str">
        <f>IF(ISBLANK(input_wld_az1_vrms_cidr),"Value Missing",input_wld_az1_vrms_cidr)</f>
        <v>Value Missing</v>
      </c>
      <c r="K34" s="4" t="s">
        <v>1066</v>
      </c>
      <c r="L34" s="8"/>
      <c r="N34" s="4" t="s">
        <v>1066</v>
      </c>
      <c r="O34" s="8"/>
      <c r="Q34" s="4" t="s">
        <v>1066</v>
      </c>
      <c r="R34" s="8"/>
      <c r="T34" s="4" t="s">
        <v>1066</v>
      </c>
      <c r="U34" s="8"/>
      <c r="W34" s="4" t="s">
        <v>1066</v>
      </c>
      <c r="X34" s="8"/>
      <c r="Z34" s="4" t="s">
        <v>1066</v>
      </c>
      <c r="AA34" s="8"/>
      <c r="AC34" s="4" t="s">
        <v>1066</v>
      </c>
      <c r="AD34" s="8"/>
      <c r="AG34" s="9"/>
      <c r="AH34" s="9"/>
    </row>
    <row r="35" spans="2:34" s="2" customFormat="1" ht="20" customHeight="1" x14ac:dyDescent="0.2">
      <c r="B35" s="4" t="s">
        <v>1090</v>
      </c>
      <c r="C35" s="8" t="str">
        <f>region_dns2_ip</f>
        <v>Value Missing</v>
      </c>
      <c r="AG35" s="9"/>
      <c r="AH35" s="9"/>
    </row>
    <row r="36" spans="2:34" s="2" customFormat="1" ht="20" customHeight="1" x14ac:dyDescent="0.2">
      <c r="B36" s="17" t="s">
        <v>1100</v>
      </c>
      <c r="C36" s="18"/>
      <c r="E36" s="12" t="s">
        <v>1091</v>
      </c>
      <c r="F36" s="13"/>
      <c r="H36" s="12" t="s">
        <v>1092</v>
      </c>
      <c r="I36" s="13"/>
      <c r="K36" s="12" t="s">
        <v>1093</v>
      </c>
      <c r="L36" s="13"/>
      <c r="N36" s="12" t="s">
        <v>1094</v>
      </c>
      <c r="O36" s="13"/>
      <c r="Q36" s="14" t="s">
        <v>1095</v>
      </c>
      <c r="R36" s="15"/>
      <c r="T36" s="14" t="s">
        <v>1096</v>
      </c>
      <c r="U36" s="15"/>
      <c r="W36" s="14" t="s">
        <v>1097</v>
      </c>
      <c r="X36" s="15"/>
      <c r="Z36" s="14" t="s">
        <v>1098</v>
      </c>
      <c r="AA36" s="15"/>
      <c r="AC36" s="14" t="s">
        <v>1099</v>
      </c>
      <c r="AD36" s="15"/>
      <c r="AG36" s="9"/>
      <c r="AH36" s="9"/>
    </row>
    <row r="37" spans="2:34" s="2" customFormat="1" ht="20" customHeight="1" x14ac:dyDescent="0.2">
      <c r="B37" s="4" t="s">
        <v>1089</v>
      </c>
      <c r="C37" s="8" t="str">
        <f>region_ntp1_server</f>
        <v>Value Missing</v>
      </c>
      <c r="E37" s="17" t="s">
        <v>254</v>
      </c>
      <c r="F37" s="18" t="s">
        <v>1044</v>
      </c>
      <c r="H37" s="17" t="s">
        <v>254</v>
      </c>
      <c r="I37" s="18" t="s">
        <v>1044</v>
      </c>
      <c r="K37" s="17" t="s">
        <v>254</v>
      </c>
      <c r="L37" s="18" t="s">
        <v>1044</v>
      </c>
      <c r="N37" s="17" t="s">
        <v>254</v>
      </c>
      <c r="O37" s="18" t="s">
        <v>1044</v>
      </c>
      <c r="Q37" s="19" t="s">
        <v>254</v>
      </c>
      <c r="R37" s="20" t="s">
        <v>1044</v>
      </c>
      <c r="S37" s="21"/>
      <c r="T37" s="19" t="s">
        <v>254</v>
      </c>
      <c r="U37" s="20" t="s">
        <v>1044</v>
      </c>
      <c r="V37" s="21"/>
      <c r="W37" s="19" t="s">
        <v>254</v>
      </c>
      <c r="X37" s="20" t="s">
        <v>1044</v>
      </c>
      <c r="Y37" s="21"/>
      <c r="Z37" s="19" t="s">
        <v>254</v>
      </c>
      <c r="AA37" s="20" t="s">
        <v>1044</v>
      </c>
      <c r="AB37" s="21"/>
      <c r="AC37" s="19" t="s">
        <v>254</v>
      </c>
      <c r="AD37" s="20" t="s">
        <v>1044</v>
      </c>
      <c r="AG37" s="9"/>
      <c r="AH37" s="9"/>
    </row>
    <row r="38" spans="2:34" s="2" customFormat="1" ht="20" customHeight="1" x14ac:dyDescent="0.2">
      <c r="B38" s="4" t="s">
        <v>1090</v>
      </c>
      <c r="C38" s="8" t="str">
        <f>region_ntp2_server</f>
        <v>Value Missing</v>
      </c>
      <c r="E38" s="4" t="s">
        <v>1047</v>
      </c>
      <c r="F38" s="8" t="str">
        <f>IF(mgmt_az1_mgmt_vm_gateway_cidr="Value Missing","Value Missing",CONCATENATE(_xlfn.TEXTBEFORE(mgmt_az1_mgmt_vm_gateway_cidr,".",3),".0"))</f>
        <v>Value Missing</v>
      </c>
      <c r="H38" s="4" t="s">
        <v>1047</v>
      </c>
      <c r="I38" s="8" t="str">
        <f>IF(wld_az1_mgmt_vm_gateway_cidr="Value Missing","Value Missing",CONCATENATE(_xlfn.TEXTBEFORE(wld_az1_mgmt_vm_gateway_cidr,".",3),".0"))</f>
        <v>Value Missing</v>
      </c>
      <c r="K38" s="4" t="s">
        <v>1047</v>
      </c>
      <c r="N38" s="4" t="s">
        <v>1047</v>
      </c>
      <c r="Q38" s="4" t="s">
        <v>1047</v>
      </c>
      <c r="T38" s="4" t="s">
        <v>1047</v>
      </c>
      <c r="W38" s="4" t="s">
        <v>1047</v>
      </c>
      <c r="Z38" s="4" t="s">
        <v>1047</v>
      </c>
      <c r="AC38" s="4" t="s">
        <v>1047</v>
      </c>
      <c r="AG38" s="9"/>
      <c r="AH38" s="9"/>
    </row>
    <row r="39" spans="2:34" s="2" customFormat="1" ht="20" customHeight="1" x14ac:dyDescent="0.2">
      <c r="B39" s="95" t="s">
        <v>1101</v>
      </c>
      <c r="C39" s="8"/>
      <c r="E39" s="4" t="s">
        <v>1049</v>
      </c>
      <c r="F39" s="8" t="str">
        <f>IF(mgmt_az1_mgmt_gateway_cidr="Value Missing","Value Missing",CONCATENATE(_xlfn.TEXTBEFORE(mgmt_az1_mgmt_gateway_cidr,".",3),".0"))</f>
        <v>Value Missing</v>
      </c>
      <c r="H39" s="4" t="s">
        <v>1049</v>
      </c>
      <c r="I39" s="8" t="str">
        <f>IF(wld_az1_mgmt_gateway_cidr="Value Missing","Value Missing",CONCATENATE(_xlfn.TEXTBEFORE(wld_az1_mgmt_gateway_cidr,".",3),".0"))</f>
        <v>Value Missing</v>
      </c>
      <c r="K39" s="4" t="s">
        <v>1049</v>
      </c>
      <c r="L39" s="8" t="str">
        <f>IF(wld_az1_rack2_mgmt_cidr="Value Missing","Value Missing",IF(ISBLANK(wld_az1_rack2_mgmt_cidr),"Value Missing",LEFT(wld_az1_rack2_mgmt_cidr,(FIND("/",wld_az1_rack2_mgmt_cidr)-1))))</f>
        <v>Value Missing</v>
      </c>
      <c r="N39" s="4" t="s">
        <v>1049</v>
      </c>
      <c r="O39" s="8" t="str">
        <f>IF(wld_az1_rack3_mgmt_cidr="Value Missing","Value Missing",IF(ISBLANK(wld_az1_rack3_mgmt_cidr),"Value Missing",LEFT(wld_az1_rack3_mgmt_cidr,(FIND("/",wld_az1_rack3_mgmt_cidr)-1))))</f>
        <v>Value Missing</v>
      </c>
      <c r="Q39" s="4" t="s">
        <v>1049</v>
      </c>
      <c r="R39" s="8" t="str">
        <f>IF(wld_az1_rack4_mgmt_cidr="Value Missing","Value Missing",IF(ISBLANK(wld_az1_rack4_mgmt_cidr),"Value Missing",LEFT(wld_az1_rack4_mgmt_cidr,(FIND("/",wld_az1_rack4_mgmt_cidr)-1))))</f>
        <v>Value Missing</v>
      </c>
      <c r="T39" s="4" t="s">
        <v>1049</v>
      </c>
      <c r="U39" s="8" t="str">
        <f>IF(wld_az1_rack5_mgmt_cidr="Value Missing","Value Missing",IF(ISBLANK(wld_az1_rack5_mgmt_cidr),"Value Missing",LEFT(wld_az1_rack5_mgmt_cidr,(FIND("/",wld_az1_rack5_mgmt_cidr)-1))))</f>
        <v>Value Missing</v>
      </c>
      <c r="W39" s="4" t="s">
        <v>1049</v>
      </c>
      <c r="X39" s="8" t="str">
        <f>IF(wld_az1_rack6_mgmt_cidr="Value Missing","Value Missing",IF(ISBLANK(wld_az1_rack6_mgmt_cidr),"Value Missing",LEFT(wld_az1_rack6_mgmt_cidr,(FIND("/",wld_az1_rack6_mgmt_cidr)-1))))</f>
        <v>Value Missing</v>
      </c>
      <c r="Z39" s="4" t="s">
        <v>1049</v>
      </c>
      <c r="AA39" s="8" t="str">
        <f>IF(wld_az1_rack7_mgmt_cidr="Value Missing","Value Missing",IF(ISBLANK(wld_az1_rack7_mgmt_cidr),"Value Missing",LEFT(wld_az1_rack7_mgmt_cidr,(FIND("/",wld_az1_rack7_mgmt_cidr)-1))))</f>
        <v>Value Missing</v>
      </c>
      <c r="AC39" s="4" t="s">
        <v>1049</v>
      </c>
      <c r="AD39" s="8" t="str">
        <f>IF(wld_az1_rack8_mgmt_cidr="Value Missing","Value Missing",IF(ISBLANK(wld_az1_rack8_mgmt_cidr),"Value Missing",LEFT(wld_az1_rack8_mgmt_cidr,(FIND("/",wld_az1_rack8_mgmt_cidr)-1))))</f>
        <v>Value Missing</v>
      </c>
      <c r="AG39" s="9"/>
      <c r="AH39" s="9"/>
    </row>
    <row r="40" spans="2:34" s="2" customFormat="1" ht="20" customHeight="1" x14ac:dyDescent="0.2">
      <c r="B40" s="4" t="s">
        <v>1102</v>
      </c>
      <c r="C40" s="8" t="str">
        <f>IF(ISBLANK(mgmt_ceip_status_chosen),"Value Missing",mgmt_ceip_status_chosen)</f>
        <v>Selected</v>
      </c>
      <c r="E40" s="4" t="s">
        <v>244</v>
      </c>
      <c r="F40" s="8" t="str">
        <f>IF(mgmt_az1_vmotion_gateway_cidr="Value Missing","Value Missing",CONCATENATE(_xlfn.TEXTBEFORE(mgmt_az1_vmotion_gateway_cidr,".",3),".0"))</f>
        <v>Value Missing</v>
      </c>
      <c r="H40" s="4" t="s">
        <v>244</v>
      </c>
      <c r="I40" s="8" t="str">
        <f>IF(wld_az1_vmotion_gateway_cidr="Value Missing","Value Missing",CONCATENATE(_xlfn.TEXTBEFORE(wld_az1_vmotion_gateway_cidr,".",3),".0"))</f>
        <v>Value Missing</v>
      </c>
      <c r="K40" s="4" t="s">
        <v>244</v>
      </c>
      <c r="L40" s="8" t="str">
        <f>IF(ISBLANK(input_wld_az1_rack2_vmotion_network),"Value Missing",input_wld_az1_rack2_vmotion_network)</f>
        <v>Value Missing</v>
      </c>
      <c r="N40" s="4" t="s">
        <v>244</v>
      </c>
      <c r="O40" s="8" t="str">
        <f>IF(ISBLANK(input_wld_az1_rack3_vmotion_network),"Value Missing",input_wld_az1_rack3_vmotion_network)</f>
        <v>Value Missing</v>
      </c>
      <c r="Q40" s="4" t="s">
        <v>244</v>
      </c>
      <c r="R40" s="8" t="str">
        <f>IF(ISBLANK(input_wld_az1_rack4_vmotion_network),"Value Missing",input_wld_az1_rack4_vmotion_network)</f>
        <v>Value Missing</v>
      </c>
      <c r="T40" s="4" t="s">
        <v>244</v>
      </c>
      <c r="U40" s="8" t="str">
        <f>IF(ISBLANK(input_wld_az1_rack5_vmotion_network),"Value Missing",input_wld_az1_rack5_vmotion_network)</f>
        <v>Value Missing</v>
      </c>
      <c r="W40" s="4" t="s">
        <v>244</v>
      </c>
      <c r="X40" s="8" t="str">
        <f>IF(ISBLANK(input_wld_az1_rack6_vmotion_network),"Value Missing",input_wld_az1_rack6_vmotion_network)</f>
        <v>Value Missing</v>
      </c>
      <c r="Z40" s="4" t="s">
        <v>244</v>
      </c>
      <c r="AA40" s="8" t="str">
        <f>IF(ISBLANK(input_wld_az1_rack7_vmotion_network),"Value Missing",input_wld_az1_rack7_vmotion_network)</f>
        <v>Value Missing</v>
      </c>
      <c r="AC40" s="4" t="s">
        <v>244</v>
      </c>
      <c r="AD40" s="8" t="str">
        <f>IF(ISBLANK(input_wld_az1_rack8_vmotion_network),"Value Missing",input_wld_az1_rack8_vmotion_network)</f>
        <v>Value Missing</v>
      </c>
      <c r="AG40" s="9"/>
      <c r="AH40" s="9"/>
    </row>
    <row r="41" spans="2:34" s="2" customFormat="1" ht="20" customHeight="1" x14ac:dyDescent="0.2">
      <c r="E41" s="23" t="str">
        <f>CONCATENATE("Principal Storage Network ",wld_principal_storage_chosen)</f>
        <v>Principal Storage Network vSAN-ESA</v>
      </c>
      <c r="F41" s="8" t="str">
        <f>IF(mgmt_az1_vsan_gateway_cidr="Value Missing","Value Missing",CONCATENATE(_xlfn.TEXTBEFORE(mgmt_az1_vsan_gateway_cidr,".",3),".0"))</f>
        <v>Value Missing</v>
      </c>
      <c r="H41" s="23" t="s">
        <v>250</v>
      </c>
      <c r="I41" s="8" t="str">
        <f>IF(wld_az1_principal_storage_gateway_cidr="Value Missing","Value Missing",CONCATENATE(_xlfn.TEXTBEFORE(wld_az1_principal_storage_gateway_cidr,".",3),".0"))</f>
        <v>Value Missing</v>
      </c>
      <c r="K41" s="23" t="str">
        <f>CONCATENATE("Principal Storage Network ",wld_principal_storage_chosen)</f>
        <v>Principal Storage Network vSAN-ESA</v>
      </c>
      <c r="L41" s="8" t="str">
        <f>IF(ISBLANK(input_wld_az1_rack2_principal_storage_network),"Value Missing",input_wld_az1_rack2_principal_storage_network)</f>
        <v>Value Missing</v>
      </c>
      <c r="N41" s="23" t="str">
        <f>CONCATENATE("Principal Storage Network ",wld_principal_storage_chosen)</f>
        <v>Principal Storage Network vSAN-ESA</v>
      </c>
      <c r="O41" s="8" t="str">
        <f>IF(ISBLANK(input_wld_az1_rack3_principal_storage_network),"Value Missing",input_wld_az1_rack3_principal_storage_network)</f>
        <v>Value Missing</v>
      </c>
      <c r="Q41" s="23" t="str">
        <f>CONCATENATE("Principal Storage Network ",wld_principal_storage_chosen)</f>
        <v>Principal Storage Network vSAN-ESA</v>
      </c>
      <c r="R41" s="8" t="str">
        <f>IF(ISBLANK(input_wld_az1_rack4_principal_storage_network),"Value Missing",input_wld_az1_rack4_principal_storage_network)</f>
        <v>Value Missing</v>
      </c>
      <c r="T41" s="23" t="str">
        <f>CONCATENATE("Principal Storage Network ",wld_principal_storage_chosen)</f>
        <v>Principal Storage Network vSAN-ESA</v>
      </c>
      <c r="U41" s="8" t="str">
        <f>IF(ISBLANK(input_wld_az1_rack5_principal_storage_network),"Value Missing",input_wld_az1_rack5_principal_storage_network)</f>
        <v>Value Missing</v>
      </c>
      <c r="W41" s="23" t="str">
        <f>CONCATENATE("Principal Storage Network ",wld_principal_storage_chosen)</f>
        <v>Principal Storage Network vSAN-ESA</v>
      </c>
      <c r="X41" s="8" t="str">
        <f>IF(ISBLANK(input_wld_az1_rack6_principal_storage_network),"Value Missing",input_wld_az1_rack6_principal_storage_network)</f>
        <v>Value Missing</v>
      </c>
      <c r="Z41" s="23" t="str">
        <f>CONCATENATE("Principal Storage Network ",wld_principal_storage_chosen)</f>
        <v>Principal Storage Network vSAN-ESA</v>
      </c>
      <c r="AA41" s="8" t="str">
        <f>IF(ISBLANK(input_wld_az1_rack7_principal_storage_network),"Value Missing",input_wld_az1_rack7_principal_storage_network)</f>
        <v>Value Missing</v>
      </c>
      <c r="AC41" s="23" t="str">
        <f>CONCATENATE("Principal Storage Network ",wld_principal_storage_chosen)</f>
        <v>Principal Storage Network vSAN-ESA</v>
      </c>
      <c r="AD41" s="8" t="str">
        <f>IF(ISBLANK(input_wld_az1_rack8_principal_storage_network),"Value Missing",input_wld_az1_rack8_principal_storage_network)</f>
        <v>Value Missing</v>
      </c>
      <c r="AG41" s="9"/>
      <c r="AH41" s="9"/>
    </row>
    <row r="42" spans="2:34" s="2" customFormat="1" ht="20" customHeight="1" x14ac:dyDescent="0.2">
      <c r="B42" s="624" t="s">
        <v>713</v>
      </c>
      <c r="C42" s="625"/>
      <c r="E42" s="4" t="s">
        <v>1053</v>
      </c>
      <c r="F42" s="8" t="str">
        <f>IF(mgmt_az1_host_overlay_gateway_cidr="Value Missing","Value Missing",CONCATENATE(_xlfn.TEXTBEFORE(mgmt_az1_host_overlay_gateway_cidr,".",3),".0"))</f>
        <v>Value Missing</v>
      </c>
      <c r="H42" s="4" t="s">
        <v>1053</v>
      </c>
      <c r="I42" s="8" t="str">
        <f>IF(wld_az1_host_overlay_cidr="Value Missing","Value Missing",IF(ISBLANK(wld_az1_host_overlay_cidr),"Value Missing",LEFT(wld_az1_host_overlay_cidr,(FIND("/",wld_az1_host_overlay_cidr)-1))))</f>
        <v>Value Missing</v>
      </c>
      <c r="K42" s="4" t="s">
        <v>1053</v>
      </c>
      <c r="L42" s="8" t="str">
        <f>IF(ISBLANK(input_wld_az1_rack2_host_overlay_network),"Value Missing",input_wld_az1_rack2_host_overlay_network)</f>
        <v>Value Missing</v>
      </c>
      <c r="N42" s="4" t="s">
        <v>1053</v>
      </c>
      <c r="O42" s="8" t="str">
        <f>IF(ISBLANK(input_wld_az1_rack2_host_overlay_network),"Value Missing",input_wld_az1_rack3_host_overlay_network)</f>
        <v>Value Missing</v>
      </c>
      <c r="Q42" s="4" t="s">
        <v>1053</v>
      </c>
      <c r="R42" s="8" t="str">
        <f>IF(ISBLANK(input_wld_az1_rack4_host_overlay_network),"Value Missing",input_wld_az1_rack4_host_overlay_network)</f>
        <v>Value Missing</v>
      </c>
      <c r="T42" s="4" t="s">
        <v>1053</v>
      </c>
      <c r="U42" s="8" t="str">
        <f>IF(ISBLANK(input_wld_az1_rack5_host_overlay_network),"Value Missing",input_wld_az1_rack5_host_overlay_network)</f>
        <v>Value Missing</v>
      </c>
      <c r="W42" s="4" t="s">
        <v>1053</v>
      </c>
      <c r="X42" s="8" t="str">
        <f>IF(ISBLANK(input_wld_az1_rack6_host_overlay_network),"Value Missing",input_wld_az1_rack6_host_overlay_network)</f>
        <v>Value Missing</v>
      </c>
      <c r="Z42" s="4" t="s">
        <v>1053</v>
      </c>
      <c r="AA42" s="8" t="str">
        <f>IF(ISBLANK(input_wld_az1_rack7_host_overlay_network),"Value Missing",input_wld_az1_rack7_host_overlay_network)</f>
        <v>Value Missing</v>
      </c>
      <c r="AC42" s="4" t="s">
        <v>1053</v>
      </c>
      <c r="AD42" s="8" t="str">
        <f>IF(ISBLANK(input_wld_az1_rack8_host_overlay_network),"Value Missing",input_wld_az1_rack8_host_overlay_network)</f>
        <v>Value Missing</v>
      </c>
      <c r="AG42" s="9"/>
      <c r="AH42" s="9"/>
    </row>
    <row r="43" spans="2:34" s="2" customFormat="1" ht="20" customHeight="1" x14ac:dyDescent="0.2">
      <c r="B43" s="17" t="s">
        <v>254</v>
      </c>
      <c r="C43" s="18" t="s">
        <v>1043</v>
      </c>
      <c r="E43" s="24" t="s">
        <v>1055</v>
      </c>
      <c r="F43" s="8" t="str">
        <f>IF(mgmt_az1_secondary_storage_gateway_cidr="Value Missing","Value Missing",CONCATENATE(_xlfn.TEXTBEFORE(mgmt_az1_secondary_storage_gateway_cidr,".",3),".0"))</f>
        <v>Value Missing</v>
      </c>
      <c r="H43" s="4" t="s">
        <v>1055</v>
      </c>
      <c r="I43" s="8" t="str">
        <f>IF(wld_az1_secondary_storage_gateway_cidr="Value Missing","Value Missing",CONCATENATE(_xlfn.TEXTBEFORE(wld_az1_secondary_storage_gateway_cidr,".",3),".0"))</f>
        <v>Value Missing</v>
      </c>
      <c r="K43" s="30" t="s">
        <v>706</v>
      </c>
      <c r="L43" s="8"/>
      <c r="N43" s="30" t="s">
        <v>706</v>
      </c>
      <c r="O43" s="8"/>
      <c r="Q43" s="30" t="s">
        <v>706</v>
      </c>
      <c r="R43" s="8"/>
      <c r="T43" s="30" t="s">
        <v>706</v>
      </c>
      <c r="U43" s="8"/>
      <c r="W43" s="30" t="s">
        <v>706</v>
      </c>
      <c r="X43" s="8"/>
      <c r="Z43" s="30" t="s">
        <v>706</v>
      </c>
      <c r="AA43" s="8"/>
      <c r="AC43" s="30" t="s">
        <v>706</v>
      </c>
      <c r="AD43" s="8"/>
      <c r="AG43" s="9"/>
      <c r="AH43" s="9"/>
    </row>
    <row r="44" spans="2:34" s="2" customFormat="1" ht="20" customHeight="1" x14ac:dyDescent="0.2">
      <c r="B44" s="4" t="s">
        <v>39</v>
      </c>
      <c r="C44" s="8" t="str">
        <f>IF(ISBLANK(mgmt_vc_fqdn),"Value Missing",mgmt_vc_fqdn)</f>
        <v>Value Missing</v>
      </c>
      <c r="E44" s="24" t="s">
        <v>3721</v>
      </c>
      <c r="F44" s="8" t="str">
        <f>IF(mgmt_az1_vcf_mgmt_gateway_cidr="Value Missing","Value Missing",CONCATENATE(_xlfn.TEXTBEFORE(mgmt_az1_vcf_mgmt_gateway_cidr,".",3),".0"))</f>
        <v>Value Missing</v>
      </c>
      <c r="H44" s="4" t="s">
        <v>706</v>
      </c>
      <c r="I44" s="8" t="str">
        <f>IF(wld_az1_storage_cluster_gateway_cidr="Value Missing","Value Missing",CONCATENATE(_xlfn.TEXTBEFORE(wld_az1_storage_cluster_gateway_cidr,".",3),".0"))</f>
        <v>Value Missing</v>
      </c>
      <c r="K44" s="24" t="s">
        <v>1055</v>
      </c>
      <c r="L44" s="8" t="str">
        <f>IF(ISBLANK(input_wld_az1_rack2_secondary_storage_network),"Value Missing",input_wld_az1_rack2_secondary_storage_network)</f>
        <v>Value Missing</v>
      </c>
      <c r="N44" s="24" t="s">
        <v>1055</v>
      </c>
      <c r="O44" s="8" t="str">
        <f>IF(ISBLANK(input_wld_az1_rack3_secondary_storage_network),"Value Missing",input_wld_az1_rack3_secondary_storage_network)</f>
        <v>Value Missing</v>
      </c>
      <c r="Q44" s="24" t="s">
        <v>1055</v>
      </c>
      <c r="R44" s="8" t="str">
        <f>IF(ISBLANK(input_wld_az1_rack4_secondary_storage_network),"Value Missing",input_wld_az1_rack4_secondary_storage_network)</f>
        <v>Value Missing</v>
      </c>
      <c r="T44" s="24" t="s">
        <v>1055</v>
      </c>
      <c r="U44" s="8" t="str">
        <f>IF(ISBLANK(input_wld_az1_rack5_secondary_storage_network),"Value Missing",input_wld_az1_rack5_secondary_storage_network)</f>
        <v>Value Missing</v>
      </c>
      <c r="W44" s="24" t="s">
        <v>1055</v>
      </c>
      <c r="X44" s="8" t="str">
        <f>IF(ISBLANK(input_wld_az1_rack6_secondary_storage_network),"Value Missing",input_wld_az1_rack6_secondary_storage_network)</f>
        <v>Value Missing</v>
      </c>
      <c r="Z44" s="24" t="s">
        <v>1055</v>
      </c>
      <c r="AA44" s="8" t="str">
        <f>IF(ISBLANK(input_wld_az1_rack7_secondary_storage_network),"Value Missing",input_wld_az1_rack7_secondary_storage_network)</f>
        <v>Value Missing</v>
      </c>
      <c r="AC44" s="24" t="s">
        <v>1055</v>
      </c>
      <c r="AD44" s="8" t="str">
        <f>IF(ISBLANK(input_wld_az1_rack8_secondary_storage_network),"Value Missing",input_wld_az1_rack8_secondary_storage_network)</f>
        <v>Value Missing</v>
      </c>
      <c r="AG44" s="9"/>
      <c r="AH44" s="9"/>
    </row>
    <row r="45" spans="2:34" s="2" customFormat="1" ht="20" customHeight="1" x14ac:dyDescent="0.2">
      <c r="B45" s="4" t="s">
        <v>686</v>
      </c>
      <c r="C45" s="8" t="str">
        <f>mgmt_vcenter_appliance_size_chosen</f>
        <v>Medium</v>
      </c>
      <c r="E45" s="4" t="s">
        <v>1058</v>
      </c>
      <c r="F45" s="8" t="str">
        <f>IF(mgmt_az1_uplink01_cidr="Value Missing",mgmt_az1_uplink01_cidr,LEFT(mgmt_az1_uplink01_cidr,(FIND("/",mgmt_az1_uplink01_cidr)-1)))</f>
        <v>Value Missing</v>
      </c>
      <c r="H45" s="4" t="s">
        <v>1058</v>
      </c>
      <c r="I45" s="8" t="str">
        <f>IF(wld_az1_uplink01_cidr="Value Missing",wld_az1_uplink01_cidr,IF(ISBLANK(wld_az1_uplink01_cidr),"Value Missing",LEFT(wld_az1_uplink01_cidr,(FIND("/",wld_az1_uplink01_cidr)-1))))</f>
        <v>Value Missing</v>
      </c>
      <c r="K45" s="4" t="s">
        <v>1058</v>
      </c>
      <c r="L45" s="8" t="str">
        <f>IF(ISBLANK(input_wld_az1_rack2_uplink01_network),"Value Missing",input_wld_az1_rack2_uplink01_network)</f>
        <v>Value Missing</v>
      </c>
      <c r="N45" s="4" t="s">
        <v>1058</v>
      </c>
      <c r="O45" s="8" t="str">
        <f>IF(ISBLANK(input_wld_az1_rack3_uplink01_network),"Value Missing",input_wld_az1_rack3_uplink01_network)</f>
        <v>Value Missing</v>
      </c>
      <c r="Q45" s="4" t="s">
        <v>1058</v>
      </c>
      <c r="R45" s="8" t="str">
        <f>IF(ISBLANK(input_wld_az1_rack4_uplink01_network),"Value Missing",input_wld_az1_rack4_uplink01_network)</f>
        <v>Value Missing</v>
      </c>
      <c r="T45" s="4" t="s">
        <v>1058</v>
      </c>
      <c r="U45" s="8" t="str">
        <f>IF(ISBLANK(input_wld_az1_rack5_uplink01_network),"Value Missing",input_wld_az1_rack5_uplink01_network)</f>
        <v>Value Missing</v>
      </c>
      <c r="W45" s="4" t="s">
        <v>1058</v>
      </c>
      <c r="X45" s="8" t="str">
        <f>IF(ISBLANK(input_wld_az1_rack6_uplink01_network),"Value Missing",input_wld_az1_rack6_uplink01_network)</f>
        <v>Value Missing</v>
      </c>
      <c r="Z45" s="4" t="s">
        <v>1058</v>
      </c>
      <c r="AA45" s="8" t="str">
        <f>IF(ISBLANK(input_wld_az1_rack7_uplink01_network),"Value Missing",input_wld_az1_rack7_uplink01_network)</f>
        <v>Value Missing</v>
      </c>
      <c r="AC45" s="4" t="s">
        <v>1058</v>
      </c>
      <c r="AD45" s="8" t="str">
        <f>IF(ISBLANK(input_wld_az1_rack8_uplink01_network),"Value Missing",input_wld_az1_rack8_uplink01_network)</f>
        <v>Value Missing</v>
      </c>
      <c r="AG45" s="9"/>
      <c r="AH45" s="9"/>
    </row>
    <row r="46" spans="2:34" s="2" customFormat="1" ht="20" customHeight="1" x14ac:dyDescent="0.2">
      <c r="B46" s="4" t="s">
        <v>1103</v>
      </c>
      <c r="C46" s="8" t="str">
        <f>sizing_m01_vcenter_storage_size_chosen</f>
        <v>Large</v>
      </c>
      <c r="E46" s="4" t="s">
        <v>1060</v>
      </c>
      <c r="F46" s="8" t="str">
        <f>IF(mgmt_az1_uplink02_cidr="Value Missing",mgmt_az1_uplink02_cidr,LEFT(mgmt_az1_uplink02_cidr,(FIND("/",mgmt_az1_uplink02_cidr)-1)))</f>
        <v>Value Missing</v>
      </c>
      <c r="H46" s="4" t="s">
        <v>1060</v>
      </c>
      <c r="I46" s="8" t="str">
        <f>IF(wld_az1_uplink02_cidr="Value Missing",wld_az1_uplink02_cidr,IF(ISBLANK(wld_az1_uplink02_cidr),"Value Missing",LEFT(wld_az1_uplink02_cidr,(FIND("/",wld_az1_uplink02_cidr)-1))))</f>
        <v>Value Missing</v>
      </c>
      <c r="K46" s="4" t="s">
        <v>1060</v>
      </c>
      <c r="L46" s="8" t="str">
        <f>IF(ISBLANK(input_wld_az1_rack2_uplink02_network),"Value Missing",input_wld_az1_rack2_uplink02_network)</f>
        <v>Value Missing</v>
      </c>
      <c r="N46" s="4" t="s">
        <v>1060</v>
      </c>
      <c r="O46" s="8" t="str">
        <f>IF(ISBLANK(input_wld_az1_rack3_uplink02_network),"Value Missing",input_wld_az1_rack3_uplink02_network)</f>
        <v>Value Missing</v>
      </c>
      <c r="Q46" s="4" t="s">
        <v>1060</v>
      </c>
      <c r="R46" s="8" t="str">
        <f>IF(ISBLANK(input_wld_az1_rack4_uplink02_network),"Value Missing",input_wld_az1_rack4_uplink02_network)</f>
        <v>Value Missing</v>
      </c>
      <c r="T46" s="4" t="s">
        <v>1060</v>
      </c>
      <c r="U46" s="8" t="str">
        <f>IF(ISBLANK(input_wld_az1_rack5_uplink02_network),"Value Missing",input_wld_az1_rack5_uplink02_network)</f>
        <v>Value Missing</v>
      </c>
      <c r="W46" s="4" t="s">
        <v>1060</v>
      </c>
      <c r="X46" s="8" t="str">
        <f>IF(ISBLANK(input_wld_az1_rack6_uplink02_network),"Value Missing",input_wld_az1_rack6_uplink02_network)</f>
        <v>Value Missing</v>
      </c>
      <c r="Z46" s="4" t="s">
        <v>1060</v>
      </c>
      <c r="AA46" s="8" t="str">
        <f>IF(ISBLANK(input_wld_az1_rack7_uplink02_network),"Value Missing",input_wld_az1_rack7_uplink02_network)</f>
        <v>Value Missing</v>
      </c>
      <c r="AC46" s="4" t="s">
        <v>1060</v>
      </c>
      <c r="AD46" s="8" t="str">
        <f>IF(ISBLANK(input_wld_az1_rack8_uplink02_network),"Value Missing",input_wld_az1_rack8_uplink02_network)</f>
        <v>Value Missing</v>
      </c>
      <c r="AG46" s="9"/>
    </row>
    <row r="47" spans="2:34" s="2" customFormat="1" ht="20" customHeight="1" x14ac:dyDescent="0.2">
      <c r="B47" s="4" t="s">
        <v>1104</v>
      </c>
      <c r="C47" s="8" t="str">
        <f>IF(ISBLANK(input_mgmt_datacenter),"Value Missing",input_mgmt_datacenter)</f>
        <v>Value Missing</v>
      </c>
      <c r="E47" s="4" t="s">
        <v>1062</v>
      </c>
      <c r="F47" s="8" t="str">
        <f>IF(mgmt_az1_edge_overlay_cidr="Value Missing",mgmt_az1_edge_overlay_cidr,(LEFT(mgmt_az1_edge_overlay_cidr,(FIND("/",mgmt_az1_edge_overlay_cidr)-1))))</f>
        <v>Value Missing</v>
      </c>
      <c r="H47" s="4" t="s">
        <v>1062</v>
      </c>
      <c r="I47" s="8" t="str">
        <f>IF(wld_az1_edge_overlay_cidr="Value Missing",wld_az1_edge_overlay_cidr,IF(ISBLANK(wld_az1_edge_overlay_cidr),"Value Missing",LEFT(wld_az1_edge_overlay_cidr,(FIND("/",wld_az1_edge_overlay_cidr)-1))))</f>
        <v>Value Missing</v>
      </c>
      <c r="K47" s="4" t="s">
        <v>1062</v>
      </c>
      <c r="L47" s="8" t="str">
        <f>IF(ISBLANK(input_wld_az1_rack2_edge_overlay_network),"Value Missing",input_wld_az1_rack2_edge_overlay_network)</f>
        <v>Value Missing</v>
      </c>
      <c r="N47" s="4" t="s">
        <v>1062</v>
      </c>
      <c r="O47" s="8" t="str">
        <f>IF(ISBLANK(input_wld_az1_rack3_edge_overlay_network),"Value Missing",input_wld_az1_rack3_edge_overlay_network)</f>
        <v>Value Missing</v>
      </c>
      <c r="Q47" s="4" t="s">
        <v>1062</v>
      </c>
      <c r="R47" s="8" t="str">
        <f>IF(ISBLANK(input_wld_az1_rack4_edge_overlay_network),"Value Missing",input_wld_az1_rack4_edge_overlay_network)</f>
        <v>Value Missing</v>
      </c>
      <c r="T47" s="4" t="s">
        <v>1062</v>
      </c>
      <c r="U47" s="8" t="str">
        <f>IF(ISBLANK(input_wld_az1_rack5_edge_overlay_network),"Value Missing",input_wld_az1_rack5_edge_overlay_network)</f>
        <v>Value Missing</v>
      </c>
      <c r="W47" s="4" t="s">
        <v>1062</v>
      </c>
      <c r="X47" s="8" t="str">
        <f>IF(ISBLANK(input_wld_az1_rack6_edge_overlay_network),"Value Missing",input_wld_az1_rack6_edge_overlay_network)</f>
        <v>Value Missing</v>
      </c>
      <c r="Z47" s="4" t="s">
        <v>1062</v>
      </c>
      <c r="AA47" s="8" t="str">
        <f>IF(ISBLANK(input_wld_az1_rack7_edge_overlay_network),"Value Missing",input_wld_az1_rack7_edge_overlay_network)</f>
        <v>Value Missing</v>
      </c>
      <c r="AC47" s="4" t="s">
        <v>1062</v>
      </c>
      <c r="AD47" s="8" t="str">
        <f>IF(ISBLANK(input_wld_az1_rack8_edge_overlay_network),"Value Missing",input_wld_az1_rack8_edge_overlay_network)</f>
        <v>Value Missing</v>
      </c>
      <c r="AG47" s="9"/>
    </row>
    <row r="48" spans="2:34" s="2" customFormat="1" ht="20" customHeight="1" x14ac:dyDescent="0.2">
      <c r="B48" s="4" t="s">
        <v>1105</v>
      </c>
      <c r="C48" s="8" t="str">
        <f>IF(ISBLANK(input_mgmt_cl01_cluster),"Value Missing",input_mgmt_cl01_cluster)</f>
        <v>Value Missing</v>
      </c>
      <c r="E48" s="4" t="s">
        <v>1064</v>
      </c>
      <c r="F48" s="8" t="str">
        <f>IF(mgmt_az1_rtep_overlay_cidr="Value Missing",mgmt_az1_rtep_overlay_cidr,(LEFT(mgmt_az1_rtep_overlay_cidr,(FIND("/",mgmt_az1_rtep_overlay_cidr)-1))))</f>
        <v>Value Missing</v>
      </c>
      <c r="H48" s="4" t="s">
        <v>1064</v>
      </c>
      <c r="I48" s="8" t="str">
        <f>IF(wld_az1_rtep_overlay_cidr="Value Missing",wld_az1_rtep_overlay_cidr,(LEFT(wld_az1_rtep_overlay_cidr,(FIND("/",wld_az1_rtep_overlay_cidr)-1))))</f>
        <v>Value Missing</v>
      </c>
      <c r="K48" s="4" t="s">
        <v>1064</v>
      </c>
      <c r="N48" s="4" t="s">
        <v>1064</v>
      </c>
      <c r="Q48" s="4" t="s">
        <v>1064</v>
      </c>
      <c r="T48" s="4" t="s">
        <v>1064</v>
      </c>
      <c r="W48" s="4" t="s">
        <v>1064</v>
      </c>
      <c r="Z48" s="4" t="s">
        <v>1064</v>
      </c>
      <c r="AC48" s="4" t="s">
        <v>1064</v>
      </c>
      <c r="AG48" s="9"/>
    </row>
    <row r="49" spans="2:34" s="2" customFormat="1" ht="20" customHeight="1" x14ac:dyDescent="0.2">
      <c r="E49" s="4" t="s">
        <v>1066</v>
      </c>
      <c r="F49" s="8"/>
      <c r="H49" s="4" t="s">
        <v>1066</v>
      </c>
      <c r="I49" s="8" t="str">
        <f>IF(wld_az1_vrms_cidr="Value Missing",wld_az1_vrms_cidr,(LEFT(wld_az1_vrms_cidr,(FIND("/",wld_az1_vrms_cidr)-1))))</f>
        <v>Value Missing</v>
      </c>
      <c r="K49" s="4" t="s">
        <v>1066</v>
      </c>
      <c r="N49" s="4" t="s">
        <v>1066</v>
      </c>
      <c r="Q49" s="4" t="s">
        <v>1066</v>
      </c>
      <c r="T49" s="4" t="s">
        <v>1066</v>
      </c>
      <c r="W49" s="4" t="s">
        <v>1066</v>
      </c>
      <c r="Z49" s="4" t="s">
        <v>1066</v>
      </c>
      <c r="AC49" s="4" t="s">
        <v>1066</v>
      </c>
      <c r="AG49" s="9"/>
    </row>
    <row r="50" spans="2:34" s="2" customFormat="1" ht="20" customHeight="1" x14ac:dyDescent="0.2">
      <c r="B50" s="624" t="s">
        <v>245</v>
      </c>
      <c r="C50" s="625"/>
      <c r="Q50" s="7"/>
      <c r="R50" s="7"/>
      <c r="AG50" s="9"/>
    </row>
    <row r="51" spans="2:34" s="2" customFormat="1" ht="20" customHeight="1" x14ac:dyDescent="0.2">
      <c r="B51" s="17" t="s">
        <v>254</v>
      </c>
      <c r="C51" s="18" t="s">
        <v>1043</v>
      </c>
      <c r="E51" s="45" t="s">
        <v>1106</v>
      </c>
      <c r="F51" s="46"/>
      <c r="H51" s="45" t="s">
        <v>1107</v>
      </c>
      <c r="I51" s="46"/>
      <c r="K51" s="45" t="s">
        <v>1108</v>
      </c>
      <c r="L51" s="46"/>
      <c r="N51" s="45" t="s">
        <v>1109</v>
      </c>
      <c r="O51" s="46"/>
      <c r="Q51" s="45" t="s">
        <v>1110</v>
      </c>
      <c r="R51" s="46"/>
      <c r="T51" s="45" t="s">
        <v>1111</v>
      </c>
      <c r="U51" s="46"/>
      <c r="W51" s="45" t="s">
        <v>1112</v>
      </c>
      <c r="X51" s="46"/>
      <c r="Z51" s="45" t="s">
        <v>1113</v>
      </c>
      <c r="AA51" s="46"/>
      <c r="AC51" s="45" t="s">
        <v>1114</v>
      </c>
      <c r="AD51" s="46"/>
      <c r="AG51" s="9"/>
    </row>
    <row r="52" spans="2:34" s="2" customFormat="1" ht="20" customHeight="1" x14ac:dyDescent="0.2">
      <c r="B52" s="8" t="s">
        <v>686</v>
      </c>
      <c r="C52" s="8" t="str">
        <f>sizing_m01_nsxt_appliance_size</f>
        <v>Medium</v>
      </c>
      <c r="E52" s="48" t="s">
        <v>254</v>
      </c>
      <c r="F52" s="49" t="s">
        <v>1044</v>
      </c>
      <c r="H52" s="48" t="s">
        <v>254</v>
      </c>
      <c r="I52" s="49" t="s">
        <v>1044</v>
      </c>
      <c r="K52" s="48" t="s">
        <v>254</v>
      </c>
      <c r="L52" s="49" t="s">
        <v>1044</v>
      </c>
      <c r="N52" s="48" t="s">
        <v>254</v>
      </c>
      <c r="O52" s="49" t="s">
        <v>1044</v>
      </c>
      <c r="Q52" s="48" t="s">
        <v>254</v>
      </c>
      <c r="R52" s="49" t="s">
        <v>1044</v>
      </c>
      <c r="T52" s="48" t="s">
        <v>254</v>
      </c>
      <c r="U52" s="49" t="s">
        <v>1044</v>
      </c>
      <c r="W52" s="48" t="s">
        <v>254</v>
      </c>
      <c r="X52" s="49" t="s">
        <v>1044</v>
      </c>
      <c r="Z52" s="48" t="s">
        <v>254</v>
      </c>
      <c r="AA52" s="49" t="s">
        <v>1044</v>
      </c>
      <c r="AC52" s="48" t="s">
        <v>254</v>
      </c>
      <c r="AD52" s="49" t="s">
        <v>1044</v>
      </c>
      <c r="AG52" s="9"/>
    </row>
    <row r="53" spans="2:34" s="2" customFormat="1" ht="20" customHeight="1" x14ac:dyDescent="0.2">
      <c r="B53" s="8" t="s">
        <v>687</v>
      </c>
      <c r="C53" s="8" t="str">
        <f>IF(ISBLANK(mgmt_nsxt_mgra_fqdn),"Value Missing",mgmt_nsxt_mgra_fqdn)</f>
        <v>Value Missing</v>
      </c>
      <c r="E53" s="30" t="s">
        <v>1047</v>
      </c>
      <c r="F53" s="8" t="str">
        <f>IF(mgmt_az1_mgmt_vm_gateway_cidr="Value Missing",mgmt_az1_mgmt_vm_gateway_cidr,VLOOKUP(INT(RIGHT(mgmt_az1_mgmt_vm_gateway_cidr,LEN(mgmt_az1_mgmt_vm_gateway_cidr)-FIND("/",mgmt_az1_mgmt_vm_gateway_cidr))),table_cidr_to_mask,2,FALSE))</f>
        <v>Value Missing</v>
      </c>
      <c r="H53" s="30" t="s">
        <v>1047</v>
      </c>
      <c r="I53" s="8" t="str">
        <f>IF(wld_az1_mgmt_vm_gateway_cidr="Value Missing",wld_az1_mgmt_vm_gateway_cidr,VLOOKUP(INT(RIGHT(wld_az1_mgmt_vm_gateway_cidr,LEN(wld_az1_mgmt_vm_gateway_cidr)-FIND("/",wld_az1_mgmt_vm_gateway_cidr))),table_cidr_to_mask,2,FALSE))</f>
        <v>Value Missing</v>
      </c>
      <c r="K53" s="30" t="s">
        <v>1047</v>
      </c>
      <c r="L53" s="39"/>
      <c r="N53" s="30" t="s">
        <v>1047</v>
      </c>
      <c r="O53" s="39"/>
      <c r="Q53" s="30" t="s">
        <v>1047</v>
      </c>
      <c r="R53" s="39"/>
      <c r="T53" s="30" t="s">
        <v>1047</v>
      </c>
      <c r="U53" s="39"/>
      <c r="W53" s="30" t="s">
        <v>1047</v>
      </c>
      <c r="X53" s="39"/>
      <c r="Z53" s="30" t="s">
        <v>1047</v>
      </c>
      <c r="AA53" s="39"/>
      <c r="AC53" s="30" t="s">
        <v>1047</v>
      </c>
      <c r="AD53" s="39"/>
      <c r="AG53" s="9"/>
    </row>
    <row r="54" spans="2:34" s="2" customFormat="1" ht="20" customHeight="1" x14ac:dyDescent="0.2">
      <c r="B54" s="8" t="s">
        <v>1115</v>
      </c>
      <c r="C54" s="8" t="str">
        <f>IF(ISBLANK(mgmt_nsxt_mgrb_fqdn),"Value Missing",mgmt_nsxt_mgrb_fqdn)</f>
        <v>Value Missing</v>
      </c>
      <c r="E54" s="30" t="s">
        <v>1049</v>
      </c>
      <c r="F54" s="8" t="str">
        <f>IF(mgmt_az1_mgmt_gateway_cidr="Value Missing",mgmt_az1_mgmt_gateway_cidr,VLOOKUP(INT(RIGHT(mgmt_az1_mgmt_gateway_cidr,LEN(mgmt_az1_mgmt_gateway_cidr)-FIND("/",mgmt_az1_mgmt_gateway_cidr))),table_cidr_to_mask,2,FALSE))</f>
        <v>Value Missing</v>
      </c>
      <c r="H54" s="30" t="s">
        <v>1049</v>
      </c>
      <c r="I54" s="8" t="str">
        <f>IF(wld_az1_mgmt_gateway_cidr="Value Missing",wld_az1_mgmt_gateway_cidr,VLOOKUP(INT(RIGHT(wld_az1_mgmt_gateway_cidr,LEN(wld_az1_mgmt_gateway_cidr)-FIND("/",wld_az1_mgmt_gateway_cidr))),table_cidr_to_mask,2,FALSE))</f>
        <v>Value Missing</v>
      </c>
      <c r="K54" s="30" t="s">
        <v>1049</v>
      </c>
      <c r="L54" s="8" t="str">
        <f>IF(wld_az1_rack2_mgmt_cidr="Value Missing","Value Missing",IF(ISBLANK(wld_az1_rack2_mgmt_cidr),"Value Missing",VLOOKUP(INT(RIGHT(wld_az1_rack2_mgmt_cidr,LEN(wld_az1_rack2_mgmt_cidr)-FIND("/",wld_az1_rack2_mgmt_cidr))),table_cidr_to_mask,2,FALSE)))</f>
        <v>Value Missing</v>
      </c>
      <c r="N54" s="30" t="s">
        <v>1049</v>
      </c>
      <c r="O54" s="8" t="str">
        <f>IF(wld_az1_rack3_mgmt_cidr="Value Missing","Value Missing",IF(ISBLANK(wld_az1_rack3_mgmt_cidr),"Value Missing",VLOOKUP(INT(RIGHT(wld_az1_rack3_mgmt_cidr,LEN(wld_az1_rack3_mgmt_cidr)-FIND("/",wld_az1_rack3_mgmt_cidr))),table_cidr_to_mask,2,FALSE)))</f>
        <v>Value Missing</v>
      </c>
      <c r="Q54" s="30" t="s">
        <v>1049</v>
      </c>
      <c r="R54" s="8" t="str">
        <f>IF(wld_az1_rack4_mgmt_cidr="Value Missing","Value Missing",IF(ISBLANK(wld_az1_rack4_mgmt_cidr),"Value Missing",VLOOKUP(INT(RIGHT(wld_az1_rack4_mgmt_cidr,LEN(wld_az1_rack4_mgmt_cidr)-FIND("/",wld_az1_rack4_mgmt_cidr))),table_cidr_to_mask,2,FALSE)))</f>
        <v>Value Missing</v>
      </c>
      <c r="T54" s="30" t="s">
        <v>1049</v>
      </c>
      <c r="U54" s="8" t="str">
        <f>IF(wld_az1_rack5_mgmt_cidr="Value Missing","Value Missing",IF(ISBLANK(wld_az1_rack5_mgmt_cidr),"Value Missing",VLOOKUP(INT(RIGHT(wld_az1_rack5_mgmt_cidr,LEN(wld_az1_rack5_mgmt_cidr)-FIND("/",wld_az1_rack5_mgmt_cidr))),table_cidr_to_mask,2,FALSE)))</f>
        <v>Value Missing</v>
      </c>
      <c r="W54" s="30" t="s">
        <v>1049</v>
      </c>
      <c r="X54" s="8" t="str">
        <f>IF(wld_az1_rack6_mgmt_cidr="Value Missing","Value Missing",IF(ISBLANK(wld_az1_rack6_mgmt_cidr),"Value Missing",VLOOKUP(INT(RIGHT(wld_az1_rack6_mgmt_cidr,LEN(wld_az1_rack6_mgmt_cidr)-FIND("/",wld_az1_rack6_mgmt_cidr))),table_cidr_to_mask,2,FALSE)))</f>
        <v>Value Missing</v>
      </c>
      <c r="Z54" s="30" t="s">
        <v>1049</v>
      </c>
      <c r="AA54" s="8" t="str">
        <f>IF(wld_az1_rack7_mgmt_cidr="Value Missing","Value Missing",IF(ISBLANK(wld_az1_rack7_mgmt_cidr),"Value Missing",VLOOKUP(INT(RIGHT(wld_az1_rack7_mgmt_cidr,LEN(wld_az1_rack7_mgmt_cidr)-FIND("/",wld_az1_rack7_mgmt_cidr))),table_cidr_to_mask,2,FALSE)))</f>
        <v>Value Missing</v>
      </c>
      <c r="AC54" s="30" t="s">
        <v>1049</v>
      </c>
      <c r="AD54" s="8" t="str">
        <f>IF(wld_az1_rack8_mgmt_cidr="Value Missing","Value Missing",IF(ISBLANK(wld_az1_rack8_mgmt_cidr),"Value Missing",VLOOKUP(INT(RIGHT(wld_az1_rack8_mgmt_cidr,LEN(wld_az1_rack8_mgmt_cidr)-FIND("/",wld_az1_rack8_mgmt_cidr))),table_cidr_to_mask,2,FALSE)))</f>
        <v>Value Missing</v>
      </c>
      <c r="AG54" s="9"/>
    </row>
    <row r="55" spans="2:34" s="2" customFormat="1" ht="20" customHeight="1" x14ac:dyDescent="0.2">
      <c r="B55" s="8" t="s">
        <v>1116</v>
      </c>
      <c r="C55" s="8" t="str">
        <f>IF(ISBLANK(mgmt_nsxt_mgrc_fqdn),"Value Missing",mgmt_nsxt_mgrc_fqdn)</f>
        <v>Value Missing</v>
      </c>
      <c r="E55" s="30" t="s">
        <v>244</v>
      </c>
      <c r="F55" s="8" t="str">
        <f>IF(mgmt_az1_vmotion_gateway_cidr="Value Missing",mgmt_az1_vmotion_gateway_cidr,VLOOKUP(INT(RIGHT(mgmt_az1_vmotion_gateway_cidr,LEN(mgmt_az1_vmotion_gateway_cidr)-FIND("/",mgmt_az1_vmotion_gateway_cidr))),table_cidr_to_mask,2,FALSE))</f>
        <v>Value Missing</v>
      </c>
      <c r="H55" s="30" t="s">
        <v>244</v>
      </c>
      <c r="I55" s="8" t="str">
        <f>IF(wld_az1_vmotion_gateway_cidr="Value Missing",wld_az1_vmotion_gateway_cidr,VLOOKUP(INT(RIGHT(wld_az1_vmotion_gateway_cidr,LEN(wld_az1_vmotion_gateway_cidr)-FIND("/",wld_az1_vmotion_gateway_cidr))),table_cidr_to_mask,2,FALSE))</f>
        <v>Value Missing</v>
      </c>
      <c r="K55" s="30" t="s">
        <v>244</v>
      </c>
      <c r="L55" s="8" t="str">
        <f>IF(ISBLANK(input_wld_az1_rack2_vmotion_mask),"Value Missing",input_wld_az1_rack2_vmotion_mask)</f>
        <v>Value Missing</v>
      </c>
      <c r="N55" s="30" t="s">
        <v>244</v>
      </c>
      <c r="O55" s="8" t="str">
        <f>IF(ISBLANK(input_wld_az1_rack3_vmotion_mask),"Value Missing",input_wld_az1_rack3_vmotion_mask)</f>
        <v>Value Missing</v>
      </c>
      <c r="Q55" s="30" t="s">
        <v>244</v>
      </c>
      <c r="R55" s="8" t="str">
        <f>IF(ISBLANK(input_wld_az1_rack4_vmotion_mask),"Value Missing",input_wld_az1_rack4_vmotion_mask)</f>
        <v>Value Missing</v>
      </c>
      <c r="T55" s="30" t="s">
        <v>244</v>
      </c>
      <c r="U55" s="8" t="str">
        <f>IF(ISBLANK(input_wld_az1_rack5_vmotion_mask),"Value Missing",input_wld_az1_rack5_vmotion_mask)</f>
        <v>Value Missing</v>
      </c>
      <c r="W55" s="30" t="s">
        <v>244</v>
      </c>
      <c r="X55" s="8" t="str">
        <f>IF(ISBLANK(input_wld_az1_rack6_vmotion_mask),"Value Missing",input_wld_az1_rack6_vmotion_mask)</f>
        <v>Value Missing</v>
      </c>
      <c r="Z55" s="30" t="s">
        <v>244</v>
      </c>
      <c r="AA55" s="8" t="str">
        <f>IF(ISBLANK(input_wld_az1_rack7_vmotion_mask),"Value Missing",input_wld_az1_rack7_vmotion_mask)</f>
        <v>Value Missing</v>
      </c>
      <c r="AC55" s="30" t="s">
        <v>244</v>
      </c>
      <c r="AD55" s="8" t="str">
        <f>IF(ISBLANK(input_wld_az1_rack8_vmotion_mask),"Value Missing",input_wld_az1_rack8_vmotion_mask)</f>
        <v>Value Missing</v>
      </c>
      <c r="AG55" s="9"/>
    </row>
    <row r="56" spans="2:34" s="2" customFormat="1" ht="20" customHeight="1" x14ac:dyDescent="0.2">
      <c r="B56" s="8" t="s">
        <v>693</v>
      </c>
      <c r="C56" s="8" t="str">
        <f>IF(ISBLANK(mgmt_nsxt_vip_fqdn),"Value Missing",mgmt_nsxt_vip_fqdn)</f>
        <v>Value Missing</v>
      </c>
      <c r="E56" s="30" t="s">
        <v>1117</v>
      </c>
      <c r="F56" s="8" t="str">
        <f>IF(mgmt_az1_vsan_gateway_cidr="Value Missing",mgmt_az1_vsan_gateway_cidr,VLOOKUP(INT(RIGHT(mgmt_az1_vsan_gateway_cidr,LEN(mgmt_az1_vsan_gateway_cidr)-FIND("/",mgmt_az1_vsan_gateway_cidr))),table_cidr_to_mask,2,FALSE))</f>
        <v>Value Missing</v>
      </c>
      <c r="H56" s="30" t="s">
        <v>1117</v>
      </c>
      <c r="I56" s="8" t="str">
        <f>IF(wld_az1_principal_storage_gateway_cidr="Value Missing",wld_az1_principal_storage_gateway_cidr,VLOOKUP(INT(RIGHT(wld_az1_principal_storage_gateway_cidr,LEN(wld_az1_principal_storage_gateway_cidr)-FIND("/",wld_az1_principal_storage_gateway_cidr))),table_cidr_to_mask,2,FALSE))</f>
        <v>Value Missing</v>
      </c>
      <c r="K56" s="30" t="s">
        <v>1117</v>
      </c>
      <c r="L56" s="8" t="str">
        <f>IF(ISBLANK(input_wld_az1_rack2_principal_storage_mask),"Value Missing",input_wld_az1_rack2_principal_storage_mask)</f>
        <v>Value Missing</v>
      </c>
      <c r="N56" s="30" t="s">
        <v>1117</v>
      </c>
      <c r="O56" s="8" t="str">
        <f>IF(ISBLANK(input_wld_az1_rack3_principal_storage_mask),"Value Missing",input_wld_az1_rack3_principal_storage_mask)</f>
        <v>Value Missing</v>
      </c>
      <c r="Q56" s="30" t="s">
        <v>1117</v>
      </c>
      <c r="R56" s="8" t="str">
        <f>IF(ISBLANK(input_wld_az1_rack4_principal_storage_mask),"Value Missing",input_wld_az1_rack4_principal_storage_mask)</f>
        <v>Value Missing</v>
      </c>
      <c r="T56" s="30" t="s">
        <v>1117</v>
      </c>
      <c r="U56" s="8" t="str">
        <f>IF(ISBLANK(input_wld_az1_rack5_principal_storage_mask),"Value Missing",input_wld_az1_rack5_principal_storage_mask)</f>
        <v>Value Missing</v>
      </c>
      <c r="W56" s="30" t="s">
        <v>1117</v>
      </c>
      <c r="X56" s="8" t="str">
        <f>IF(ISBLANK(input_wld_az1_rack6_principal_storage_mask),"Value Missing",input_wld_az1_rack6_principal_storage_mask)</f>
        <v>Value Missing</v>
      </c>
      <c r="Z56" s="30" t="s">
        <v>1117</v>
      </c>
      <c r="AA56" s="8" t="str">
        <f>IF(ISBLANK(input_wld_az1_rack7_principal_storage_mask),"Value Missing",input_wld_az1_rack7_principal_storage_mask)</f>
        <v>Value Missing</v>
      </c>
      <c r="AC56" s="30" t="s">
        <v>1117</v>
      </c>
      <c r="AD56" s="8" t="str">
        <f>IF(ISBLANK(input_wld_az1_rack8_principal_storage_mask),"Value Missing",input_wld_az1_rack8_principal_storage_mask)</f>
        <v>Value Missing</v>
      </c>
      <c r="AG56" s="9"/>
    </row>
    <row r="57" spans="2:34" s="2" customFormat="1" ht="20" customHeight="1" x14ac:dyDescent="0.2">
      <c r="E57" s="30" t="s">
        <v>1053</v>
      </c>
      <c r="F57" s="8" t="str">
        <f>IF(mgmt_az1_host_overlay_gateway_cidr="Value Missing",mgmt_az1_host_overlay_gateway_cidr,VLOOKUP(INT(RIGHT(mgmt_az1_host_overlay_gateway_cidr,LEN(mgmt_az1_host_overlay_gateway_cidr)-FIND("/",mgmt_az1_host_overlay_gateway_cidr))),table_cidr_to_mask,2,FALSE))</f>
        <v>Value Missing</v>
      </c>
      <c r="H57" s="30" t="s">
        <v>1053</v>
      </c>
      <c r="I57" s="8" t="str">
        <f>IF(wld_az1_host_overlay_cidr="Value Missing","Value Missing",VLOOKUP(INT(RIGHT(wld_az1_host_overlay_cidr,LEN(wld_az1_host_overlay_cidr)-FIND("/",wld_az1_host_overlay_cidr))),table_cidr_to_mask,2,FALSE))</f>
        <v>Value Missing</v>
      </c>
      <c r="K57" s="30" t="s">
        <v>1053</v>
      </c>
      <c r="L57" s="8" t="str">
        <f>IF(ISBLANK(input_wld_az1_rack2_host_overlay_mask),"Value Missing",input_wld_az1_rack2_host_overlay_mask)</f>
        <v>Value Missing</v>
      </c>
      <c r="N57" s="30" t="s">
        <v>1053</v>
      </c>
      <c r="O57" s="8" t="str">
        <f>IF(ISBLANK(input_wld_az1_rack3_host_overlay_mask),"Value Missing",input_wld_az1_rack3_host_overlay_mask)</f>
        <v>Value Missing</v>
      </c>
      <c r="Q57" s="30" t="s">
        <v>1053</v>
      </c>
      <c r="R57" s="8" t="str">
        <f>IF(ISBLANK(input_wld_az1_rack4_host_overlay_mask),"Value Missing",input_wld_az1_rack4_host_overlay_mask)</f>
        <v>Value Missing</v>
      </c>
      <c r="T57" s="30" t="s">
        <v>1053</v>
      </c>
      <c r="U57" s="8" t="str">
        <f>IF(ISBLANK(input_wld_az1_rack5_host_overlay_mask),"Value Missing",input_wld_az1_rack5_host_overlay_mask)</f>
        <v>Value Missing</v>
      </c>
      <c r="W57" s="30" t="s">
        <v>1053</v>
      </c>
      <c r="X57" s="8" t="str">
        <f>IF(ISBLANK(input_wld_az1_rack6_host_overlay_mask),"Value Missing",input_wld_az1_rack6_host_overlay_mask)</f>
        <v>Value Missing</v>
      </c>
      <c r="Z57" s="30" t="s">
        <v>1053</v>
      </c>
      <c r="AA57" s="8" t="str">
        <f>IF(ISBLANK(input_wld_az1_rack7_host_overlay_mask),"Value Missing",input_wld_az1_rack7_host_overlay_mask)</f>
        <v>Value Missing</v>
      </c>
      <c r="AC57" s="30" t="s">
        <v>1053</v>
      </c>
      <c r="AD57" s="8" t="str">
        <f>IF(ISBLANK(input_wld_az1_rack8_host_overlay_mask),"Value Missing",input_wld_az1_rack8_host_overlay_mask)</f>
        <v>Value Missing</v>
      </c>
      <c r="AG57" s="9"/>
    </row>
    <row r="58" spans="2:34" s="2" customFormat="1" ht="20" customHeight="1" x14ac:dyDescent="0.2">
      <c r="B58" s="624" t="s">
        <v>1118</v>
      </c>
      <c r="C58" s="625"/>
      <c r="E58" s="24" t="s">
        <v>3721</v>
      </c>
      <c r="F58" s="8" t="str">
        <f>IF(mgmt_az1_vcf_mgmt_gateway_cidr="Value Missing",mgmt_az1_vcf_mgmt_gateway_cidr,VLOOKUP(INT(RIGHT(mgmt_az1_vcf_mgmt_gateway_cidr,LEN(mgmt_az1_vcf_mgmt_gateway_cidr)-FIND("/",mgmt_az1_vcf_mgmt_gateway_cidr))),table_cidr_to_mask,2,FALSE))</f>
        <v>Value Missing</v>
      </c>
      <c r="H58" s="30" t="s">
        <v>1055</v>
      </c>
      <c r="I58" s="8" t="str">
        <f>IF(wld_az1_secondary_storage_gateway_cidr="Value Missing",wld_az1_secondary_storage_gateway_cidr,VLOOKUP(INT(RIGHT(wld_az1_secondary_storage_gateway_cidr,LEN(wld_az1_secondary_storage_gateway_cidr)-FIND("/",wld_az1_secondary_storage_gateway_cidr))),table_cidr_to_mask,2,FALSE))</f>
        <v>Value Missing</v>
      </c>
      <c r="K58" s="30" t="s">
        <v>1055</v>
      </c>
      <c r="L58" s="8" t="str">
        <f>IF(ISBLANK(input_wld_az1_rack2_secondary_storage_mask),"Value Missing",input_wld_az1_rack2_secondary_storage_mask)</f>
        <v>Value Missing</v>
      </c>
      <c r="N58" s="30" t="s">
        <v>1055</v>
      </c>
      <c r="O58" s="8" t="str">
        <f>IF(ISBLANK(input_wld_az1_rack3_secondary_storage_mask),"Value Missing",input_wld_az1_rack3_secondary_storage_mask)</f>
        <v>Value Missing</v>
      </c>
      <c r="Q58" s="30" t="s">
        <v>1055</v>
      </c>
      <c r="R58" s="8" t="str">
        <f>IF(ISBLANK(input_wld_az1_rack4_secondary_storage_mask),"Value Missing",input_wld_az1_rack4_secondary_storage_mask)</f>
        <v>Value Missing</v>
      </c>
      <c r="T58" s="30" t="s">
        <v>1055</v>
      </c>
      <c r="U58" s="8" t="str">
        <f>IF(ISBLANK(input_wld_az1_rack5_secondary_storage_mask),"Value Missing",input_wld_az1_rack5_secondary_storage_mask)</f>
        <v>Value Missing</v>
      </c>
      <c r="W58" s="30" t="s">
        <v>1055</v>
      </c>
      <c r="X58" s="8" t="str">
        <f>IF(ISBLANK(input_wld_az1_rack6_secondary_storage_mask),"Value Missing",input_wld_az1_rack6_secondary_storage_mask)</f>
        <v>Value Missing</v>
      </c>
      <c r="Z58" s="30" t="s">
        <v>1055</v>
      </c>
      <c r="AA58" s="8" t="str">
        <f>IF(ISBLANK(input_wld_az1_rack7_secondary_storage_mask),"Value Missing",input_wld_az1_rack7_secondary_storage_mask)</f>
        <v>Value Missing</v>
      </c>
      <c r="AC58" s="30" t="s">
        <v>1055</v>
      </c>
      <c r="AD58" s="8" t="str">
        <f>IF(ISBLANK(input_wld_az1_rack8_secondary_storage_mask),"Value Missing",input_wld_az1_rack8_secondary_storage_mask)</f>
        <v>Value Missing</v>
      </c>
      <c r="AG58" s="9"/>
    </row>
    <row r="59" spans="2:34" s="2" customFormat="1" ht="20" customHeight="1" x14ac:dyDescent="0.2">
      <c r="B59" s="17" t="s">
        <v>254</v>
      </c>
      <c r="C59" s="18" t="s">
        <v>1043</v>
      </c>
      <c r="E59" s="50" t="s">
        <v>1055</v>
      </c>
      <c r="F59" s="8" t="str">
        <f>IF(mgmt_az1_secondary_storage_gateway_cidr="Value Missing",mgmt_az1_secondary_storage_gateway_cidr,VLOOKUP(INT(RIGHT(mgmt_az1_secondary_storage_gateway_cidr,LEN(mgmt_az1_secondary_storage_gateway_cidr)-FIND("/",mgmt_az1_secondary_storage_gateway_cidr))),table_cidr_to_mask,2,FALSE))</f>
        <v>Value Missing</v>
      </c>
      <c r="H59" s="30" t="s">
        <v>706</v>
      </c>
      <c r="I59" s="8" t="str">
        <f>IF(wld_az1_storage_cluster_gateway_cidr="Value Missing",wld_az1_storage_cluster_gateway_cidr,VLOOKUP(INT(RIGHT(wld_az1_storage_cluster_gateway_cidr,LEN(wld_az1_storage_cluster_gateway_cidr)-FIND("/",wld_az1_storage_cluster_gateway_cidr))),table_cidr_to_mask,2,FALSE))</f>
        <v>Value Missing</v>
      </c>
      <c r="K59" s="30" t="s">
        <v>706</v>
      </c>
      <c r="L59" s="8"/>
      <c r="N59" s="30" t="s">
        <v>706</v>
      </c>
      <c r="O59" s="8"/>
      <c r="Q59" s="30" t="s">
        <v>706</v>
      </c>
      <c r="R59" s="8"/>
      <c r="T59" s="30" t="s">
        <v>706</v>
      </c>
      <c r="U59" s="8"/>
      <c r="W59" s="30" t="s">
        <v>706</v>
      </c>
      <c r="X59" s="8"/>
      <c r="Z59" s="30" t="s">
        <v>706</v>
      </c>
      <c r="AA59" s="8"/>
      <c r="AC59" s="30" t="s">
        <v>706</v>
      </c>
      <c r="AD59" s="8"/>
      <c r="AG59" s="9"/>
    </row>
    <row r="60" spans="2:34" s="2" customFormat="1" ht="20" customHeight="1" x14ac:dyDescent="0.2">
      <c r="B60" s="8" t="s">
        <v>1119</v>
      </c>
      <c r="C60" s="8" t="str">
        <f>'Value Reference Tables'!R87</f>
        <v>Value Missing</v>
      </c>
      <c r="E60" s="30" t="s">
        <v>1058</v>
      </c>
      <c r="F60" s="8" t="str">
        <f>IF(mgmt_az1_uplink01_cidr="Value Missing",mgmt_az1_uplink01_cidr,VLOOKUP(INT(RIGHT(mgmt_az1_uplink01_cidr,LEN(mgmt_az1_uplink01_cidr)-FIND("/",mgmt_az1_uplink01_cidr))),table_cidr_to_mask,2,FALSE))</f>
        <v>Value Missing</v>
      </c>
      <c r="H60" s="30" t="s">
        <v>1058</v>
      </c>
      <c r="I60" s="8" t="str">
        <f>IF(wld_az1_uplink01_cidr="Value Missing",wld_az1_uplink01_cidr,VLOOKUP(INT(RIGHT(wld_az1_uplink01_cidr,LEN(wld_az1_uplink01_cidr)-FIND("/",wld_az1_uplink01_cidr))),table_cidr_to_mask,2,FALSE))</f>
        <v>Value Missing</v>
      </c>
      <c r="K60" s="30" t="s">
        <v>1058</v>
      </c>
      <c r="L60" s="8" t="str">
        <f>IF(ISBLANK(input_wld_az1_rack2_uplink01_mask),"Value Missing",input_wld_az1_rack2_uplink01_mask)</f>
        <v>Value Missing</v>
      </c>
      <c r="N60" s="30" t="s">
        <v>1058</v>
      </c>
      <c r="O60" s="8" t="str">
        <f>IF(ISBLANK(input_wld_az1_rack3_uplink01_mask),"Value Missing",input_wld_az1_rack3_uplink01_mask)</f>
        <v>Value Missing</v>
      </c>
      <c r="Q60" s="30" t="s">
        <v>1058</v>
      </c>
      <c r="R60" s="8" t="str">
        <f>IF(ISBLANK(input_wld_az1_rack4_uplink01_mask),"Value Missing",input_wld_az1_rack4_uplink01_mask)</f>
        <v>Value Missing</v>
      </c>
      <c r="T60" s="30" t="s">
        <v>1058</v>
      </c>
      <c r="U60" s="8" t="str">
        <f>IF(ISBLANK(input_wld_az1_rack5_uplink01_mask),"Value Missing",input_wld_az1_rack5_uplink01_mask)</f>
        <v>Value Missing</v>
      </c>
      <c r="W60" s="30" t="s">
        <v>1058</v>
      </c>
      <c r="X60" s="8" t="str">
        <f>IF(ISBLANK(input_wld_az1_rack6_uplink01_mask),"Value Missing",input_wld_az1_rack6_uplink01_mask)</f>
        <v>Value Missing</v>
      </c>
      <c r="Z60" s="30" t="s">
        <v>1058</v>
      </c>
      <c r="AA60" s="8" t="str">
        <f>IF(ISBLANK(input_wld_az1_rack7_uplink01_mask),"Value Missing",input_wld_az1_rack7_uplink01_mask)</f>
        <v>Value Missing</v>
      </c>
      <c r="AC60" s="30" t="s">
        <v>1058</v>
      </c>
      <c r="AD60" s="8" t="str">
        <f>IF(ISBLANK(input_wld_az1_rack8_uplink01_mask),"Value Missing",input_wld_az1_rack8_uplink01_mask)</f>
        <v>Value Missing</v>
      </c>
      <c r="AG60" s="9"/>
    </row>
    <row r="61" spans="2:34" s="2" customFormat="1" ht="20" customHeight="1" x14ac:dyDescent="0.2">
      <c r="E61" s="30" t="s">
        <v>1060</v>
      </c>
      <c r="F61" s="8" t="str">
        <f>IF(mgmt_az1_uplink02_cidr="Value Missing",mgmt_az1_uplink02_cidr,VLOOKUP(INT(RIGHT(mgmt_az1_uplink02_cidr,LEN(mgmt_az1_uplink02_cidr)-FIND("/",mgmt_az1_uplink02_cidr))),table_cidr_to_mask,2,FALSE))</f>
        <v>Value Missing</v>
      </c>
      <c r="H61" s="30" t="s">
        <v>1060</v>
      </c>
      <c r="I61" s="8" t="str">
        <f>IF(wld_az1_uplink02_cidr="Value Missing",wld_az1_uplink02_cidr,VLOOKUP(INT(RIGHT(wld_az1_uplink02_cidr,LEN(wld_az1_uplink02_cidr)-FIND("/",wld_az1_uplink02_cidr))),table_cidr_to_mask,2,FALSE))</f>
        <v>Value Missing</v>
      </c>
      <c r="K61" s="30" t="s">
        <v>1060</v>
      </c>
      <c r="L61" s="8" t="str">
        <f>IF(ISBLANK(input_wld_az1_rack2_uplink02_mask),"Value Missing",input_wld_az1_rack2_uplink02_mask)</f>
        <v>Value Missing</v>
      </c>
      <c r="N61" s="30" t="s">
        <v>1060</v>
      </c>
      <c r="O61" s="8" t="str">
        <f>IF(ISBLANK(input_wld_az1_rack3_uplink02_mask),"Value Missing",input_wld_az1_rack3_uplink02_mask)</f>
        <v>Value Missing</v>
      </c>
      <c r="Q61" s="30" t="s">
        <v>1060</v>
      </c>
      <c r="R61" s="8" t="str">
        <f>IF(ISBLANK(input_wld_az1_rack4_uplink02_mask),"Value Missing",input_wld_az1_rack4_uplink02_mask)</f>
        <v>Value Missing</v>
      </c>
      <c r="T61" s="30" t="s">
        <v>1060</v>
      </c>
      <c r="U61" s="8" t="str">
        <f>IF(ISBLANK(input_wld_az1_rack5_uplink02_mask),"Value Missing",input_wld_az1_rack5_uplink02_mask)</f>
        <v>Value Missing</v>
      </c>
      <c r="W61" s="30" t="s">
        <v>1060</v>
      </c>
      <c r="X61" s="8" t="str">
        <f>IF(ISBLANK(input_wld_az1_rack6_uplink02_mask),"Value Missing",input_wld_az1_rack6_uplink02_mask)</f>
        <v>Value Missing</v>
      </c>
      <c r="Z61" s="30" t="s">
        <v>1060</v>
      </c>
      <c r="AA61" s="8" t="str">
        <f>IF(ISBLANK(input_wld_az1_rack7_uplink02_mask),"Value Missing",input_wld_az1_rack7_uplink02_mask)</f>
        <v>Value Missing</v>
      </c>
      <c r="AC61" s="30" t="s">
        <v>1060</v>
      </c>
      <c r="AD61" s="8" t="str">
        <f>IF(ISBLANK(input_wld_az1_rack8_uplink02_mask),"Value Missing",input_wld_az1_rack8_uplink02_mask)</f>
        <v>Value Missing</v>
      </c>
      <c r="AG61" s="9"/>
    </row>
    <row r="62" spans="2:34" s="2" customFormat="1" ht="20" customHeight="1" x14ac:dyDescent="0.2">
      <c r="B62" s="2" t="s">
        <v>3865</v>
      </c>
      <c r="E62" s="30" t="s">
        <v>1062</v>
      </c>
      <c r="F62" s="8" t="str">
        <f>IF(ISBLANK(input_mgmt_az1_edge_overlay_mask),"Value Missing",input_mgmt_az1_edge_overlay_mask)</f>
        <v>Value Missing</v>
      </c>
      <c r="H62" s="30" t="s">
        <v>1062</v>
      </c>
      <c r="I62" s="8" t="str">
        <f>IF(ISBLANK(input_wld_az1_edge_overlay_mask),"Value Missing",input_wld_az1_edge_overlay_mask)</f>
        <v>Value Missing</v>
      </c>
      <c r="K62" s="30" t="s">
        <v>1062</v>
      </c>
      <c r="L62" s="8" t="str">
        <f>IF(ISBLANK(input_wld_az1_rack2_edge_overlay_mask),"Value Missing",input_wld_az1_rack2_edge_overlay_mask)</f>
        <v>Value Missing</v>
      </c>
      <c r="N62" s="30" t="s">
        <v>1062</v>
      </c>
      <c r="O62" s="8" t="str">
        <f>IF(ISBLANK(input_wld_az1_rack3_edge_overlay_mask),"Value Missing",input_wld_az1_rack3_edge_overlay_mask)</f>
        <v>Value Missing</v>
      </c>
      <c r="Q62" s="30" t="s">
        <v>1062</v>
      </c>
      <c r="R62" s="8" t="str">
        <f>IF(ISBLANK(input_wld_az1_rack4_edge_overlay_mask),"Value Missing",input_wld_az1_rack4_edge_overlay_mask)</f>
        <v>Value Missing</v>
      </c>
      <c r="T62" s="30" t="s">
        <v>1062</v>
      </c>
      <c r="U62" s="8" t="str">
        <f>IF(ISBLANK(input_wld_az1_rack5_edge_overlay_mask),"Value Missing",input_wld_az1_rack5_edge_overlay_mask)</f>
        <v>Value Missing</v>
      </c>
      <c r="W62" s="30" t="s">
        <v>1062</v>
      </c>
      <c r="X62" s="8" t="str">
        <f>IF(ISBLANK(input_wld_az1_rack6_edge_overlay_mask),"Value Missing",input_wld_az1_rack6_edge_overlay_mask)</f>
        <v>Value Missing</v>
      </c>
      <c r="Z62" s="30" t="s">
        <v>1062</v>
      </c>
      <c r="AA62" s="8" t="str">
        <f>IF(ISBLANK(input_wld_az1_rack7_edge_overlay_mask),"Value Missing",input_wld_az1_rack7_edge_overlay_mask)</f>
        <v>Value Missing</v>
      </c>
      <c r="AC62" s="30" t="s">
        <v>1062</v>
      </c>
      <c r="AD62" s="8" t="str">
        <f>IF(ISBLANK(input_wld_az1_rack8_edge_overlay_mask),"Value Missing",input_wld_az1_rack8_edge_overlay_mask)</f>
        <v>Value Missing</v>
      </c>
      <c r="AG62" s="9"/>
    </row>
    <row r="63" spans="2:34" s="2" customFormat="1" ht="20" customHeight="1" x14ac:dyDescent="0.2">
      <c r="E63" s="30" t="s">
        <v>1064</v>
      </c>
      <c r="F63" s="8" t="str">
        <f>IF(mgmt_az1_rtep_overlay_cidr="Value Missing",mgmt_az1_rtep_overlay_cidr,VLOOKUP(INT(RIGHT(mgmt_az1_rtep_overlay_cidr,LEN(mgmt_az1_rtep_overlay_cidr)-FIND("/",mgmt_az1_rtep_overlay_cidr))),table_cidr_to_mask,2,FALSE))</f>
        <v>Value Missing</v>
      </c>
      <c r="H63" s="30" t="s">
        <v>1064</v>
      </c>
      <c r="I63" s="8" t="str">
        <f>IF(wld_az1_rtep_overlay_cidr="Value Missing",wld_az1_rtep_overlay_cidr,VLOOKUP(INT(RIGHT(wld_az1_rtep_overlay_cidr,LEN(wld_az1_rtep_overlay_cidr)-FIND("/",wld_az1_rtep_overlay_cidr))),table_cidr_to_mask,2,FALSE))</f>
        <v>Value Missing</v>
      </c>
      <c r="K63" s="30" t="s">
        <v>1064</v>
      </c>
      <c r="L63" s="8"/>
      <c r="N63" s="30" t="s">
        <v>1064</v>
      </c>
      <c r="O63" s="8"/>
      <c r="Q63" s="30" t="s">
        <v>1064</v>
      </c>
      <c r="R63" s="8"/>
      <c r="T63" s="30" t="s">
        <v>1064</v>
      </c>
      <c r="U63" s="8"/>
      <c r="W63" s="30" t="s">
        <v>1064</v>
      </c>
      <c r="X63" s="8"/>
      <c r="Z63" s="30" t="s">
        <v>1064</v>
      </c>
      <c r="AA63" s="8"/>
      <c r="AC63" s="30" t="s">
        <v>1064</v>
      </c>
      <c r="AD63" s="8"/>
      <c r="AG63" s="9"/>
    </row>
    <row r="64" spans="2:34" s="2" customFormat="1" ht="20" customHeight="1" x14ac:dyDescent="0.2">
      <c r="E64" s="30" t="s">
        <v>1066</v>
      </c>
      <c r="F64" s="8"/>
      <c r="H64" s="30" t="s">
        <v>1066</v>
      </c>
      <c r="I64" s="8" t="str">
        <f>IF(wld_az1_vrms_cidr="Value Missing",wld_az1_vrms_cidr,VLOOKUP(INT(RIGHT(wld_az1_vrms_cidr,LEN(wld_az1_vrms_cidr)-FIND("/",wld_az1_vrms_cidr))),table_cidr_to_mask,2,FALSE))</f>
        <v>Value Missing</v>
      </c>
      <c r="K64" s="30" t="s">
        <v>1066</v>
      </c>
      <c r="L64" s="8"/>
      <c r="N64" s="30" t="s">
        <v>1066</v>
      </c>
      <c r="O64" s="8"/>
      <c r="Q64" s="30" t="s">
        <v>1066</v>
      </c>
      <c r="R64" s="8"/>
      <c r="T64" s="30" t="s">
        <v>1066</v>
      </c>
      <c r="U64" s="8"/>
      <c r="W64" s="30" t="s">
        <v>1066</v>
      </c>
      <c r="X64" s="8"/>
      <c r="Z64" s="30" t="s">
        <v>1066</v>
      </c>
      <c r="AA64" s="8"/>
      <c r="AC64" s="30" t="s">
        <v>1066</v>
      </c>
      <c r="AD64" s="8"/>
      <c r="AG64" s="25"/>
      <c r="AH64" s="7"/>
    </row>
    <row r="65" spans="5:34" s="2" customFormat="1" ht="20" customHeight="1" x14ac:dyDescent="0.2">
      <c r="H65" s="47"/>
      <c r="I65" s="47"/>
      <c r="AG65" s="9"/>
    </row>
    <row r="66" spans="5:34" s="2" customFormat="1" ht="20" customHeight="1" x14ac:dyDescent="0.2">
      <c r="AG66" s="9"/>
    </row>
    <row r="67" spans="5:34" s="2" customFormat="1" ht="20" customHeight="1" x14ac:dyDescent="0.2">
      <c r="E67" s="12" t="s">
        <v>1120</v>
      </c>
      <c r="F67" s="13"/>
      <c r="H67" s="12" t="s">
        <v>1121</v>
      </c>
      <c r="I67" s="13"/>
      <c r="K67" s="12" t="s">
        <v>1122</v>
      </c>
      <c r="L67" s="13"/>
      <c r="N67" s="12" t="s">
        <v>1123</v>
      </c>
      <c r="O67" s="13"/>
      <c r="Q67" s="14" t="s">
        <v>1124</v>
      </c>
      <c r="R67" s="15"/>
      <c r="T67" s="14" t="s">
        <v>1125</v>
      </c>
      <c r="U67" s="15"/>
      <c r="W67" s="14" t="s">
        <v>1126</v>
      </c>
      <c r="X67" s="15"/>
      <c r="Z67" s="14" t="s">
        <v>1127</v>
      </c>
      <c r="AA67" s="15"/>
      <c r="AC67" s="14" t="s">
        <v>1128</v>
      </c>
      <c r="AD67" s="15"/>
      <c r="AG67" s="9"/>
      <c r="AH67" s="9"/>
    </row>
    <row r="68" spans="5:34" s="2" customFormat="1" ht="20" customHeight="1" x14ac:dyDescent="0.2">
      <c r="E68" s="17" t="s">
        <v>254</v>
      </c>
      <c r="F68" s="18" t="s">
        <v>1044</v>
      </c>
      <c r="H68" s="17" t="s">
        <v>254</v>
      </c>
      <c r="I68" s="18" t="s">
        <v>1044</v>
      </c>
      <c r="K68" s="17" t="s">
        <v>254</v>
      </c>
      <c r="L68" s="18" t="s">
        <v>1044</v>
      </c>
      <c r="N68" s="17" t="s">
        <v>254</v>
      </c>
      <c r="O68" s="18" t="s">
        <v>1044</v>
      </c>
      <c r="Q68" s="19" t="s">
        <v>254</v>
      </c>
      <c r="R68" s="20" t="s">
        <v>1044</v>
      </c>
      <c r="S68" s="21"/>
      <c r="T68" s="19" t="s">
        <v>254</v>
      </c>
      <c r="U68" s="20" t="s">
        <v>1044</v>
      </c>
      <c r="V68" s="21"/>
      <c r="W68" s="19" t="s">
        <v>254</v>
      </c>
      <c r="X68" s="20" t="s">
        <v>1044</v>
      </c>
      <c r="Y68" s="21"/>
      <c r="Z68" s="19" t="s">
        <v>254</v>
      </c>
      <c r="AA68" s="20" t="s">
        <v>1044</v>
      </c>
      <c r="AB68" s="21"/>
      <c r="AC68" s="19" t="s">
        <v>254</v>
      </c>
      <c r="AD68" s="20" t="s">
        <v>1044</v>
      </c>
      <c r="AG68" s="9"/>
      <c r="AH68" s="9"/>
    </row>
    <row r="69" spans="5:34" s="2" customFormat="1" ht="20" customHeight="1" x14ac:dyDescent="0.2">
      <c r="E69" s="4" t="s">
        <v>1047</v>
      </c>
      <c r="F69" s="8" t="str">
        <f>IF(ISBLANK(input_mgmt_az1_mgmt_vm_mtu),"Value Missing",input_mgmt_az1_mgmt_vm_mtu)</f>
        <v>Value Missing</v>
      </c>
      <c r="H69" s="4" t="s">
        <v>1047</v>
      </c>
      <c r="I69" s="8" t="str">
        <f>IF(ISBLANK(input_wld_az1_mgmt_vm_mtu),"Value Missing",input_wld_az1_mgmt_vm_mtu)</f>
        <v>Value Missing</v>
      </c>
      <c r="K69" s="4" t="s">
        <v>1047</v>
      </c>
      <c r="L69" s="8" t="str">
        <f>IF(ISBLANK(input_wld_az1_rack2_mgmt_vm_mtu),"Value Missing",input_wld_az1_rack2_mgmt_vm_mtu)</f>
        <v>Value Missing</v>
      </c>
      <c r="N69" s="4" t="s">
        <v>1047</v>
      </c>
      <c r="O69" s="8" t="str">
        <f>IF(ISBLANK(input_wld_az1_rack3_mgmt_vm_mtu),"Value Missing",input_wld_az1_rack3_mgmt_vm_mtu)</f>
        <v>Value Missing</v>
      </c>
      <c r="Q69" s="4" t="s">
        <v>1047</v>
      </c>
      <c r="R69" s="8" t="str">
        <f>IF(ISBLANK(input_wld_az1_rack4_mgmt_vm_mtu),"Value Missing",input_wld_az1_rack4_mgmt_vm_mtu)</f>
        <v>Value Missing</v>
      </c>
      <c r="T69" s="4" t="s">
        <v>1047</v>
      </c>
      <c r="U69" s="8" t="str">
        <f>IF(ISBLANK(input_wld_az1_rack5_mgmt_vm_mtu),"Value Missing",input_wld_az1_rack5_mgmt_vm_mtu)</f>
        <v>Value Missing</v>
      </c>
      <c r="W69" s="4" t="s">
        <v>1047</v>
      </c>
      <c r="X69" s="8" t="str">
        <f>IF(ISBLANK(input_wld_az1_rack6_mgmt_vm_mtu),"Value Missing",input_wld_az1_rack6_mgmt_vm_mtu)</f>
        <v>Value Missing</v>
      </c>
      <c r="Z69" s="4" t="s">
        <v>1047</v>
      </c>
      <c r="AA69" s="8" t="str">
        <f>IF(ISBLANK(input_wld_az1_rack7_mgmt_vm_mtu),"Value Missing",input_wld_az1_rack7_mgmt_vm_mtu)</f>
        <v>Value Missing</v>
      </c>
      <c r="AC69" s="4" t="s">
        <v>1047</v>
      </c>
      <c r="AD69" s="8" t="str">
        <f>IF(ISBLANK(input_wld_az1_rack8_mgmt_vm_mtu),"Value Missing",input_wld_az1_rack8_mgmt_vm_mtu)</f>
        <v>Value Missing</v>
      </c>
      <c r="AG69" s="9"/>
      <c r="AH69" s="9"/>
    </row>
    <row r="70" spans="5:34" s="2" customFormat="1" ht="20" customHeight="1" x14ac:dyDescent="0.2">
      <c r="E70" s="4" t="s">
        <v>1049</v>
      </c>
      <c r="F70" s="8" t="str">
        <f>IF(ISBLANK(input_mgmt_az1_mgmt_mtu),"Value Missing",input_mgmt_az1_mgmt_mtu)</f>
        <v>Value Missing</v>
      </c>
      <c r="H70" s="4" t="s">
        <v>1049</v>
      </c>
      <c r="I70" s="8" t="str">
        <f>IF(ISBLANK(input_wld_az1_mgmt_mtu),"Value Missing",input_wld_az1_mgmt_mtu)</f>
        <v>Value Missing</v>
      </c>
      <c r="K70" s="4" t="s">
        <v>1049</v>
      </c>
      <c r="L70" s="8" t="str">
        <f>IF(ISBLANK(input_wld_az1_rack2_mgmt_mtu),"Value Missing",input_wld_az1_rack2_mgmt_mtu)</f>
        <v>Value Missing</v>
      </c>
      <c r="N70" s="4" t="s">
        <v>1049</v>
      </c>
      <c r="O70" s="8" t="str">
        <f>IF(ISBLANK(input_wld_az1_rack3_mgmt_mtu),"Value Missing",input_wld_az1_rack3_mgmt_mtu)</f>
        <v>Value Missing</v>
      </c>
      <c r="Q70" s="4" t="s">
        <v>1049</v>
      </c>
      <c r="R70" s="8" t="str">
        <f>IF(ISBLANK(input_wld_az1_rack4_mgmt_mtu),"Value Missing",input_wld_az1_rack4_mgmt_mtu)</f>
        <v>Value Missing</v>
      </c>
      <c r="T70" s="4" t="s">
        <v>1049</v>
      </c>
      <c r="U70" s="8" t="str">
        <f>IF(ISBLANK(input_wld_az1_rack5_mgmt_mtu),"Value Missing",input_wld_az1_rack5_mgmt_mtu)</f>
        <v>Value Missing</v>
      </c>
      <c r="W70" s="4" t="s">
        <v>1049</v>
      </c>
      <c r="X70" s="8" t="str">
        <f>IF(ISBLANK(input_wld_az1_rack6_mgmt_mtu),"Value Missing",input_wld_az1_rack6_mgmt_mtu)</f>
        <v>Value Missing</v>
      </c>
      <c r="Z70" s="4" t="s">
        <v>1049</v>
      </c>
      <c r="AA70" s="8" t="str">
        <f>IF(ISBLANK(input_wld_az1_rack7_mgmt_mtu),"Value Missing",input_wld_az1_rack7_mgmt_mtu)</f>
        <v>Value Missing</v>
      </c>
      <c r="AC70" s="4" t="s">
        <v>1049</v>
      </c>
      <c r="AD70" s="8" t="str">
        <f>IF(ISBLANK(input_wld_az1_rack8_mgmt_mtu),"Value Missing",input_wld_az1_rack8_mgmt_mtu)</f>
        <v>Value Missing</v>
      </c>
      <c r="AG70" s="9"/>
      <c r="AH70" s="9"/>
    </row>
    <row r="71" spans="5:34" s="2" customFormat="1" ht="20" customHeight="1" x14ac:dyDescent="0.2">
      <c r="E71" s="4" t="s">
        <v>244</v>
      </c>
      <c r="F71" s="8" t="str">
        <f>IF(ISBLANK(input_mgmt_az1_vmotion_mtu),"Value Missing",input_mgmt_az1_vmotion_mtu)</f>
        <v>Value Missing</v>
      </c>
      <c r="H71" s="4" t="s">
        <v>244</v>
      </c>
      <c r="I71" s="8" t="str">
        <f>IF(ISBLANK(input_wld_az1_vmotion_mtu),"Value Missing",input_wld_az1_vmotion_mtu)</f>
        <v>Value Missing</v>
      </c>
      <c r="K71" s="4" t="s">
        <v>244</v>
      </c>
      <c r="L71" s="8" t="str">
        <f>IF(ISBLANK(input_wld_az1_rack2_vmotion_mtu),"Value Missing",input_wld_az1_rack2_vmotion_mtu)</f>
        <v>Value Missing</v>
      </c>
      <c r="N71" s="4" t="s">
        <v>244</v>
      </c>
      <c r="O71" s="8" t="str">
        <f>IF(ISBLANK(input_wld_az1_rack3_vmotion_mtu),"Value Missing",input_wld_az1_rack3_vmotion_mtu)</f>
        <v>Value Missing</v>
      </c>
      <c r="Q71" s="4" t="s">
        <v>244</v>
      </c>
      <c r="R71" s="8" t="str">
        <f>IF(ISBLANK(input_wld_az1_rack4_vmotion_mtu),"Value Missing",input_wld_az1_rack4_vmotion_mtu)</f>
        <v>Value Missing</v>
      </c>
      <c r="T71" s="4" t="s">
        <v>244</v>
      </c>
      <c r="U71" s="8" t="str">
        <f>IF(ISBLANK(input_wld_az1_rack5_vmotion_mtu),"Value Missing",input_wld_az1_rack5_vmotion_mtu)</f>
        <v>Value Missing</v>
      </c>
      <c r="W71" s="4" t="s">
        <v>244</v>
      </c>
      <c r="X71" s="8" t="str">
        <f>IF(ISBLANK(input_wld_az1_rack6_vmotion_mtu),"Value Missing",input_wld_az1_rack6_vmotion_mtu)</f>
        <v>Value Missing</v>
      </c>
      <c r="Z71" s="4" t="s">
        <v>244</v>
      </c>
      <c r="AA71" s="8" t="str">
        <f>IF(ISBLANK(input_wld_az1_rack7_vmotion_mtu),"Value Missing",input_wld_az1_rack7_vmotion_mtu)</f>
        <v>Value Missing</v>
      </c>
      <c r="AC71" s="4" t="s">
        <v>244</v>
      </c>
      <c r="AD71" s="8" t="str">
        <f>IF(ISBLANK(input_wld_az1_rack8_vmotion_mtu),"Value Missing",input_wld_az1_rack8_vmotion_mtu)</f>
        <v>Value Missing</v>
      </c>
      <c r="AG71" s="9"/>
      <c r="AH71" s="9"/>
    </row>
    <row r="72" spans="5:34" s="2" customFormat="1" ht="20" customHeight="1" x14ac:dyDescent="0.2">
      <c r="E72" s="23" t="str">
        <f>CONCATENATE("Principal Storage Network ",wld_principal_storage_chosen)</f>
        <v>Principal Storage Network vSAN-ESA</v>
      </c>
      <c r="F72" s="8" t="str">
        <f>IF(ISBLANK(input_mgmt_az1_vsan_mtu),"Value Missing",input_mgmt_az1_vsan_mtu)</f>
        <v>Value Missing</v>
      </c>
      <c r="H72" s="23" t="s">
        <v>250</v>
      </c>
      <c r="I72" s="8" t="str">
        <f>IF(ISBLANK(input_wld_az1_principal_storage_mtu),"Value Missing",input_wld_az1_principal_storage_mtu)</f>
        <v>Value Missing</v>
      </c>
      <c r="K72" s="23" t="str">
        <f>CONCATENATE("Principal Storage Network ",wld_principal_storage_chosen)</f>
        <v>Principal Storage Network vSAN-ESA</v>
      </c>
      <c r="L72" s="8" t="str">
        <f>IF(ISBLANK(input_wld_az1_rack2_principal_storage_mtu),"Value Missing",input_wld_az1_rack2_principal_storage_mtu)</f>
        <v>Value Missing</v>
      </c>
      <c r="N72" s="23" t="str">
        <f>CONCATENATE("Principal Storage Network ",wld_principal_storage_chosen)</f>
        <v>Principal Storage Network vSAN-ESA</v>
      </c>
      <c r="O72" s="8" t="str">
        <f>IF(ISBLANK(input_wld_az1_rack3_principal_storage_mtu),"Value Missing",input_wld_az1_rack3_principal_storage_mtu)</f>
        <v>Value Missing</v>
      </c>
      <c r="Q72" s="23" t="str">
        <f>CONCATENATE("Principal Storage Network ",wld_principal_storage_chosen)</f>
        <v>Principal Storage Network vSAN-ESA</v>
      </c>
      <c r="R72" s="8" t="str">
        <f>IF(ISBLANK(input_wld_az1_rack4_principal_storage_mtu),"Value Missing",input_wld_az1_rack4_principal_storage_mtu)</f>
        <v>Value Missing</v>
      </c>
      <c r="T72" s="23" t="str">
        <f>CONCATENATE("Principal Storage Network ",wld_principal_storage_chosen)</f>
        <v>Principal Storage Network vSAN-ESA</v>
      </c>
      <c r="U72" s="8" t="str">
        <f>IF(ISBLANK(input_wld_az1_rack5_principal_storage_mtu),"Value Missing",input_wld_az1_rack5_principal_storage_mtu)</f>
        <v>Value Missing</v>
      </c>
      <c r="W72" s="23" t="str">
        <f>CONCATENATE("Principal Storage Network ",wld_principal_storage_chosen)</f>
        <v>Principal Storage Network vSAN-ESA</v>
      </c>
      <c r="X72" s="8" t="str">
        <f>IF(ISBLANK(input_wld_az1_rack6_principal_storage_mtu),"Value Missing",input_wld_az1_rack6_principal_storage_mtu)</f>
        <v>Value Missing</v>
      </c>
      <c r="Z72" s="23" t="str">
        <f>CONCATENATE("Principal Storage Network ",wld_principal_storage_chosen)</f>
        <v>Principal Storage Network vSAN-ESA</v>
      </c>
      <c r="AA72" s="8" t="str">
        <f>IF(ISBLANK(input_wld_az1_rack7_principal_storage_mtu),"Value Missing",input_wld_az1_rack7_principal_storage_mtu)</f>
        <v>Value Missing</v>
      </c>
      <c r="AC72" s="23" t="str">
        <f>CONCATENATE("Principal Storage Network ",wld_principal_storage_chosen)</f>
        <v>Principal Storage Network vSAN-ESA</v>
      </c>
      <c r="AD72" s="8" t="str">
        <f>IF(ISBLANK(input_wld_az1_rack8_principal_storage_mtu),"Value Missing",input_wld_az1_rack8_principal_storage_mtu)</f>
        <v>Value Missing</v>
      </c>
      <c r="AG72" s="9"/>
      <c r="AH72" s="9"/>
    </row>
    <row r="73" spans="5:34" s="2" customFormat="1" ht="20" customHeight="1" x14ac:dyDescent="0.2">
      <c r="E73" s="4" t="s">
        <v>1053</v>
      </c>
      <c r="F73" s="8" t="str">
        <f>IF(ISBLANK(input_mgmt_az1_host_overlay_mtu),"Value Missing",input_mgmt_az1_host_overlay_mtu)</f>
        <v>Value Missing</v>
      </c>
      <c r="H73" s="4" t="s">
        <v>1053</v>
      </c>
      <c r="I73" s="8" t="str">
        <f>IF(ISBLANK(input_wld_az1_host_overlay_mtu),"Value Missing",input_wld_az1_host_overlay_mtu)</f>
        <v>Value Missing</v>
      </c>
      <c r="K73" s="4" t="s">
        <v>1053</v>
      </c>
      <c r="L73" s="8" t="str">
        <f>IF(ISBLANK(input_wld_az1_rack2_host_overlay_mtu),"Value Missing",input_wld_az1_rack2_host_overlay_mtu)</f>
        <v>Value Missing</v>
      </c>
      <c r="N73" s="4" t="s">
        <v>1053</v>
      </c>
      <c r="O73" s="8" t="str">
        <f>IF(ISBLANK(input_wld_az1_rack3_host_overlay_mtu),"Value Missing",input_wld_az1_rack3_host_overlay_mtu)</f>
        <v>Value Missing</v>
      </c>
      <c r="Q73" s="4" t="s">
        <v>1053</v>
      </c>
      <c r="R73" s="8" t="str">
        <f>IF(ISBLANK(input_wld_az1_rack4_host_overlay_mtu),"Value Missing",input_wld_az1_rack4_host_overlay_mtu)</f>
        <v>Value Missing</v>
      </c>
      <c r="T73" s="4" t="s">
        <v>1053</v>
      </c>
      <c r="U73" s="8" t="str">
        <f>IF(ISBLANK(input_wld_az1_rack5_host_overlay_mtu),"Value Missing",input_wld_az1_rack5_host_overlay_mtu)</f>
        <v>Value Missing</v>
      </c>
      <c r="W73" s="4" t="s">
        <v>1053</v>
      </c>
      <c r="X73" s="8" t="str">
        <f>IF(ISBLANK(input_wld_az1_rack6_host_overlay_mtu),"Value Missing",input_wld_az1_rack6_host_overlay_mtu)</f>
        <v>Value Missing</v>
      </c>
      <c r="Z73" s="4" t="s">
        <v>1053</v>
      </c>
      <c r="AA73" s="8" t="str">
        <f>IF(ISBLANK(input_wld_az1_rack7_host_overlay_mtu),"Value Missing",input_wld_az1_rack7_host_overlay_mtu)</f>
        <v>Value Missing</v>
      </c>
      <c r="AC73" s="4" t="s">
        <v>1053</v>
      </c>
      <c r="AD73" s="8" t="str">
        <f>IF(ISBLANK(input_wld_az1_rack8_host_overlay_mtu),"Value Missing",input_wld_az1_rack8_host_overlay_mtu)</f>
        <v>Value Missing</v>
      </c>
      <c r="AG73" s="9"/>
      <c r="AH73" s="9"/>
    </row>
    <row r="74" spans="5:34" s="2" customFormat="1" ht="20" customHeight="1" x14ac:dyDescent="0.2">
      <c r="E74" s="24" t="s">
        <v>1055</v>
      </c>
      <c r="F74" s="8" t="str">
        <f>IF(ISBLANK(input_mgmt_az1_secondary_storage_mtu),"Value Missing",input_mgmt_az1_secondary_storage_mtu)</f>
        <v>Value Missing</v>
      </c>
      <c r="H74" s="4" t="s">
        <v>1055</v>
      </c>
      <c r="I74" s="8" t="str">
        <f>IF(ISBLANK(input_wld_az1_secondary_storage_mtu),"Value Missing",input_wld_az1_secondary_storage_mtu)</f>
        <v>Value Missing</v>
      </c>
      <c r="K74" s="4" t="s">
        <v>1055</v>
      </c>
      <c r="L74" s="8" t="str">
        <f>IF(ISBLANK(input_wld_az1_rack2_secondary_storage_mtu),"Value Missing",input_wld_az1_rack2_secondary_storage_mtu)</f>
        <v>Value Missing</v>
      </c>
      <c r="N74" s="4" t="s">
        <v>1055</v>
      </c>
      <c r="O74" s="8" t="str">
        <f>IF(ISBLANK(input_wld_az1_rack3_secondary_storage_mtu),"Value Missing",input_wld_az1_rack3_secondary_storage_mtu)</f>
        <v>Value Missing</v>
      </c>
      <c r="Q74" s="4" t="s">
        <v>1055</v>
      </c>
      <c r="R74" s="8" t="str">
        <f>IF(ISBLANK(input_wld_az1_rack4_secondary_storage_mtu),"Value Missing",input_wld_az1_rack4_secondary_storage_mtu)</f>
        <v>Value Missing</v>
      </c>
      <c r="T74" s="4" t="s">
        <v>1055</v>
      </c>
      <c r="U74" s="8" t="str">
        <f>IF(ISBLANK(input_wld_az1_rack5_secondary_storage_mtu),"Value Missing",input_wld_az1_rack5_secondary_storage_mtu)</f>
        <v>Value Missing</v>
      </c>
      <c r="W74" s="4" t="s">
        <v>1055</v>
      </c>
      <c r="X74" s="8" t="str">
        <f>IF(ISBLANK(input_wld_az1_rack6_secondary_storage_mtu),"Value Missing",input_wld_az1_rack6_secondary_storage_mtu)</f>
        <v>Value Missing</v>
      </c>
      <c r="Z74" s="4" t="s">
        <v>1055</v>
      </c>
      <c r="AA74" s="8" t="str">
        <f>IF(ISBLANK(input_wld_az1_rack7_secondary_storage_mtu),"Value Missing",input_wld_az1_rack7_secondary_storage_mtu)</f>
        <v>Value Missing</v>
      </c>
      <c r="AC74" s="4" t="s">
        <v>1055</v>
      </c>
      <c r="AD74" s="8" t="str">
        <f>IF(ISBLANK(input_wld_az1_rack8_secondary_storage_mtu),"Value Missing",input_wld_az1_rack8_secondary_storage_mtu)</f>
        <v>Value Missing</v>
      </c>
      <c r="AG74" s="9"/>
      <c r="AH74" s="9"/>
    </row>
    <row r="75" spans="5:34" s="2" customFormat="1" ht="20" customHeight="1" x14ac:dyDescent="0.2">
      <c r="E75" s="24" t="s">
        <v>3721</v>
      </c>
      <c r="F75" s="8" t="str">
        <f>IF(ISBLANK(input_mgmt_az1_vcf_mgmt_mtu),"Value Missing",input_mgmt_az1_vcf_mgmt_mtu)</f>
        <v>Value Missing</v>
      </c>
      <c r="H75" s="4" t="s">
        <v>706</v>
      </c>
      <c r="I75" s="8" t="str">
        <f>IF(ISBLANK(input_wld_az1_storage_cluster_mtu),"Value Missing",input_wld_az1_storage_cluster_mtu)</f>
        <v>Value Missing</v>
      </c>
      <c r="K75" s="4"/>
      <c r="L75" s="8"/>
      <c r="N75" s="4"/>
      <c r="O75" s="8"/>
      <c r="Q75" s="4"/>
      <c r="R75" s="8"/>
      <c r="T75" s="4"/>
      <c r="U75" s="8"/>
      <c r="W75" s="4"/>
      <c r="X75" s="8"/>
      <c r="Z75" s="4"/>
      <c r="AA75" s="8"/>
      <c r="AC75" s="4"/>
      <c r="AD75" s="8"/>
      <c r="AG75" s="9"/>
      <c r="AH75" s="9"/>
    </row>
    <row r="76" spans="5:34" s="2" customFormat="1" ht="20" customHeight="1" x14ac:dyDescent="0.2">
      <c r="E76" s="4" t="s">
        <v>1058</v>
      </c>
      <c r="F76" s="8" t="str">
        <f>IF(ISBLANK(input_mgmt_az1_uplink01_mtu),"Value Missing",input_mgmt_az1_uplink01_mtu)</f>
        <v>Value Missing</v>
      </c>
      <c r="H76" s="4" t="s">
        <v>1058</v>
      </c>
      <c r="I76" s="8" t="str">
        <f>IF(ISBLANK(input_wld_az1_uplink01_mtu),"Value Missing",input_wld_az1_uplink01_mtu)</f>
        <v>Value Missing</v>
      </c>
      <c r="K76" s="4" t="s">
        <v>1058</v>
      </c>
      <c r="L76" s="8" t="str">
        <f>IF(ISBLANK(input_wld_az1_rack2_uplink01_mtu),"Value Missing",input_wld_az1_rack2_uplink01_mtu)</f>
        <v>Value Missing</v>
      </c>
      <c r="N76" s="4" t="s">
        <v>1058</v>
      </c>
      <c r="O76" s="8" t="str">
        <f>IF(ISBLANK(input_wld_az1_rack3_uplink01_mtu),"Value Missing",input_wld_az1_rack3_uplink01_mtu)</f>
        <v>Value Missing</v>
      </c>
      <c r="Q76" s="4" t="s">
        <v>1058</v>
      </c>
      <c r="R76" s="8" t="str">
        <f>IF(ISBLANK(input_wld_az1_rack4_uplink01_mtu),"Value Missing",input_wld_az1_rack4_uplink01_mtu)</f>
        <v>Value Missing</v>
      </c>
      <c r="T76" s="4" t="s">
        <v>1058</v>
      </c>
      <c r="U76" s="8" t="str">
        <f>IF(ISBLANK(input_wld_az1_rack5_uplink01_mtu),"Value Missing",input_wld_az1_rack5_uplink01_mtu)</f>
        <v>Value Missing</v>
      </c>
      <c r="W76" s="4" t="s">
        <v>1058</v>
      </c>
      <c r="X76" s="8" t="str">
        <f>IF(ISBLANK(input_wld_az1_rack6_uplink01_mtu),"Value Missing",input_wld_az1_rack6_uplink01_mtu)</f>
        <v>Value Missing</v>
      </c>
      <c r="Z76" s="4" t="s">
        <v>1058</v>
      </c>
      <c r="AA76" s="8" t="str">
        <f>IF(ISBLANK(input_wld_az1_rack7_uplink01_mtu),"Value Missing",input_wld_az1_rack7_uplink01_mtu)</f>
        <v>Value Missing</v>
      </c>
      <c r="AC76" s="4" t="s">
        <v>1058</v>
      </c>
      <c r="AD76" s="8" t="str">
        <f>IF(ISBLANK(input_wld_az1_rack8_uplink01_mtu),"Value Missing",input_wld_az1_rack8_uplink01_mtu)</f>
        <v>Value Missing</v>
      </c>
      <c r="AG76" s="9"/>
      <c r="AH76" s="9"/>
    </row>
    <row r="77" spans="5:34" s="2" customFormat="1" ht="20" customHeight="1" x14ac:dyDescent="0.2">
      <c r="E77" s="4" t="s">
        <v>1060</v>
      </c>
      <c r="F77" s="8" t="str">
        <f>IF(ISBLANK(input_mgmt_az1_uplink02_mtu),"Value Missing",input_mgmt_az1_uplink02_mtu)</f>
        <v>Value Missing</v>
      </c>
      <c r="H77" s="4" t="s">
        <v>1060</v>
      </c>
      <c r="I77" s="8" t="str">
        <f>IF(ISBLANK(input_wld_az1_uplink02_mtu),"Value Missing",input_wld_az1_uplink02_mtu)</f>
        <v>Value Missing</v>
      </c>
      <c r="K77" s="4" t="s">
        <v>1060</v>
      </c>
      <c r="L77" s="8" t="str">
        <f>IF(ISBLANK(input_wld_az1_rack2_uplink02_mtu),"Value Missing",input_wld_az1_rack2_uplink02_mtu)</f>
        <v>Value Missing</v>
      </c>
      <c r="N77" s="4" t="s">
        <v>1060</v>
      </c>
      <c r="O77" s="8" t="str">
        <f>IF(ISBLANK(input_wld_az1_rack3_uplink02_mtu),"Value Missing",input_wld_az1_rack3_uplink02_mtu)</f>
        <v>Value Missing</v>
      </c>
      <c r="Q77" s="4" t="s">
        <v>1060</v>
      </c>
      <c r="R77" s="8" t="str">
        <f>IF(ISBLANK(input_wld_az1_rack4_uplink02_mtu),"Value Missing",input_wld_az1_rack4_uplink02_mtu)</f>
        <v>Value Missing</v>
      </c>
      <c r="T77" s="4" t="s">
        <v>1060</v>
      </c>
      <c r="U77" s="8" t="str">
        <f>IF(ISBLANK(input_wld_az1_rack5_uplink02_mtu),"Value Missing",input_wld_az1_rack5_uplink02_mtu)</f>
        <v>Value Missing</v>
      </c>
      <c r="W77" s="4" t="s">
        <v>1060</v>
      </c>
      <c r="X77" s="8" t="str">
        <f>IF(ISBLANK(input_wld_az1_rack6_uplink02_mtu),"Value Missing",input_wld_az1_rack6_uplink02_mtu)</f>
        <v>Value Missing</v>
      </c>
      <c r="Z77" s="4" t="s">
        <v>1060</v>
      </c>
      <c r="AA77" s="8" t="str">
        <f>IF(ISBLANK(input_wld_az1_rack7_uplink02_mtu),"Value Missing",input_wld_az1_rack7_uplink02_mtu)</f>
        <v>Value Missing</v>
      </c>
      <c r="AC77" s="4" t="s">
        <v>1060</v>
      </c>
      <c r="AD77" s="8" t="str">
        <f>IF(ISBLANK(input_wld_az1_rack8_uplink02_mtu),"Value Missing",input_wld_az1_rack8_uplink02_mtu)</f>
        <v>Value Missing</v>
      </c>
      <c r="AG77" s="9"/>
      <c r="AH77" s="9"/>
    </row>
    <row r="78" spans="5:34" s="2" customFormat="1" ht="20" customHeight="1" x14ac:dyDescent="0.2">
      <c r="E78" s="4" t="s">
        <v>1062</v>
      </c>
      <c r="F78" s="8" t="str">
        <f>IF(ISBLANK(input_mgmt_az1_edge_overlay_mtu),"Value Missing",input_mgmt_az1_edge_overlay_mtu)</f>
        <v>Value Missing</v>
      </c>
      <c r="H78" s="4" t="s">
        <v>1062</v>
      </c>
      <c r="I78" s="8" t="s">
        <v>588</v>
      </c>
      <c r="K78" s="4" t="s">
        <v>1062</v>
      </c>
      <c r="L78" s="8" t="str">
        <f>IF(ISBLANK(input_wld_az1_rack2_edge_overlay_mtu),"Value Missing",input_wld_az1_rack2_edge_overlay_mtu)</f>
        <v>Value Missing</v>
      </c>
      <c r="N78" s="4" t="s">
        <v>1062</v>
      </c>
      <c r="O78" s="8" t="str">
        <f>IF(ISBLANK(input_wld_az1_rack3_edge_overlay_mtu),"Value Missing",input_wld_az1_rack3_edge_overlay_mtu)</f>
        <v>Value Missing</v>
      </c>
      <c r="Q78" s="4" t="s">
        <v>1062</v>
      </c>
      <c r="R78" s="43" t="str">
        <f>IF(ISBLANK(input_wld_az1_rack4_edge_overlay_mtu),"Value Missing",input_wld_az1_rack4_edge_overlay_mtu)</f>
        <v>Value Missing</v>
      </c>
      <c r="T78" s="4" t="s">
        <v>1062</v>
      </c>
      <c r="U78" s="8" t="str">
        <f>IF(ISBLANK(input_wld_az1_rack5_edge_overlay_mtu),"Value Missing",input_wld_az1_rack5_edge_overlay_mtu)</f>
        <v>Value Missing</v>
      </c>
      <c r="W78" s="4" t="s">
        <v>1062</v>
      </c>
      <c r="X78" s="8" t="str">
        <f>IF(ISBLANK(input_wld_az1_rack6_edge_overlay_mtu),"Value Missing",input_wld_az1_rack6_edge_overlay_mtu)</f>
        <v>Value Missing</v>
      </c>
      <c r="Z78" s="4" t="s">
        <v>1062</v>
      </c>
      <c r="AA78" s="8" t="str">
        <f>IF(ISBLANK(input_wld_az1_rack7_edge_overlay_mtu),"Value Missing",input_wld_az1_rack7_edge_overlay_mtu)</f>
        <v>Value Missing</v>
      </c>
      <c r="AC78" s="4" t="s">
        <v>1062</v>
      </c>
      <c r="AD78" s="8" t="str">
        <f>IF(ISBLANK(input_wld_az1_rack8_edge_overlay_mtu),"Value Missing",input_wld_az1_rack8_edge_overlay_mtu)</f>
        <v>Value Missing</v>
      </c>
      <c r="AG78" s="9"/>
      <c r="AH78" s="9"/>
    </row>
    <row r="79" spans="5:34" s="2" customFormat="1" ht="20" customHeight="1" x14ac:dyDescent="0.2">
      <c r="E79" s="4" t="s">
        <v>1064</v>
      </c>
      <c r="F79" s="8"/>
      <c r="H79" s="4" t="s">
        <v>1064</v>
      </c>
      <c r="I79" s="8"/>
      <c r="K79" s="4" t="s">
        <v>1064</v>
      </c>
      <c r="L79" s="8"/>
      <c r="N79" s="4" t="s">
        <v>1064</v>
      </c>
      <c r="O79" s="8"/>
      <c r="Q79" s="4" t="s">
        <v>1064</v>
      </c>
      <c r="R79" s="8"/>
      <c r="T79" s="4" t="s">
        <v>1064</v>
      </c>
      <c r="U79" s="8"/>
      <c r="W79" s="4" t="s">
        <v>1064</v>
      </c>
      <c r="X79" s="8"/>
      <c r="Z79" s="4" t="s">
        <v>1064</v>
      </c>
      <c r="AA79" s="8"/>
      <c r="AC79" s="4" t="s">
        <v>1064</v>
      </c>
      <c r="AD79" s="8"/>
      <c r="AG79" s="9"/>
      <c r="AH79" s="9"/>
    </row>
    <row r="80" spans="5:34" s="2" customFormat="1" ht="20" customHeight="1" x14ac:dyDescent="0.2">
      <c r="E80" s="4" t="s">
        <v>1066</v>
      </c>
      <c r="F80" s="8" t="str">
        <f>IF(ISBLANK(input_mgmt_az1_vrms_mtu),"Value Missing",input_mgmt_az1_vrms_mtu)</f>
        <v>Value Missing</v>
      </c>
      <c r="H80" s="4" t="s">
        <v>1066</v>
      </c>
      <c r="I80" s="8" t="str">
        <f>IF(ISBLANK(input_wld_az1_vrms_mtu),"Value Missing",input_wld_az1_vrms_mtu)</f>
        <v>Value Missing</v>
      </c>
      <c r="K80" s="4" t="s">
        <v>1066</v>
      </c>
      <c r="L80" s="8"/>
      <c r="N80" s="4" t="s">
        <v>1066</v>
      </c>
      <c r="O80" s="8"/>
      <c r="Q80" s="4" t="s">
        <v>1066</v>
      </c>
      <c r="R80" s="8"/>
      <c r="T80" s="4" t="s">
        <v>1066</v>
      </c>
      <c r="U80" s="8"/>
      <c r="W80" s="4" t="s">
        <v>1066</v>
      </c>
      <c r="X80" s="8"/>
      <c r="Z80" s="4" t="s">
        <v>1066</v>
      </c>
      <c r="AA80" s="8"/>
      <c r="AC80" s="4" t="s">
        <v>1066</v>
      </c>
      <c r="AD80" s="8"/>
      <c r="AG80" s="9"/>
      <c r="AH80" s="9"/>
    </row>
    <row r="81" spans="2:36" s="2" customFormat="1" ht="20" customHeight="1" x14ac:dyDescent="0.2">
      <c r="B81" s="9"/>
      <c r="C81" s="9"/>
      <c r="AG81" s="9"/>
      <c r="AH81" s="9"/>
      <c r="AI81" s="9"/>
      <c r="AJ81" s="9"/>
    </row>
    <row r="82" spans="2:36" s="2" customFormat="1" ht="20" customHeight="1" x14ac:dyDescent="0.2">
      <c r="B82" s="9"/>
      <c r="C82" s="9"/>
      <c r="AG82" s="9"/>
      <c r="AH82" s="9"/>
      <c r="AI82" s="9"/>
      <c r="AJ82" s="9"/>
    </row>
    <row r="83" spans="2:36" s="2" customFormat="1" ht="20" customHeight="1" x14ac:dyDescent="0.2">
      <c r="B83" s="6"/>
      <c r="E83" s="12" t="s">
        <v>1129</v>
      </c>
      <c r="F83" s="13"/>
      <c r="H83" s="12" t="s">
        <v>1130</v>
      </c>
      <c r="I83" s="13"/>
      <c r="K83" s="12" t="s">
        <v>1131</v>
      </c>
      <c r="L83" s="13"/>
      <c r="N83" s="12" t="s">
        <v>1132</v>
      </c>
      <c r="O83" s="13"/>
      <c r="Q83" s="14" t="s">
        <v>1133</v>
      </c>
      <c r="R83" s="15"/>
      <c r="T83" s="14" t="s">
        <v>1134</v>
      </c>
      <c r="U83" s="15"/>
      <c r="W83" s="14" t="s">
        <v>1135</v>
      </c>
      <c r="X83" s="15"/>
      <c r="Z83" s="14" t="s">
        <v>1136</v>
      </c>
      <c r="AA83" s="15"/>
      <c r="AC83" s="14" t="s">
        <v>1137</v>
      </c>
      <c r="AD83" s="15"/>
      <c r="AG83" s="9"/>
      <c r="AH83" s="9"/>
      <c r="AI83" s="9"/>
      <c r="AJ83" s="9"/>
    </row>
    <row r="84" spans="2:36" s="2" customFormat="1" ht="20" customHeight="1" x14ac:dyDescent="0.2">
      <c r="B84" s="6"/>
      <c r="C84" s="35"/>
      <c r="E84" s="17" t="s">
        <v>254</v>
      </c>
      <c r="F84" s="18" t="s">
        <v>1044</v>
      </c>
      <c r="H84" s="17" t="s">
        <v>254</v>
      </c>
      <c r="I84" s="18" t="s">
        <v>1044</v>
      </c>
      <c r="K84" s="17" t="s">
        <v>254</v>
      </c>
      <c r="L84" s="18" t="s">
        <v>1044</v>
      </c>
      <c r="N84" s="17" t="s">
        <v>254</v>
      </c>
      <c r="O84" s="18" t="s">
        <v>1044</v>
      </c>
      <c r="Q84" s="17" t="s">
        <v>254</v>
      </c>
      <c r="R84" s="20" t="s">
        <v>1044</v>
      </c>
      <c r="S84" s="21"/>
      <c r="T84" s="17" t="s">
        <v>254</v>
      </c>
      <c r="U84" s="20" t="s">
        <v>1044</v>
      </c>
      <c r="V84" s="21"/>
      <c r="W84" s="17" t="s">
        <v>254</v>
      </c>
      <c r="X84" s="20" t="s">
        <v>1044</v>
      </c>
      <c r="Y84" s="21"/>
      <c r="Z84" s="17" t="s">
        <v>254</v>
      </c>
      <c r="AA84" s="20" t="s">
        <v>1044</v>
      </c>
      <c r="AB84" s="21"/>
      <c r="AC84" s="17" t="s">
        <v>254</v>
      </c>
      <c r="AD84" s="20" t="s">
        <v>1044</v>
      </c>
      <c r="AG84" s="9"/>
      <c r="AH84" s="9"/>
      <c r="AI84" s="9"/>
      <c r="AJ84" s="9"/>
    </row>
    <row r="85" spans="2:36" s="2" customFormat="1" ht="20" customHeight="1" x14ac:dyDescent="0.2">
      <c r="B85" s="6"/>
      <c r="E85" s="4" t="s">
        <v>1047</v>
      </c>
      <c r="F85" s="8" t="str">
        <f>IF(mgmt_az1_mgmt_vm_gateway_cidr="Value Missing","Value Missing",LEFT(mgmt_az1_mgmt_vm_gateway_cidr,FIND("/",mgmt_az1_mgmt_vm_gateway_cidr)-1))</f>
        <v>Value Missing</v>
      </c>
      <c r="H85" s="4" t="s">
        <v>1047</v>
      </c>
      <c r="I85" s="8" t="str">
        <f>IF(wld_az1_mgmt_vm_gateway_cidr="Value Missing","Value Missing",LEFT(wld_az1_mgmt_vm_gateway_cidr,FIND("/",wld_az1_mgmt_vm_gateway_cidr)-1))</f>
        <v>Value Missing</v>
      </c>
      <c r="K85" s="4" t="s">
        <v>1047</v>
      </c>
      <c r="L85" s="8" t="str">
        <f>IF(ISBLANK(input_wld_az1_rack2_mgmt_vm_gateway_ip),"Value Missing",input_wld_az1_rack2_mgmt_vm_gateway_ip)</f>
        <v>Value Missing</v>
      </c>
      <c r="N85" s="4" t="s">
        <v>1047</v>
      </c>
      <c r="O85" s="8" t="str">
        <f>IF(ISBLANK(input_wld_az1_rack3_mgmt_vm_gateway_ip),"Value Missing",input_wld_az1_rack3_mgmt_vm_gateway_ip)</f>
        <v>Value Missing</v>
      </c>
      <c r="Q85" s="4" t="s">
        <v>1047</v>
      </c>
      <c r="R85" s="8" t="str">
        <f>IF(ISBLANK(input_wld_az1_rack4_mgmt_vm_gateway_ip),"Value Missing",input_wld_az1_rack4_mgmt_vm_gateway_ip)</f>
        <v>Value Missing</v>
      </c>
      <c r="T85" s="4" t="s">
        <v>1047</v>
      </c>
      <c r="U85" s="8" t="str">
        <f>IF(ISBLANK(input_wld_az1_rack5_mgmt_vm_gateway_ip),"Value Missing",input_wld_az1_rack5_mgmt_vm_gateway_ip)</f>
        <v>Value Missing</v>
      </c>
      <c r="W85" s="4" t="s">
        <v>1047</v>
      </c>
      <c r="X85" s="8" t="str">
        <f>IF(ISBLANK(input_wld_az1_rack6_mgmt_vm_gateway_ip),"Value Missing",input_wld_az1_rack6_mgmt_vm_gateway_ip)</f>
        <v>Value Missing</v>
      </c>
      <c r="Z85" s="4" t="s">
        <v>1047</v>
      </c>
      <c r="AA85" s="8" t="str">
        <f>IF(ISBLANK(input_wld_az1_rack7_mgmt_vm_gateway_ip),"Value Missing",input_wld_az1_rack7_mgmt_vm_gateway_ip)</f>
        <v>Value Missing</v>
      </c>
      <c r="AC85" s="4" t="s">
        <v>1047</v>
      </c>
      <c r="AD85" s="8" t="str">
        <f>IF(ISBLANK(input_wld_az1_rack8_mgmt_vm_gateway_ip),"Value Missing",input_wld_az1_rack8_mgmt_vm_gateway_ip)</f>
        <v>Value Missing</v>
      </c>
      <c r="AG85" s="9"/>
      <c r="AH85" s="9"/>
      <c r="AI85" s="9"/>
      <c r="AJ85" s="9"/>
    </row>
    <row r="86" spans="2:36" s="2" customFormat="1" ht="20" customHeight="1" x14ac:dyDescent="0.2">
      <c r="B86" s="202"/>
      <c r="E86" s="4" t="s">
        <v>1049</v>
      </c>
      <c r="F86" s="8" t="str">
        <f>IF(mgmt_az1_mgmt_gateway_cidr="Value Missing","Value Missing",LEFT(mgmt_az1_mgmt_gateway_cidr,FIND("/",mgmt_az1_mgmt_gateway_cidr)-1))</f>
        <v>Value Missing</v>
      </c>
      <c r="H86" s="4" t="s">
        <v>1049</v>
      </c>
      <c r="I86" s="8" t="str" cm="1">
        <f t="array" ref="I86">IF(wld_az1_mgmt_gateway_cidr="Value Missing","Value Missing",LEFT(wld_az1_mgmt_gateway_cidr,FIND("/",wld_az1_mgmt_gateway_cidr)-1))</f>
        <v>Value Missing</v>
      </c>
      <c r="K86" s="4" t="s">
        <v>1049</v>
      </c>
      <c r="L86" s="8" t="str">
        <f>IF(ISBLANK(input_wld_az1_rack2_mgmt_gateway_ip),"Value Missing",input_wld_az1_rack2_mgmt_gateway_ip)</f>
        <v>Value Missing</v>
      </c>
      <c r="N86" s="4" t="s">
        <v>1049</v>
      </c>
      <c r="O86" s="8" t="str">
        <f>IF(ISBLANK(input_wld_az1_rack3_mgmt_gateway_ip),"Value Missing",input_wld_az1_rack3_mgmt_gateway_ip)</f>
        <v>Value Missing</v>
      </c>
      <c r="Q86" s="4" t="s">
        <v>1049</v>
      </c>
      <c r="R86" s="8" t="str">
        <f>IF(ISBLANK(input_wld_az1_rack4_mgmt_gateway_ip),"Value Missing",input_wld_az1_rack4_mgmt_gateway_ip)</f>
        <v>Value Missing</v>
      </c>
      <c r="T86" s="4" t="s">
        <v>1049</v>
      </c>
      <c r="U86" s="8" t="str">
        <f>IF(ISBLANK(input_wld_az1_rack5_mgmt_gateway_ip),"Value Missing",input_wld_az1_rack5_mgmt_gateway_ip)</f>
        <v>Value Missing</v>
      </c>
      <c r="W86" s="4" t="s">
        <v>1049</v>
      </c>
      <c r="X86" s="8" t="str">
        <f>IF(ISBLANK(input_wld_az1_rack6_mgmt_gateway_ip),"Value Missing",input_wld_az1_rack6_mgmt_gateway_ip)</f>
        <v>Value Missing</v>
      </c>
      <c r="Z86" s="4" t="s">
        <v>1049</v>
      </c>
      <c r="AA86" s="8" t="str">
        <f>IF(ISBLANK(input_wld_az1_rack7_mgmt_gateway_ip),"Value Missing",input_wld_az1_rack7_mgmt_gateway_ip)</f>
        <v>Value Missing</v>
      </c>
      <c r="AC86" s="4" t="s">
        <v>1049</v>
      </c>
      <c r="AD86" s="8" t="str">
        <f>IF(ISBLANK(input_wld_az1_rack8_mgmt_gateway_ip),"Value Missing",input_wld_az1_rack8_mgmt_gateway_ip)</f>
        <v>Value Missing</v>
      </c>
      <c r="AG86" s="9"/>
      <c r="AH86" s="9"/>
      <c r="AI86" s="9"/>
      <c r="AJ86" s="9"/>
    </row>
    <row r="87" spans="2:36" s="2" customFormat="1" ht="20" customHeight="1" x14ac:dyDescent="0.2">
      <c r="B87" s="202"/>
      <c r="E87" s="4" t="s">
        <v>244</v>
      </c>
      <c r="F87" s="8" t="str">
        <f>IF(mgmt_az1_vmotion_gateway_cidr="Value Missing","Value Missing",LEFT(mgmt_az1_vmotion_gateway_cidr,FIND("/",mgmt_az1_vmotion_gateway_cidr)-1))</f>
        <v>Value Missing</v>
      </c>
      <c r="H87" s="4" t="s">
        <v>244</v>
      </c>
      <c r="I87" s="8" t="str" cm="1">
        <f t="array" ref="I87">IF(wld_az1_vmotion_gateway_cidr="Value Missing","Value Missing",LEFT(wld_az1_vmotion_gateway_cidr,FIND("/",wld_az1_vmotion_gateway_cidr)-1))</f>
        <v>Value Missing</v>
      </c>
      <c r="K87" s="4" t="s">
        <v>244</v>
      </c>
      <c r="L87" s="8" t="str">
        <f>IF(ISBLANK(input_wld_az1_rack2_vmotion_gateway_ip),"Value Missing",input_wld_az1_rack2_vmotion_gateway_ip)</f>
        <v>Value Missing</v>
      </c>
      <c r="N87" s="4" t="s">
        <v>244</v>
      </c>
      <c r="O87" s="8" t="str">
        <f>IF(ISBLANK(input_wld_az1_rack3_vmotion_gateway_ip),"Value Missing",input_wld_az1_rack3_vmotion_gateway_ip)</f>
        <v>Value Missing</v>
      </c>
      <c r="Q87" s="4" t="s">
        <v>244</v>
      </c>
      <c r="R87" s="8" t="str">
        <f>IF(ISBLANK(input_wld_az1_rack4_vmotion_gateway_ip),"Value Missing",input_wld_az1_rack4_vmotion_gateway_ip)</f>
        <v>Value Missing</v>
      </c>
      <c r="T87" s="4" t="s">
        <v>244</v>
      </c>
      <c r="U87" s="8" t="str">
        <f>IF(ISBLANK(input_wld_az1_rack5_vmotion_gateway_ip),"Value Missing",input_wld_az1_rack5_vmotion_gateway_ip)</f>
        <v>Value Missing</v>
      </c>
      <c r="W87" s="4" t="s">
        <v>244</v>
      </c>
      <c r="X87" s="8" t="str">
        <f>IF(ISBLANK(input_wld_az1_rack6_vmotion_gateway_ip),"Value Missing",input_wld_az1_rack6_vmotion_gateway_ip)</f>
        <v>Value Missing</v>
      </c>
      <c r="Z87" s="4" t="s">
        <v>244</v>
      </c>
      <c r="AA87" s="8" t="str">
        <f>IF(ISBLANK(input_wld_az1_rack7_vmotion_gateway_ip),"Value Missing",input_wld_az1_rack7_vmotion_gateway_ip)</f>
        <v>Value Missing</v>
      </c>
      <c r="AC87" s="4" t="s">
        <v>244</v>
      </c>
      <c r="AD87" s="8" t="str">
        <f>IF(ISBLANK(input_wld_az1_rack8_vmotion_gateway_ip),"Value Missing",input_wld_az1_rack8_vmotion_gateway_ip)</f>
        <v>Value Missing</v>
      </c>
      <c r="AG87" s="9"/>
      <c r="AH87" s="9"/>
      <c r="AI87" s="9"/>
      <c r="AJ87" s="9"/>
    </row>
    <row r="88" spans="2:36" s="2" customFormat="1" ht="20" customHeight="1" x14ac:dyDescent="0.2">
      <c r="B88" s="6"/>
      <c r="E88" s="23" t="str">
        <f>CONCATENATE("Principal Storage Network ",wld_principal_storage_chosen)</f>
        <v>Principal Storage Network vSAN-ESA</v>
      </c>
      <c r="F88" s="8" t="str">
        <f>IF(mgmt_az1_vsan_gateway_cidr="Value Missing","Value Missing",LEFT(mgmt_az1_vsan_gateway_cidr,FIND("/",mgmt_az1_vsan_gateway_cidr)-1))</f>
        <v>Value Missing</v>
      </c>
      <c r="H88" s="23" t="s">
        <v>250</v>
      </c>
      <c r="I88" s="8" t="str" cm="1">
        <f t="array" ref="I88">IF(wld_az1_principal_storage_gateway_cidr="Value Missing","Value Missing",LEFT(wld_az1_principal_storage_gateway_cidr,FIND("/",wld_az1_principal_storage_gateway_cidr)-1))</f>
        <v>Value Missing</v>
      </c>
      <c r="K88" s="23" t="str">
        <f>CONCATENATE("Principal Storage Network ",wld_principal_storage_chosen)</f>
        <v>Principal Storage Network vSAN-ESA</v>
      </c>
      <c r="L88" s="8" t="str">
        <f>IF(ISBLANK(input_wld_az1_rack2_principal_storage_gateway_ip),"Value Missing",input_wld_az1_rack2_principal_storage_gateway_ip)</f>
        <v>Value Missing</v>
      </c>
      <c r="N88" s="23" t="str">
        <f>CONCATENATE("Principal Storage Network ",wld_principal_storage_chosen)</f>
        <v>Principal Storage Network vSAN-ESA</v>
      </c>
      <c r="O88" s="8" t="str">
        <f>IF(ISBLANK(input_wld_az1_rack3_principal_storage_gateway_ip),"Value Missing",input_wld_az1_rack3_principal_storage_gateway_ip)</f>
        <v>Value Missing</v>
      </c>
      <c r="Q88" s="23" t="str">
        <f>CONCATENATE("Principal Storage Network ",wld_principal_storage_chosen)</f>
        <v>Principal Storage Network vSAN-ESA</v>
      </c>
      <c r="R88" s="8" t="str">
        <f>IF(ISBLANK(input_wld_az1_rack4_principal_storage_gateway_ip),"Value Missing",input_wld_az1_rack4_principal_storage_gateway_ip)</f>
        <v>Value Missing</v>
      </c>
      <c r="T88" s="23" t="str">
        <f>CONCATENATE("Principal Storage Network ",wld_principal_storage_chosen)</f>
        <v>Principal Storage Network vSAN-ESA</v>
      </c>
      <c r="U88" s="8" t="str">
        <f>IF(ISBLANK(input_wld_az1_rack5_principal_storage_gateway_ip),"Value Missing",input_wld_az1_rack5_principal_storage_gateway_ip)</f>
        <v>Value Missing</v>
      </c>
      <c r="W88" s="23" t="str">
        <f>CONCATENATE("Principal Storage Network ",wld_principal_storage_chosen)</f>
        <v>Principal Storage Network vSAN-ESA</v>
      </c>
      <c r="X88" s="8" t="str">
        <f>IF(ISBLANK(input_wld_az1_rack6_principal_storage_gateway_ip),"Value Missing",input_wld_az1_rack6_principal_storage_gateway_ip)</f>
        <v>Value Missing</v>
      </c>
      <c r="Z88" s="23" t="str">
        <f>CONCATENATE("Principal Storage Network ",wld_principal_storage_chosen)</f>
        <v>Principal Storage Network vSAN-ESA</v>
      </c>
      <c r="AA88" s="8" t="str">
        <f>IF(ISBLANK(input_wld_az1_rack7_principal_storage_gateway_ip),"Value Missing",input_wld_az1_rack7_principal_storage_gateway_ip)</f>
        <v>Value Missing</v>
      </c>
      <c r="AC88" s="23" t="str">
        <f>CONCATENATE("Principal Storage Network ",wld_principal_storage_chosen)</f>
        <v>Principal Storage Network vSAN-ESA</v>
      </c>
      <c r="AD88" s="8" t="str">
        <f>IF(ISBLANK(input_wld_az1_rack8_principal_storage_gateway_ip),"Value Missing",input_wld_az1_rack8_principal_storage_gateway_ip)</f>
        <v>Value Missing</v>
      </c>
      <c r="AG88" s="9"/>
      <c r="AH88" s="9"/>
      <c r="AI88" s="9"/>
      <c r="AJ88" s="9"/>
    </row>
    <row r="89" spans="2:36" s="2" customFormat="1" ht="20" customHeight="1" x14ac:dyDescent="0.2">
      <c r="E89" s="4" t="s">
        <v>1053</v>
      </c>
      <c r="F89" s="8" t="str">
        <f>IF(mgmt_az1_host_overlay_gateway_cidr="Value Missing","Value Missing",LEFT(mgmt_az1_host_overlay_gateway_cidr,FIND("/",mgmt_az1_host_overlay_gateway_cidr)-1))</f>
        <v>Value Missing</v>
      </c>
      <c r="H89" s="4" t="s">
        <v>1053</v>
      </c>
      <c r="I89" s="8" t="str">
        <f>IF(ISBLANK(input_wld_az1_host_overlay_gateway_ip),"Value Missing",input_wld_az1_host_overlay_gateway_ip)</f>
        <v>Value Missing</v>
      </c>
      <c r="K89" s="4" t="s">
        <v>1053</v>
      </c>
      <c r="L89" s="8" t="str">
        <f>IF(ISBLANK(input_wld_az1_rack2_host_overlay_gateway_ip),"Value Missing",input_wld_az1_rack2_host_overlay_gateway_ip)</f>
        <v>Value Missing</v>
      </c>
      <c r="N89" s="4" t="s">
        <v>1053</v>
      </c>
      <c r="O89" s="8" t="str">
        <f>IF(ISBLANK(input_wld_az1_rack3_host_overlay_gateway_ip),"Value Missing",input_wld_az1_rack3_host_overlay_gateway_ip)</f>
        <v>Value Missing</v>
      </c>
      <c r="Q89" s="4" t="s">
        <v>1053</v>
      </c>
      <c r="R89" s="8" t="str">
        <f>IF(ISBLANK(input_wld_az1_rack4_host_overlay_gateway_ip),"Value Missing",input_wld_az1_rack4_host_overlay_gateway_ip)</f>
        <v>Value Missing</v>
      </c>
      <c r="T89" s="4" t="s">
        <v>1053</v>
      </c>
      <c r="U89" s="8" t="str">
        <f>IF(ISBLANK(input_wld_az1_rack5_host_overlay_gateway_ip),"Value Missing",input_wld_az1_rack5_host_overlay_gateway_ip)</f>
        <v>Value Missing</v>
      </c>
      <c r="W89" s="4" t="s">
        <v>1053</v>
      </c>
      <c r="X89" s="8" t="str">
        <f>IF(ISBLANK(input_wld_az1_rack6_host_overlay_gateway_ip),"Value Missing",input_wld_az1_rack6_host_overlay_gateway_ip)</f>
        <v>Value Missing</v>
      </c>
      <c r="Z89" s="4" t="s">
        <v>1053</v>
      </c>
      <c r="AA89" s="8" t="str">
        <f>IF(ISBLANK(input_wld_az1_rack7_host_overlay_gateway_ip),"Value Missing",input_wld_az1_rack7_host_overlay_gateway_ip)</f>
        <v>Value Missing</v>
      </c>
      <c r="AC89" s="4" t="s">
        <v>1053</v>
      </c>
      <c r="AD89" s="8" t="str">
        <f>IF(ISBLANK(input_wld_az1_rack8_host_overlay_gateway_ip),"Value Missing",input_wld_az1_rack8_host_overlay_gateway_ip)</f>
        <v>Value Missing</v>
      </c>
      <c r="AG89" s="9"/>
      <c r="AH89" s="9"/>
      <c r="AI89" s="9"/>
      <c r="AJ89" s="9"/>
    </row>
    <row r="90" spans="2:36" s="2" customFormat="1" ht="20" customHeight="1" x14ac:dyDescent="0.2">
      <c r="E90" s="4" t="s">
        <v>1055</v>
      </c>
      <c r="F90" s="8" t="str">
        <f>IF(mgmt_az1_secondary_storage_gateway_cidr="Value Missing","Value Missing",LEFT(mgmt_az1_secondary_storage_gateway_cidr,FIND("/",mgmt_az1_secondary_storage_gateway_cidr)-1))</f>
        <v>Value Missing</v>
      </c>
      <c r="H90" s="4" t="s">
        <v>1055</v>
      </c>
      <c r="I90" s="8" t="str">
        <f>IF(wld_az1_secondary_storage_gateway_cidr="Value Missing","Value Missing",LEFT(wld_az1_secondary_storage_gateway_cidr,FIND("/",wld_az1_secondary_storage_gateway_cidr)-1))</f>
        <v>Value Missing</v>
      </c>
      <c r="K90" s="4" t="s">
        <v>1055</v>
      </c>
      <c r="L90" s="8" t="str">
        <f>IF(ISBLANK(input_wld_az1_rack2_secondary_storage_gateway_ip),"Value Missing",input_wld_az1_rack2_secondary_storage_gateway_ip)</f>
        <v>Value Missing</v>
      </c>
      <c r="N90" s="4" t="s">
        <v>1055</v>
      </c>
      <c r="O90" s="8" t="str">
        <f>IF(ISBLANK(input_wld_az1_rack3_secondary_storage_gateway_ip),"Value Missing",input_wld_az1_rack3_secondary_storage_gateway_ip)</f>
        <v>Value Missing</v>
      </c>
      <c r="Q90" s="4" t="s">
        <v>1055</v>
      </c>
      <c r="R90" s="8" t="str">
        <f>IF(ISBLANK(input_wld_az1_rack4_secondary_storage_gateway_ip),"Value Missing",input_wld_az1_rack4_secondary_storage_gateway_ip)</f>
        <v>Value Missing</v>
      </c>
      <c r="T90" s="4" t="s">
        <v>1055</v>
      </c>
      <c r="U90" s="8" t="str">
        <f>IF(ISBLANK(input_wld_az1_rack5_secondary_storage_gateway_ip),"Value Missing",input_wld_az1_rack5_secondary_storage_gateway_ip)</f>
        <v>Value Missing</v>
      </c>
      <c r="W90" s="4" t="s">
        <v>1055</v>
      </c>
      <c r="X90" s="8" t="str">
        <f>IF(ISBLANK(input_wld_az1_rack6_secondary_storage_gateway_ip),"Value Missing",input_wld_az1_rack6_secondary_storage_gateway_ip)</f>
        <v>Value Missing</v>
      </c>
      <c r="Z90" s="4" t="s">
        <v>1055</v>
      </c>
      <c r="AA90" s="8" t="str">
        <f>IF(ISBLANK(input_wld_az1_rack7_secondary_storage_gateway_ip),"Value Missing",input_wld_az1_rack7_secondary_storage_gateway_ip)</f>
        <v>Value Missing</v>
      </c>
      <c r="AC90" s="4" t="s">
        <v>1055</v>
      </c>
      <c r="AD90" s="8" t="str">
        <f>IF(ISBLANK(input_wld_az1_rack8_secondary_storage_gateway_ip),"Value Missing",input_wld_az1_rack8_secondary_storage_gateway_ip)</f>
        <v>Value Missing</v>
      </c>
      <c r="AG90" s="9"/>
      <c r="AH90" s="9"/>
      <c r="AI90" s="9"/>
      <c r="AJ90" s="9"/>
    </row>
    <row r="91" spans="2:36" s="2" customFormat="1" ht="20" customHeight="1" x14ac:dyDescent="0.2">
      <c r="E91" s="4" t="s">
        <v>3721</v>
      </c>
      <c r="F91" s="8" t="str">
        <f>IF(mgmt_az1_vcf_mgmt_gateway_cidr="Value Missing","Value Missing",LEFT(mgmt_az1_vcf_mgmt_gateway_cidr,FIND("/",mgmt_az1_vcf_mgmt_gateway_cidr)-1))</f>
        <v>Value Missing</v>
      </c>
      <c r="H91" s="4" t="s">
        <v>706</v>
      </c>
      <c r="I91" s="8" t="str">
        <f>IF(wld_az1_storage_cluster_gateway_cidr="Value Missing","Value Missing",LEFT(wld_az1_storage_cluster_gateway_cidr,FIND("/",wld_az1_storage_cluster_gateway_cidr)-1))</f>
        <v>Value Missing</v>
      </c>
      <c r="K91" s="4"/>
      <c r="L91" s="8"/>
      <c r="N91" s="4"/>
      <c r="O91" s="8"/>
      <c r="Q91" s="4"/>
      <c r="R91" s="8"/>
      <c r="T91" s="4"/>
      <c r="U91" s="8"/>
      <c r="W91" s="4"/>
      <c r="X91" s="8"/>
      <c r="Z91" s="4"/>
      <c r="AA91" s="8"/>
      <c r="AC91" s="4"/>
      <c r="AD91" s="8"/>
      <c r="AG91" s="9"/>
      <c r="AH91" s="9"/>
      <c r="AI91" s="9"/>
      <c r="AJ91" s="9"/>
    </row>
    <row r="92" spans="2:36" s="2" customFormat="1" ht="20" customHeight="1" x14ac:dyDescent="0.2">
      <c r="E92" s="4" t="s">
        <v>1058</v>
      </c>
      <c r="F92" s="8" t="str">
        <f>IF(ISBLANK(input_mgmt_az1_uplink01_gateway_ip),"Value Missing",input_mgmt_az1_uplink01_gateway_ip)</f>
        <v>Value Missing</v>
      </c>
      <c r="H92" s="4" t="s">
        <v>1058</v>
      </c>
      <c r="I92" s="8" t="str">
        <f>IF(ISBLANK(input_wld_az1_uplink01_gateway_ip),"Value Missing",input_wld_az1_uplink01_gateway_ip)</f>
        <v>Value Missing</v>
      </c>
      <c r="K92" s="4" t="s">
        <v>1058</v>
      </c>
      <c r="L92" s="8" t="str">
        <f>IF(ISBLANK(input_wld_az1_rack2_uplink01_gateway_ip),"Value Missing",input_wld_az1_rack2_uplink01_gateway_ip)</f>
        <v>Value Missing</v>
      </c>
      <c r="N92" s="4" t="s">
        <v>1058</v>
      </c>
      <c r="O92" s="8" t="str">
        <f>IF(ISBLANK(input_wld_az1_rack3_uplink01_gateway_ip),"Value Missing",input_wld_az1_rack3_uplink01_gateway_ip)</f>
        <v>Value Missing</v>
      </c>
      <c r="Q92" s="4" t="s">
        <v>1058</v>
      </c>
      <c r="R92" s="8" t="str">
        <f>IF(ISBLANK(input_wld_az1_rack4_uplink01_gateway_ip),"Value Missing",input_wld_az1_rack4_uplink01_gateway_ip)</f>
        <v>Value Missing</v>
      </c>
      <c r="T92" s="4" t="s">
        <v>1058</v>
      </c>
      <c r="U92" s="8" t="str">
        <f>IF(ISBLANK(input_wld_az1_rack5_uplink01_gateway_ip),"Value Missing",input_wld_az1_rack5_uplink01_gateway_ip)</f>
        <v>Value Missing</v>
      </c>
      <c r="W92" s="4" t="s">
        <v>1058</v>
      </c>
      <c r="X92" s="8" t="str">
        <f>IF(ISBLANK(input_wld_az1_rack6_uplink01_gateway_ip),"Value Missing",input_wld_az1_rack6_uplink01_gateway_ip)</f>
        <v>Value Missing</v>
      </c>
      <c r="Z92" s="4" t="s">
        <v>1058</v>
      </c>
      <c r="AA92" s="8" t="str">
        <f>IF(ISBLANK(input_wld_az1_rack7_uplink01_gateway_ip),"Value Missing",input_wld_az1_rack7_uplink01_gateway_ip)</f>
        <v>Value Missing</v>
      </c>
      <c r="AC92" s="4" t="s">
        <v>1058</v>
      </c>
      <c r="AD92" s="8" t="str">
        <f>IF(ISBLANK(input_wld_az1_rack8_uplink01_gateway_ip),"Value Missing",input_wld_az1_rack8_uplink01_gateway_ip)</f>
        <v>Value Missing</v>
      </c>
      <c r="AG92" s="9"/>
      <c r="AH92" s="9"/>
      <c r="AI92" s="9"/>
      <c r="AJ92" s="9"/>
    </row>
    <row r="93" spans="2:36" s="2" customFormat="1" ht="20" customHeight="1" x14ac:dyDescent="0.2">
      <c r="E93" s="4" t="s">
        <v>1060</v>
      </c>
      <c r="F93" s="8" t="str">
        <f>IF(ISBLANK(input_mgmt_az1_uplink02_gateway_ip),"Value Missing",input_mgmt_az1_uplink02_gateway_ip)</f>
        <v>Value Missing</v>
      </c>
      <c r="G93" s="21"/>
      <c r="H93" s="4" t="s">
        <v>1060</v>
      </c>
      <c r="I93" s="8" t="str">
        <f>IF(ISBLANK(input_wld_az1_uplink02_gateway_ip),"Value Missing",input_wld_az1_uplink02_gateway_ip)</f>
        <v>Value Missing</v>
      </c>
      <c r="J93" s="21"/>
      <c r="K93" s="4" t="s">
        <v>1060</v>
      </c>
      <c r="L93" s="8" t="str">
        <f>IF(ISBLANK(input_wld_az1_rack2_uplink02_gateway_ip),"Value Missing",input_wld_az1_rack2_uplink02_gateway_ip)</f>
        <v>Value Missing</v>
      </c>
      <c r="N93" s="4" t="s">
        <v>1060</v>
      </c>
      <c r="O93" s="8" t="str">
        <f>IF(ISBLANK(input_wld_az1_rack3_uplink02_gateway_ip),"Value Missing",input_wld_az1_rack3_uplink02_gateway_ip)</f>
        <v>Value Missing</v>
      </c>
      <c r="Q93" s="4" t="s">
        <v>1060</v>
      </c>
      <c r="R93" s="8" t="str">
        <f>IF(ISBLANK(input_wld_az1_rack4_uplink02_gateway_ip),"Value Missing",input_wld_az1_rack4_uplink02_gateway_ip)</f>
        <v>Value Missing</v>
      </c>
      <c r="T93" s="4" t="s">
        <v>1060</v>
      </c>
      <c r="U93" s="8" t="str">
        <f>IF(ISBLANK(input_wld_az1_rack5_uplink02_gateway_ip),"Value Missing",input_wld_az1_rack5_uplink02_gateway_ip)</f>
        <v>Value Missing</v>
      </c>
      <c r="W93" s="4" t="s">
        <v>1060</v>
      </c>
      <c r="X93" s="8" t="str">
        <f>IF(ISBLANK(input_wld_az1_rack6_uplink02_gateway_ip),"Value Missing",input_wld_az1_rack6_uplink02_gateway_ip)</f>
        <v>Value Missing</v>
      </c>
      <c r="Z93" s="4" t="s">
        <v>1060</v>
      </c>
      <c r="AA93" s="8" t="str">
        <f>IF(ISBLANK(input_wld_az1_rack7_uplink02_gateway_ip),"Value Missing",input_wld_az1_rack7_uplink02_gateway_ip)</f>
        <v>Value Missing</v>
      </c>
      <c r="AC93" s="4" t="s">
        <v>1060</v>
      </c>
      <c r="AD93" s="8" t="str">
        <f>IF(ISBLANK(input_wld_az1_rack8_uplink02_gateway_ip),"Value Missing",input_wld_az1_rack8_uplink02_gateway_ip)</f>
        <v>Value Missing</v>
      </c>
      <c r="AG93" s="9"/>
      <c r="AH93" s="9"/>
      <c r="AI93" s="9"/>
      <c r="AJ93" s="9"/>
    </row>
    <row r="94" spans="2:36" s="2" customFormat="1" ht="20" customHeight="1" x14ac:dyDescent="0.2">
      <c r="E94" s="4" t="s">
        <v>1062</v>
      </c>
      <c r="F94" s="8" t="str">
        <f>IF(ISBLANK(input_mgmt_az1_edge_overlay_gateway_ip),"Value Missing",input_mgmt_az1_edge_overlay_gateway_ip)</f>
        <v>Value Missing</v>
      </c>
      <c r="H94" s="4" t="s">
        <v>1062</v>
      </c>
      <c r="I94" s="8" t="str">
        <f>IF(ISBLANK(input_wld_az1_edge_overlay_gateway_ip),"Value Missing",input_wld_az1_edge_overlay_gateway_ip)</f>
        <v>Value Missing</v>
      </c>
      <c r="K94" s="4" t="s">
        <v>1062</v>
      </c>
      <c r="L94" s="8" t="str">
        <f>IF(ISBLANK(input_wld_az1_rack2_edge_overlay_gateway_ip),"Value Missing",input_wld_az1_rack2_edge_overlay_gateway_ip)</f>
        <v>Value Missing</v>
      </c>
      <c r="M94" s="21"/>
      <c r="N94" s="4" t="s">
        <v>1062</v>
      </c>
      <c r="O94" s="8" t="str">
        <f>IF(ISBLANK(input_wld_az1_rack3_edge_overlay_gateway_ip),"Value Missing",input_wld_az1_rack3_edge_overlay_gateway_ip)</f>
        <v>Value Missing</v>
      </c>
      <c r="Q94" s="4" t="s">
        <v>1062</v>
      </c>
      <c r="R94" s="8" t="str">
        <f>IF(ISBLANK(input_wld_az1_rack4_edge_overlay_gateway_ip),"Value Missing",input_wld_az1_rack4_edge_overlay_gateway_ip)</f>
        <v>Value Missing</v>
      </c>
      <c r="T94" s="4" t="s">
        <v>1062</v>
      </c>
      <c r="U94" s="8" t="str">
        <f>IF(ISBLANK(input_wld_az1_rack5_edge_overlay_gateway_ip),"Value Missing",input_wld_az1_rack5_edge_overlay_gateway_ip)</f>
        <v>Value Missing</v>
      </c>
      <c r="W94" s="4" t="s">
        <v>1062</v>
      </c>
      <c r="X94" s="8" t="str">
        <f>IF(ISBLANK(input_wld_az1_rack6_edge_overlay_gateway_ip),"Value Missing",input_wld_az1_rack6_edge_overlay_gateway_ip)</f>
        <v>Value Missing</v>
      </c>
      <c r="Z94" s="4" t="s">
        <v>1062</v>
      </c>
      <c r="AA94" s="8" t="str">
        <f>IF(ISBLANK(input_wld_az1_rack7_edge_overlay_gateway_ip),"Value Missing",input_wld_az1_rack7_edge_overlay_gateway_ip)</f>
        <v>Value Missing</v>
      </c>
      <c r="AC94" s="4" t="s">
        <v>1062</v>
      </c>
      <c r="AD94" s="8" t="str">
        <f>IF(ISBLANK(input_wld_az1_rack8_edge_overlay_gateway_ip),"Value Missing",input_wld_az1_rack8_edge_overlay_gateway_ip)</f>
        <v>Value Missing</v>
      </c>
      <c r="AG94" s="9"/>
      <c r="AH94" s="9"/>
      <c r="AI94" s="9"/>
      <c r="AJ94" s="9"/>
    </row>
    <row r="95" spans="2:36" s="2" customFormat="1" ht="20" customHeight="1" x14ac:dyDescent="0.2">
      <c r="E95" s="4" t="s">
        <v>1064</v>
      </c>
      <c r="F95" s="8" t="str">
        <f>IF(ISBLANK(input_mgmt_az1_rtep_overlay_gateway_ip),"Value Missing",input_mgmt_az1_rtep_overlay_gateway_ip)</f>
        <v>Value Missing</v>
      </c>
      <c r="H95" s="4" t="s">
        <v>1064</v>
      </c>
      <c r="I95" s="8" t="str">
        <f>IF(ISBLANK(input_wld_az1_rtep_overlay_gateway_ip),"Value Missing",input_wld_az1_rtep_overlay_gateway_ip)</f>
        <v>Value Missing</v>
      </c>
      <c r="K95" s="4" t="s">
        <v>1064</v>
      </c>
      <c r="L95" s="8"/>
      <c r="N95" s="4" t="s">
        <v>1064</v>
      </c>
      <c r="O95" s="8"/>
      <c r="Q95" s="4" t="s">
        <v>1064</v>
      </c>
      <c r="R95" s="8"/>
      <c r="T95" s="4" t="s">
        <v>1064</v>
      </c>
      <c r="U95" s="8"/>
      <c r="W95" s="4" t="s">
        <v>1064</v>
      </c>
      <c r="X95" s="8"/>
      <c r="Z95" s="4" t="s">
        <v>1064</v>
      </c>
      <c r="AA95" s="8"/>
      <c r="AC95" s="4" t="s">
        <v>1064</v>
      </c>
      <c r="AD95" s="8"/>
      <c r="AG95" s="9"/>
      <c r="AH95" s="9"/>
      <c r="AI95" s="9"/>
      <c r="AJ95" s="9"/>
    </row>
    <row r="96" spans="2:36" s="2" customFormat="1" ht="20" customHeight="1" x14ac:dyDescent="0.2">
      <c r="E96" s="4" t="s">
        <v>1066</v>
      </c>
      <c r="F96" s="8"/>
      <c r="H96" s="4" t="s">
        <v>1066</v>
      </c>
      <c r="I96" s="8" t="str">
        <f>IF(ISBLANK(input_wld_az1_vrms_gateway_ip),"Value Missing",input_wld_az1_vrms_gateway_ip)</f>
        <v>Value Missing</v>
      </c>
      <c r="K96" s="4" t="s">
        <v>1066</v>
      </c>
      <c r="L96" s="8"/>
      <c r="N96" s="4" t="s">
        <v>1066</v>
      </c>
      <c r="O96" s="8"/>
      <c r="Q96" s="4" t="s">
        <v>1066</v>
      </c>
      <c r="R96" s="8"/>
      <c r="T96" s="4" t="s">
        <v>1066</v>
      </c>
      <c r="U96" s="8"/>
      <c r="W96" s="4" t="s">
        <v>1066</v>
      </c>
      <c r="X96" s="8"/>
      <c r="Z96" s="4" t="s">
        <v>1066</v>
      </c>
      <c r="AA96" s="8"/>
      <c r="AC96" s="4" t="s">
        <v>1066</v>
      </c>
      <c r="AD96" s="8"/>
      <c r="AG96" s="9"/>
      <c r="AH96" s="9"/>
      <c r="AI96" s="9"/>
      <c r="AJ96" s="9"/>
    </row>
    <row r="97" spans="2:30" ht="20" customHeight="1" x14ac:dyDescent="0.2">
      <c r="B97" s="2"/>
      <c r="C97" s="2"/>
      <c r="E97" s="2"/>
      <c r="F97" s="2"/>
      <c r="G97" s="2"/>
      <c r="H97" s="2"/>
      <c r="I97" s="2"/>
      <c r="J97" s="2"/>
      <c r="K97" s="2"/>
      <c r="L97" s="2"/>
      <c r="M97" s="2"/>
      <c r="N97" s="2"/>
      <c r="O97" s="2"/>
      <c r="P97" s="2"/>
      <c r="Q97" s="2"/>
      <c r="R97" s="2"/>
      <c r="S97" s="2"/>
      <c r="T97" s="2"/>
      <c r="U97" s="2"/>
      <c r="V97" s="2"/>
      <c r="W97" s="2"/>
      <c r="X97" s="2"/>
      <c r="Y97" s="2"/>
      <c r="Z97" s="2"/>
      <c r="AA97" s="2"/>
      <c r="AB97" s="2"/>
      <c r="AC97" s="2"/>
      <c r="AD97" s="2"/>
    </row>
    <row r="98" spans="2:30" ht="20" customHeight="1" x14ac:dyDescent="0.2">
      <c r="B98" s="2"/>
      <c r="C98" s="2"/>
      <c r="E98" s="12" t="s">
        <v>3687</v>
      </c>
      <c r="F98" s="13"/>
      <c r="G98" s="2"/>
      <c r="H98" s="12" t="s">
        <v>3798</v>
      </c>
      <c r="I98" s="13"/>
      <c r="J98" s="2"/>
      <c r="K98" s="12" t="s">
        <v>4182</v>
      </c>
      <c r="L98" s="13"/>
      <c r="M98" s="2"/>
      <c r="N98" s="12" t="s">
        <v>4192</v>
      </c>
      <c r="O98" s="13"/>
      <c r="P98" s="2"/>
      <c r="Q98" s="12" t="s">
        <v>4191</v>
      </c>
      <c r="R98" s="13"/>
      <c r="S98" s="2"/>
      <c r="T98" s="12" t="s">
        <v>4190</v>
      </c>
      <c r="U98" s="13"/>
      <c r="V98" s="2"/>
      <c r="W98" s="12" t="s">
        <v>4189</v>
      </c>
      <c r="X98" s="13"/>
      <c r="Y98" s="2"/>
      <c r="Z98" s="12" t="s">
        <v>3798</v>
      </c>
      <c r="AA98" s="13"/>
      <c r="AB98" s="2"/>
      <c r="AC98" s="12" t="s">
        <v>3798</v>
      </c>
      <c r="AD98" s="13"/>
    </row>
    <row r="99" spans="2:30" ht="20" customHeight="1" x14ac:dyDescent="0.2">
      <c r="B99" s="2"/>
      <c r="C99" s="2"/>
      <c r="E99" s="17" t="s">
        <v>254</v>
      </c>
      <c r="F99" s="18" t="s">
        <v>1044</v>
      </c>
      <c r="G99" s="2"/>
      <c r="H99" s="17" t="s">
        <v>254</v>
      </c>
      <c r="I99" s="18" t="s">
        <v>1044</v>
      </c>
      <c r="J99" s="2"/>
      <c r="K99" s="17" t="s">
        <v>254</v>
      </c>
      <c r="L99" s="18" t="s">
        <v>1044</v>
      </c>
      <c r="M99" s="2"/>
      <c r="N99" s="17" t="s">
        <v>254</v>
      </c>
      <c r="O99" s="18" t="s">
        <v>1044</v>
      </c>
      <c r="P99" s="2"/>
      <c r="Q99" s="17" t="s">
        <v>254</v>
      </c>
      <c r="R99" s="18" t="s">
        <v>1044</v>
      </c>
      <c r="S99" s="2"/>
      <c r="T99" s="17" t="s">
        <v>254</v>
      </c>
      <c r="U99" s="18" t="s">
        <v>1044</v>
      </c>
      <c r="V99" s="2"/>
      <c r="W99" s="17" t="s">
        <v>254</v>
      </c>
      <c r="X99" s="18" t="s">
        <v>1044</v>
      </c>
      <c r="Y99" s="2"/>
      <c r="Z99" s="17" t="s">
        <v>254</v>
      </c>
      <c r="AA99" s="18" t="s">
        <v>1044</v>
      </c>
      <c r="AB99" s="2"/>
      <c r="AC99" s="17" t="s">
        <v>254</v>
      </c>
      <c r="AD99" s="18" t="s">
        <v>1044</v>
      </c>
    </row>
    <row r="100" spans="2:30" ht="20" customHeight="1" x14ac:dyDescent="0.2">
      <c r="B100" s="2"/>
      <c r="C100" s="2"/>
      <c r="E100" s="4" t="s">
        <v>1047</v>
      </c>
      <c r="F100" s="8" t="str">
        <f>IF(ISBLANK(input_mgmt_az1_mgmt_vm_gateway_cidr),"Value Missing",input_mgmt_az1_mgmt_vm_gateway_cidr)</f>
        <v>Value Missing</v>
      </c>
      <c r="G100" s="2"/>
      <c r="H100" s="4" t="s">
        <v>1047</v>
      </c>
      <c r="I100" s="8" t="str" cm="1">
        <f t="array" ref="I100">IF(ISBLANK(input_wld_az1_mgmt_vm_gateway_cidr),"Value Missing",input_wld_az1_mgmt_vm_gateway_cidr)</f>
        <v>Value Missing</v>
      </c>
      <c r="J100" s="2"/>
      <c r="K100" s="4" t="s">
        <v>1047</v>
      </c>
      <c r="L100" s="2" t="s">
        <v>4181</v>
      </c>
      <c r="M100" s="2"/>
      <c r="N100" s="4" t="s">
        <v>1047</v>
      </c>
      <c r="O100" s="47" t="s">
        <v>4183</v>
      </c>
      <c r="P100" s="2"/>
      <c r="Q100" s="4" t="s">
        <v>1047</v>
      </c>
      <c r="R100" s="47" t="s">
        <v>4184</v>
      </c>
      <c r="S100" s="2"/>
      <c r="T100" s="4" t="s">
        <v>1047</v>
      </c>
      <c r="U100" s="47" t="s">
        <v>4188</v>
      </c>
      <c r="V100" s="2"/>
      <c r="W100" s="4" t="s">
        <v>1047</v>
      </c>
      <c r="X100" s="47" t="s">
        <v>4187</v>
      </c>
      <c r="Y100" s="2"/>
      <c r="Z100" s="4" t="s">
        <v>1047</v>
      </c>
      <c r="AA100" s="47" t="s">
        <v>4186</v>
      </c>
      <c r="AB100" s="2"/>
      <c r="AC100" s="4" t="s">
        <v>1047</v>
      </c>
      <c r="AD100" s="47" t="s">
        <v>4185</v>
      </c>
    </row>
    <row r="101" spans="2:30" ht="20" customHeight="1" x14ac:dyDescent="0.2">
      <c r="B101" s="2"/>
      <c r="C101" s="2"/>
      <c r="E101" s="4" t="s">
        <v>1049</v>
      </c>
      <c r="F101" s="8" t="str">
        <f>IF(ISBLANK(input_mgmt_az1_mgmt_gateway_cidr),"Value Missing",input_mgmt_az1_mgmt_gateway_cidr)</f>
        <v>Value Missing</v>
      </c>
      <c r="G101" s="2"/>
      <c r="H101" s="4" t="s">
        <v>1049</v>
      </c>
      <c r="I101" s="8" t="str">
        <f>IF(ISBLANK(input_wld_az1_mgmt_gateway_cidr),"Value Missing",input_wld_az1_mgmt_gateway_cidr)</f>
        <v>Value Missing</v>
      </c>
      <c r="J101" s="2"/>
      <c r="K101" s="4" t="s">
        <v>1049</v>
      </c>
      <c r="L101" s="8" t="str">
        <f>IF(wld_az1_rack2_mgmt_network="Value missing","Value Missing",CONCATENATE(wld_az1_rack2_mgmt_gateway_ip,"/",VLOOKUP(wld_az1_rack2_mgmt_mask,table_mask_to_cidr,2,FALSE)))</f>
        <v>Value Missing</v>
      </c>
      <c r="M101" s="2"/>
      <c r="N101" s="4" t="s">
        <v>1049</v>
      </c>
      <c r="O101" s="8" t="str">
        <f>IF(wld_az1_rack3_mgmt_network="Value missing","Value Missing",CONCATENATE(wld_az1_rack3_mgmt_gateway_ip,"/",VLOOKUP(wld_az1_rack3_mgmt_mask,table_mask_to_cidr,2,FALSE)))</f>
        <v>Value Missing</v>
      </c>
      <c r="P101" s="2"/>
      <c r="Q101" s="4" t="s">
        <v>1049</v>
      </c>
      <c r="R101" s="8" t="str">
        <f>IF(wld_az1_rack4_mgmt_network="Value missing","Value Missing",CONCATENATE(wld_az1_rack4_mgmt_gateway_ip,"/",VLOOKUP(wld_az1_rack4_mgmt_mask,table_mask_to_cidr,2,FALSE)))</f>
        <v>Value Missing</v>
      </c>
      <c r="S101" s="2"/>
      <c r="T101" s="4" t="s">
        <v>1049</v>
      </c>
      <c r="U101" s="8" t="str">
        <f>IF(wld_az1_rack5_mgmt_network="Value missing","Value Missing",CONCATENATE(wld_az1_rack5_mgmt_gateway_ip,"/",VLOOKUP(wld_az1_rack5_mgmt_mask,table_mask_to_cidr,2,FALSE)))</f>
        <v>Value Missing</v>
      </c>
      <c r="V101" s="2"/>
      <c r="W101" s="4" t="s">
        <v>1049</v>
      </c>
      <c r="X101" s="8" t="str">
        <f>IF(wld_az1_rack6_mgmt_network="Value missing","Value Missing",CONCATENATE(wld_az1_rack6_mgmt_gateway_ip,"/",VLOOKUP(wld_az1_rack6_mgmt_mask,table_mask_to_cidr,2,FALSE)))</f>
        <v>Value Missing</v>
      </c>
      <c r="Y101" s="2"/>
      <c r="Z101" s="4" t="s">
        <v>1049</v>
      </c>
      <c r="AA101" s="8" t="str">
        <f>IF(wld_az1_rack7_mgmt_network="Value missing","Value Missing",CONCATENATE(wld_az1_rack7_mgmt_gateway_ip,"/",VLOOKUP(wld_az1_rack7_mgmt_mask,table_mask_to_cidr,2,FALSE)))</f>
        <v>Value Missing</v>
      </c>
      <c r="AB101" s="2"/>
      <c r="AC101" s="4" t="s">
        <v>1049</v>
      </c>
      <c r="AD101" s="8" t="str">
        <f>IF(wld_az1_rack8_mgmt_network="Value missing","Value Missing",CONCATENATE(wld_az1_rack8_mgmt_gateway_ip,"/",VLOOKUP(wld_az1_rack8_mgmt_mask,table_mask_to_cidr,2,FALSE)))</f>
        <v>Value Missing</v>
      </c>
    </row>
    <row r="102" spans="2:30" ht="20" customHeight="1" x14ac:dyDescent="0.2">
      <c r="B102" s="2"/>
      <c r="C102" s="2"/>
      <c r="E102" s="4" t="s">
        <v>244</v>
      </c>
      <c r="F102" s="8" t="str">
        <f>IF(ISBLANK(input_mgmt_az1_vmotion_gateway_cidr),"Value Missing",input_mgmt_az1_vmotion_gateway_cidr)</f>
        <v>Value Missing</v>
      </c>
      <c r="G102" s="2"/>
      <c r="H102" s="4" t="s">
        <v>244</v>
      </c>
      <c r="I102" s="8" t="str">
        <f>IF(ISBLANK(input_wld_az1_vmotion_gateway_cidr),"Value Missing",input_wld_az1_vmotion_gateway_cidr)</f>
        <v>Value Missing</v>
      </c>
      <c r="J102" s="2"/>
      <c r="K102" s="4" t="s">
        <v>244</v>
      </c>
      <c r="L102" s="8" t="str">
        <f>IF(wld_az1_rack2_vmotion_network="Value missing","Value Missing",CONCATENATE(wld_az1_rack2_vmotion_gateway_ip,"/",VLOOKUP(wld_az1_rack2_vmotion_mask,table_mask_to_cidr,2,FALSE)))</f>
        <v>Value Missing</v>
      </c>
      <c r="M102" s="2"/>
      <c r="N102" s="4" t="s">
        <v>244</v>
      </c>
      <c r="O102" s="8" t="str">
        <f>IF(wld_az1_rack3_vmotion_network="Value missing","Value Missing",CONCATENATE(wld_az1_rack3_vmotion_gateway_ip,"/",VLOOKUP(wld_az1_rack3_vmotion_mask,table_mask_to_cidr,2,FALSE)))</f>
        <v>Value Missing</v>
      </c>
      <c r="P102" s="2"/>
      <c r="Q102" s="4" t="s">
        <v>244</v>
      </c>
      <c r="R102" s="8" t="str">
        <f>IF(wld_az1_rack4_vmotion_network="Value missing","Value Missing",CONCATENATE(wld_az1_rack4_vmotion_gateway_ip,"/",VLOOKUP(wld_az1_rack4_vmotion_mask,table_mask_to_cidr,2,FALSE)))</f>
        <v>Value Missing</v>
      </c>
      <c r="S102" s="2"/>
      <c r="T102" s="4" t="s">
        <v>244</v>
      </c>
      <c r="U102" s="8" t="str">
        <f>IF(wld_az1_rack5_vmotion_network="Value missing","Value Missing",CONCATENATE(wld_az1_rack5_vmotion_gateway_ip,"/",VLOOKUP(wld_az1_rack5_vmotion_mask,table_mask_to_cidr,2,FALSE)))</f>
        <v>Value Missing</v>
      </c>
      <c r="V102" s="2"/>
      <c r="W102" s="4" t="s">
        <v>244</v>
      </c>
      <c r="X102" s="8" t="str">
        <f>IF(wld_az1_rack6_vmotion_network="Value missing","Value Missing",CONCATENATE(wld_az1_rack6_vmotion_gateway_ip,"/",VLOOKUP(wld_az1_rack6_vmotion_mask,table_mask_to_cidr,2,FALSE)))</f>
        <v>Value Missing</v>
      </c>
      <c r="Y102" s="2"/>
      <c r="Z102" s="4" t="s">
        <v>244</v>
      </c>
      <c r="AA102" s="8" t="str">
        <f>IF(wld_az1_rack7_vmotion_network="Value missing","Value Missing",CONCATENATE(wld_az1_rack7_vmotion_gateway_ip,"/",VLOOKUP(wld_az1_rack7_vmotion_mask,table_mask_to_cidr,2,FALSE)))</f>
        <v>Value Missing</v>
      </c>
      <c r="AB102" s="2"/>
      <c r="AC102" s="4" t="s">
        <v>244</v>
      </c>
      <c r="AD102" s="8" t="str">
        <f>IF(wld_az1_rack8_vmotion_network="Value missing","Value Missing",CONCATENATE(wld_az1_rack8_vmotion_gateway_ip,"/",VLOOKUP(wld_az1_rack8_vmotion_mask,table_mask_to_cidr,2,FALSE)))</f>
        <v>Value Missing</v>
      </c>
    </row>
    <row r="103" spans="2:30" ht="20" customHeight="1" x14ac:dyDescent="0.2">
      <c r="B103" s="2"/>
      <c r="C103" s="2"/>
      <c r="E103" s="23" t="str">
        <f>CONCATENATE("Principal Storage Network ",wld_principal_storage_chosen)</f>
        <v>Principal Storage Network vSAN-ESA</v>
      </c>
      <c r="F103" s="8" t="str">
        <f>IF(ISBLANK(input_mgmt_az1_vsan_gateway_cidr),"Value Missing",input_mgmt_az1_vsan_gateway_cidr)</f>
        <v>Value Missing</v>
      </c>
      <c r="G103" s="2"/>
      <c r="H103" s="23" t="s">
        <v>250</v>
      </c>
      <c r="I103" s="8" t="str">
        <f>IF(ISBLANK(input_wld_az1_principal_storage_gateway_cidr),"Value Missing",input_wld_az1_principal_storage_gateway_cidr)</f>
        <v>Value Missing</v>
      </c>
      <c r="J103" s="2"/>
      <c r="K103" s="23" t="s">
        <v>250</v>
      </c>
      <c r="L103" s="8" t="str">
        <f>IF(wld_az1_rack2_principal_storage_network="Value missing","Value Missing",CONCATENATE(wld_az1_rack2_principal_storage_gateway_ip,"/",VLOOKUP(wld_az1_rack2_principal_storage_mask,table_mask_to_cidr,2,FALSE)))</f>
        <v>Value Missing</v>
      </c>
      <c r="M103" s="2"/>
      <c r="N103" s="23" t="s">
        <v>250</v>
      </c>
      <c r="O103" s="8" t="str">
        <f>IF(wld_az1_rack3_principal_storage_network="Value missing","Value Missing",CONCATENATE(wld_az1_rack3_principal_storage_gateway_ip,"/",VLOOKUP(wld_az1_rack3_principal_storage_mask,table_mask_to_cidr,2,FALSE)))</f>
        <v>Value Missing</v>
      </c>
      <c r="P103" s="2"/>
      <c r="Q103" s="23" t="s">
        <v>250</v>
      </c>
      <c r="R103" s="8" t="str">
        <f>IF(wld_az1_rack4_principal_storage_network="Value missing","Value Missing",CONCATENATE(wld_az1_rack4_principal_storage_gateway_ip,"/",VLOOKUP(wld_az1_rack4_principal_storage_mask,table_mask_to_cidr,2,FALSE)))</f>
        <v>Value Missing</v>
      </c>
      <c r="S103" s="2"/>
      <c r="T103" s="23" t="s">
        <v>250</v>
      </c>
      <c r="U103" s="8" t="str">
        <f>IF(wld_az1_rack5_principal_storage_network="Value missing","Value Missing",CONCATENATE(wld_az1_rack5_principal_storage_gateway_ip,"/",VLOOKUP(wld_az1_rack5_principal_storage_mask,table_mask_to_cidr,2,FALSE)))</f>
        <v>Value Missing</v>
      </c>
      <c r="V103" s="2"/>
      <c r="W103" s="23" t="s">
        <v>250</v>
      </c>
      <c r="X103" s="8" t="str">
        <f>IF(wld_az1_rack6_principal_storage_network="Value missing","Value Missing",CONCATENATE(wld_az1_rack6_principal_storage_gateway_ip,"/",VLOOKUP(wld_az1_rack6_principal_storage_mask,table_mask_to_cidr,2,FALSE)))</f>
        <v>Value Missing</v>
      </c>
      <c r="Y103" s="2"/>
      <c r="Z103" s="23" t="s">
        <v>250</v>
      </c>
      <c r="AA103" s="8" t="str">
        <f>IF(wld_az1_rack7_principal_storage_network="Value missing","Value Missing",CONCATENATE(wld_az1_rack7_principal_storage_gateway_ip,"/",VLOOKUP(wld_az1_rack7_principal_storage_mask,table_mask_to_cidr,2,FALSE)))</f>
        <v>Value Missing</v>
      </c>
      <c r="AB103" s="2"/>
      <c r="AC103" s="23" t="s">
        <v>250</v>
      </c>
      <c r="AD103" s="8" t="str">
        <f>IF(wld_az1_rack8_principal_storage_network="Value missing","Value Missing",CONCATENATE(wld_az1_rack8_principal_storage_gateway_ip,"/",VLOOKUP(wld_az1_rack8_principal_storage_mask,table_mask_to_cidr,2,FALSE)))</f>
        <v>Value Missing</v>
      </c>
    </row>
    <row r="104" spans="2:30" ht="20" customHeight="1" x14ac:dyDescent="0.2">
      <c r="B104" s="2"/>
      <c r="C104" s="2"/>
      <c r="E104" s="4" t="s">
        <v>1053</v>
      </c>
      <c r="F104" s="8" t="str">
        <f>IF(ISBLANK(input_mgmt_az1_host_overlay_gateway_cidr),"Value Missing",input_mgmt_az1_host_overlay_gateway_cidr)</f>
        <v>Value Missing</v>
      </c>
      <c r="G104" s="2"/>
      <c r="H104" s="4" t="s">
        <v>1053</v>
      </c>
      <c r="I104" s="8"/>
      <c r="J104" s="2"/>
      <c r="K104" s="4" t="s">
        <v>1053</v>
      </c>
      <c r="L104" s="8" t="str">
        <f>IF(wld_az1_rack2_host_overlay_network="Value missing","Value Missing",CONCATENATE(wld_az1_rack2_host_overlay_gateway_ip,"/",VLOOKUP(wld_az1_rack2_host_overlay_mask,table_mask_to_cidr,2,FALSE)))</f>
        <v>Value Missing</v>
      </c>
      <c r="M104" s="2"/>
      <c r="N104" s="4" t="s">
        <v>1053</v>
      </c>
      <c r="O104" s="8" t="str">
        <f>IF(wld_az1_rack3_host_overlay_network="Value missing","Value Missing",CONCATENATE(wld_az1_rack3_host_overlay_gateway_ip,"/",VLOOKUP(wld_az1_rack3_host_overlay_mask,table_mask_to_cidr,2,FALSE)))</f>
        <v>Value Missing</v>
      </c>
      <c r="P104" s="2"/>
      <c r="Q104" s="4" t="s">
        <v>1053</v>
      </c>
      <c r="R104" s="8" t="str">
        <f>IF(wld_az1_rack4_host_overlay_network="Value missing","Value Missing",CONCATENATE(wld_az1_rack4_host_overlay_gateway_ip,"/",VLOOKUP(wld_az1_rack4_host_overlay_mask,table_mask_to_cidr,2,FALSE)))</f>
        <v>Value Missing</v>
      </c>
      <c r="S104" s="2"/>
      <c r="T104" s="4" t="s">
        <v>1053</v>
      </c>
      <c r="U104" s="8" t="str">
        <f>IF(wld_az1_rack5_host_overlay_network="Value missing","Value Missing",CONCATENATE(wld_az1_rack5_host_overlay_gateway_ip,"/",VLOOKUP(wld_az1_rack5_host_overlay_mask,table_mask_to_cidr,2,FALSE)))</f>
        <v>Value Missing</v>
      </c>
      <c r="V104" s="2"/>
      <c r="W104" s="4" t="s">
        <v>1053</v>
      </c>
      <c r="X104" s="8" t="str">
        <f>IF(wld_az1_rack6_host_overlay_network="Value missing","Value Missing",CONCATENATE(wld_az1_rack6_host_overlay_gateway_ip,"/",VLOOKUP(wld_az1_rack6_host_overlay_mask,table_mask_to_cidr,2,FALSE)))</f>
        <v>Value Missing</v>
      </c>
      <c r="Y104" s="2"/>
      <c r="Z104" s="4" t="s">
        <v>1053</v>
      </c>
      <c r="AA104" s="8" t="str">
        <f>IF(wld_az1_rack7_host_overlay_network="Value missing","Value Missing",CONCATENATE(wld_az1_rack7_host_overlay_gateway_ip,"/",VLOOKUP(wld_az1_rack7_host_overlay_mask,table_mask_to_cidr,2,FALSE)))</f>
        <v>Value Missing</v>
      </c>
      <c r="AB104" s="2"/>
      <c r="AC104" s="4" t="s">
        <v>1053</v>
      </c>
      <c r="AD104" s="8" t="str">
        <f>IF(wld_az1_rack8_host_overlay_network="Value missing","Value Missing",CONCATENATE(wld_az1_rack8_host_overlay_gateway_ip,"/",VLOOKUP(wld_az1_rack8_host_overlay_mask,table_mask_to_cidr,2,FALSE)))</f>
        <v>Value Missing</v>
      </c>
    </row>
    <row r="105" spans="2:30" ht="20" customHeight="1" x14ac:dyDescent="0.2">
      <c r="B105" s="2"/>
      <c r="C105" s="2"/>
      <c r="E105" s="4" t="s">
        <v>1055</v>
      </c>
      <c r="F105" s="8" t="str">
        <f>IF(ISBLANK(input_mgmt_az1_secondary_storage_gateway_cidr),"Value Missing",input_mgmt_az1_secondary_storage_gateway_cidr)</f>
        <v>Value Missing</v>
      </c>
      <c r="G105" s="2"/>
      <c r="H105" s="4" t="s">
        <v>1055</v>
      </c>
      <c r="I105" s="8" t="str">
        <f>IF(ISBLANK(input_wld_az1_secondary_storage_gateway_cidr),"Value Missing",input_wld_az1_secondary_storage_gateway_cidr)</f>
        <v>Value Missing</v>
      </c>
      <c r="J105" s="2"/>
      <c r="K105" s="4" t="s">
        <v>1055</v>
      </c>
      <c r="L105" s="8" t="str">
        <f>IF(wld_az1_rack2_secondary_storage_network="Value missing","Value Missing",CONCATENATE(wld_az1_rack2_secondary_storage_gateway_ip,"/",VLOOKUP(wld_az1_rack2_secondary_storage_mask,table_mask_to_cidr,2,FALSE)))</f>
        <v>Value Missing</v>
      </c>
      <c r="M105" s="2"/>
      <c r="N105" s="4" t="s">
        <v>1055</v>
      </c>
      <c r="O105" s="8" t="str">
        <f>IF(wld_az1_rack3_secondary_storage_network="Value missing","Value Missing",CONCATENATE(wld_az1_rack3_secondary_storage_gateway_ip,"/",VLOOKUP(wld_az1_rack3_secondary_storage_mask,table_mask_to_cidr,2,FALSE)))</f>
        <v>Value Missing</v>
      </c>
      <c r="P105" s="2"/>
      <c r="Q105" s="4" t="s">
        <v>1055</v>
      </c>
      <c r="R105" s="8" t="str">
        <f>IF(wld_az1_rack4_secondary_storage_network="Value missing","Value Missing",CONCATENATE(wld_az1_rack4_secondary_storage_gateway_ip,"/",VLOOKUP(wld_az1_rack4_secondary_storage_mask,table_mask_to_cidr,2,FALSE)))</f>
        <v>Value Missing</v>
      </c>
      <c r="S105" s="2"/>
      <c r="T105" s="4" t="s">
        <v>1055</v>
      </c>
      <c r="U105" s="8" t="str">
        <f>IF(wld_az1_rack5_secondary_storage_network="Value missing","Value Missing",CONCATENATE(wld_az1_rack5_secondary_storage_gateway_ip,"/",VLOOKUP(wld_az1_rack5_secondary_storage_mask,table_mask_to_cidr,2,FALSE)))</f>
        <v>Value Missing</v>
      </c>
      <c r="V105" s="2"/>
      <c r="W105" s="4" t="s">
        <v>1055</v>
      </c>
      <c r="X105" s="8" t="str">
        <f>IF(wld_az1_rack6_secondary_storage_network="Value missing","Value Missing",CONCATENATE(wld_az1_rack6_secondary_storage_gateway_ip,"/",VLOOKUP(wld_az1_rack6_secondary_storage_mask,table_mask_to_cidr,2,FALSE)))</f>
        <v>Value Missing</v>
      </c>
      <c r="Y105" s="2"/>
      <c r="Z105" s="4" t="s">
        <v>1055</v>
      </c>
      <c r="AA105" s="8" t="str">
        <f>IF(wld_az1_rack7_secondary_storage_network="Value missing","Value Missing",CONCATENATE(wld_az1_rack7_secondary_storage_gateway_ip,"/",VLOOKUP(wld_az1_rack7_secondary_storage_mask,table_mask_to_cidr,2,FALSE)))</f>
        <v>Value Missing</v>
      </c>
      <c r="AB105" s="2"/>
      <c r="AC105" s="4" t="s">
        <v>1055</v>
      </c>
      <c r="AD105" s="8" t="str">
        <f>IF(wld_az1_rack8_secondary_storage_network="Value missing","Value Missing",CONCATENATE(wld_az1_rack8_secondary_storage_gateway_ip,"/",VLOOKUP(wld_az1_rack8_secondary_storage_mask,table_mask_to_cidr,2,FALSE)))</f>
        <v>Value Missing</v>
      </c>
    </row>
    <row r="106" spans="2:30" ht="20" customHeight="1" x14ac:dyDescent="0.2">
      <c r="B106" s="2"/>
      <c r="C106" s="2"/>
      <c r="E106" s="4" t="s">
        <v>3721</v>
      </c>
      <c r="F106" s="8" t="str">
        <f>IF(ISBLANK(input_mgmt_az1_vcf_mgmt_gateway_cidr),"Value Missing",input_mgmt_az1_vcf_mgmt_gateway_cidr)</f>
        <v>Value Missing</v>
      </c>
      <c r="G106" s="2"/>
      <c r="H106" s="4" t="s">
        <v>706</v>
      </c>
      <c r="I106" s="8" t="str">
        <f>IF(ISBLANK(input_wld_az1_storage_cluster_gateway_cidr),"Value Missing",input_wld_az1_storage_cluster_gateway_cidr)</f>
        <v>Value Missing</v>
      </c>
      <c r="J106" s="2"/>
      <c r="K106" s="4"/>
      <c r="L106" s="8"/>
      <c r="M106" s="2"/>
      <c r="N106" s="4" t="s">
        <v>706</v>
      </c>
      <c r="O106" s="8"/>
      <c r="P106" s="2"/>
      <c r="Q106" s="4" t="s">
        <v>706</v>
      </c>
      <c r="R106" s="8"/>
      <c r="S106" s="2"/>
      <c r="T106" s="4" t="s">
        <v>706</v>
      </c>
      <c r="U106" s="8"/>
      <c r="V106" s="2"/>
      <c r="W106" s="4" t="s">
        <v>706</v>
      </c>
      <c r="X106" s="8"/>
      <c r="Y106" s="2"/>
      <c r="Z106" s="4" t="s">
        <v>706</v>
      </c>
      <c r="AA106" s="8"/>
      <c r="AB106" s="2"/>
      <c r="AC106" s="4" t="s">
        <v>706</v>
      </c>
      <c r="AD106" s="8"/>
    </row>
    <row r="107" spans="2:30" ht="20" customHeight="1" x14ac:dyDescent="0.2">
      <c r="B107" s="2"/>
      <c r="C107" s="2"/>
      <c r="E107" s="4" t="s">
        <v>1058</v>
      </c>
      <c r="F107" s="8" t="str">
        <f>IF(ISBLANK(input_mgmt_az1_uplink01_gateway_ip),"Value Missing",input_mgmt_az1_uplink01_gateway_ip)</f>
        <v>Value Missing</v>
      </c>
      <c r="G107" s="2"/>
      <c r="H107" s="4" t="s">
        <v>1058</v>
      </c>
      <c r="I107" s="8" t="str">
        <f>IF(ISBLANK(input_mgmt_az1_uplink01_gateway_ip),"Value Missing",input_mgmt_az1_uplink01_gateway_ip)</f>
        <v>Value Missing</v>
      </c>
      <c r="J107" s="2"/>
      <c r="K107" s="4" t="s">
        <v>1058</v>
      </c>
      <c r="L107" s="8" t="str">
        <f>IF(wld_az1_rack2_uplink01_network="Value missing","Value Missing",CONCATENATE(wld_az1_rack2_uplink01_gateway_ip,"/",VLOOKUP(wld_az1_rack2_uplink01_mask,table_mask_to_cidr,2,FALSE)))</f>
        <v>Value Missing</v>
      </c>
      <c r="M107" s="2"/>
      <c r="N107" s="4" t="s">
        <v>1058</v>
      </c>
      <c r="O107" s="8" t="str">
        <f>IF(wld_az1_rack3_uplink01_network="Value missing","Value Missing",CONCATENATE(wld_az1_rack3_uplink01_gateway_ip,"/",VLOOKUP(wld_az1_rack3_uplink01_mask,table_mask_to_cidr,2,FALSE)))</f>
        <v>Value Missing</v>
      </c>
      <c r="P107" s="2"/>
      <c r="Q107" s="4" t="s">
        <v>1058</v>
      </c>
      <c r="R107" s="8" t="str">
        <f>IF(wld_az1_rack4_uplink01_network="Value missing","Value Missing",CONCATENATE(wld_az1_rack4_uplink01_gateway_ip,"/",VLOOKUP(wld_az1_rack4_uplink01_mask,table_mask_to_cidr,2,FALSE)))</f>
        <v>Value Missing</v>
      </c>
      <c r="S107" s="2"/>
      <c r="T107" s="4" t="s">
        <v>1058</v>
      </c>
      <c r="U107" s="8" t="str">
        <f>IF(wld_az1_rack5_uplink01_network="Value missing","Value Missing",CONCATENATE(wld_az1_rack5_uplink01_gateway_ip,"/",VLOOKUP(wld_az1_rack5_uplink01_mask,table_mask_to_cidr,2,FALSE)))</f>
        <v>Value Missing</v>
      </c>
      <c r="V107" s="2"/>
      <c r="W107" s="4" t="s">
        <v>1058</v>
      </c>
      <c r="X107" s="8" t="str">
        <f>IF(wld_az1_rack6_uplink01_network="Value missing","Value Missing",CONCATENATE(wld_az1_rack6_uplink01_gateway_ip,"/",VLOOKUP(wld_az1_rack6_uplink01_mask,table_mask_to_cidr,2,FALSE)))</f>
        <v>Value Missing</v>
      </c>
      <c r="Y107" s="2"/>
      <c r="Z107" s="4" t="s">
        <v>1058</v>
      </c>
      <c r="AA107" s="8" t="str">
        <f>IF(wld_az1_rack7_uplink01_network="Value missing","Value Missing",CONCATENATE(wld_az1_rack7_uplink01_gateway_ip,"/",VLOOKUP(wld_az1_rack7_uplink01_mask,table_mask_to_cidr,2,FALSE)))</f>
        <v>Value Missing</v>
      </c>
      <c r="AB107" s="2"/>
      <c r="AC107" s="4" t="s">
        <v>1058</v>
      </c>
      <c r="AD107" s="8" t="str">
        <f>IF(wld_az1_rack8_uplink01_network="Value missing","Value Missing",CONCATENATE(wld_az1_rack8_uplink01_gateway_ip,"/",VLOOKUP(wld_az1_rack8_uplink01_mask,table_mask_to_cidr,2,FALSE)))</f>
        <v>Value Missing</v>
      </c>
    </row>
    <row r="108" spans="2:30" ht="20" customHeight="1" x14ac:dyDescent="0.2">
      <c r="B108" s="2"/>
      <c r="C108" s="2"/>
      <c r="E108" s="4" t="s">
        <v>1060</v>
      </c>
      <c r="F108" s="8" t="str">
        <f>IF(ISBLANK(input_mgmt_az1_uplink02_gateway_ip),"Value Missing",input_mgmt_az1_uplink02_gateway_ip)</f>
        <v>Value Missing</v>
      </c>
      <c r="G108" s="2"/>
      <c r="H108" s="4" t="s">
        <v>1060</v>
      </c>
      <c r="I108" s="8" t="str">
        <f>IF(ISBLANK(input_mgmt_az1_uplink02_gateway_ip),"Value Missing",input_mgmt_az1_uplink02_gateway_ip)</f>
        <v>Value Missing</v>
      </c>
      <c r="J108" s="2"/>
      <c r="K108" s="4" t="s">
        <v>1060</v>
      </c>
      <c r="L108" s="8" t="str">
        <f>IF(wld_az1_rack2_uplink02_network="Value missing","Value Missing",CONCATENATE(wld_az1_rack2_uplink02_gateway_ip,"/",VLOOKUP(wld_az1_rack2_uplink02_mask,table_mask_to_cidr,2,FALSE)))</f>
        <v>Value Missing</v>
      </c>
      <c r="M108" s="2"/>
      <c r="N108" s="4" t="s">
        <v>1060</v>
      </c>
      <c r="O108" s="8" t="str">
        <f>IF(wld_az1_rack3_uplink02_network="Value missing","Value Missing",CONCATENATE(wld_az1_rack3_uplink02_gateway_ip,"/",VLOOKUP(wld_az1_rack3_uplink02_mask,table_mask_to_cidr,2,FALSE)))</f>
        <v>Value Missing</v>
      </c>
      <c r="P108" s="2"/>
      <c r="Q108" s="4" t="s">
        <v>1060</v>
      </c>
      <c r="R108" s="8" t="str">
        <f>IF(wld_az1_rack4_uplink02_network="Value missing","Value Missing",CONCATENATE(wld_az1_rack4_uplink02_gateway_ip,"/",VLOOKUP(wld_az1_rack4_uplink02_mask,table_mask_to_cidr,2,FALSE)))</f>
        <v>Value Missing</v>
      </c>
      <c r="S108" s="2"/>
      <c r="T108" s="4" t="s">
        <v>1060</v>
      </c>
      <c r="U108" s="8" t="str">
        <f>IF(wld_az1_rack5_uplink02_network="Value missing","Value Missing",CONCATENATE(wld_az1_rack5_uplink02_gateway_ip,"/",VLOOKUP(wld_az1_rack5_uplink02_mask,table_mask_to_cidr,2,FALSE)))</f>
        <v>Value Missing</v>
      </c>
      <c r="V108" s="2"/>
      <c r="W108" s="4" t="s">
        <v>1060</v>
      </c>
      <c r="X108" s="8" t="str">
        <f>IF(wld_az1_rack6_uplink02_network="Value missing","Value Missing",CONCATENATE(wld_az1_rack6_uplink02_gateway_ip,"/",VLOOKUP(wld_az1_rack6_uplink02_mask,table_mask_to_cidr,2,FALSE)))</f>
        <v>Value Missing</v>
      </c>
      <c r="Y108" s="2"/>
      <c r="Z108" s="4" t="s">
        <v>1060</v>
      </c>
      <c r="AA108" s="8" t="str">
        <f>IF(wld_az1_rack7_uplink02_network="Value missing","Value Missing",CONCATENATE(wld_az1_rack7_uplink02_gateway_ip,"/",VLOOKUP(wld_az1_rack7_uplink02_mask,table_mask_to_cidr,2,FALSE)))</f>
        <v>Value Missing</v>
      </c>
      <c r="AB108" s="2"/>
      <c r="AC108" s="4" t="s">
        <v>1060</v>
      </c>
      <c r="AD108" s="8" t="str">
        <f>IF(wld_az1_rack8_uplink02_network="Value missing","Value Missing",CONCATENATE(wld_az1_rack8_uplink02_gateway_ip,"/",VLOOKUP(wld_az1_rack8_uplink02_mask,table_mask_to_cidr,2,FALSE)))</f>
        <v>Value Missing</v>
      </c>
    </row>
    <row r="109" spans="2:30" ht="20" customHeight="1" x14ac:dyDescent="0.2">
      <c r="B109" s="2"/>
      <c r="C109" s="2"/>
      <c r="E109" s="4" t="s">
        <v>1062</v>
      </c>
      <c r="F109" s="8" t="str">
        <f>IF(ISBLANK(input_mgmt_az1_edge_overlay_gateway_ip),"Value Missing",input_mgmt_az1_edge_overlay_gateway_ip)</f>
        <v>Value Missing</v>
      </c>
      <c r="G109" s="2"/>
      <c r="H109" s="4" t="s">
        <v>1062</v>
      </c>
      <c r="I109" s="8" t="str">
        <f>IF(ISBLANK(input_mgmt_az1_edge_overlay_gateway_ip),"Value Missing",input_mgmt_az1_edge_overlay_gateway_ip)</f>
        <v>Value Missing</v>
      </c>
      <c r="J109" s="2"/>
      <c r="K109" s="4" t="s">
        <v>1062</v>
      </c>
      <c r="L109" s="8" t="str">
        <f>IF(wld_az1_rack2_edge_overlay_network="Value missing","Value Missing",CONCATENATE(wld_az1_rack2_edge_overlay_gateway_ip,"/",VLOOKUP(wld_az1_rack2_edge_overlay_mask,table_mask_to_cidr,2,FALSE)))</f>
        <v>Value Missing</v>
      </c>
      <c r="M109" s="2"/>
      <c r="N109" s="4" t="s">
        <v>1062</v>
      </c>
      <c r="O109" s="8" t="str">
        <f>IF(wld_az1_rack3_edge_overlay_network="Value missing","Value Missing",CONCATENATE(wld_az1_rack3_edge_overlay_gateway_ip,"/",VLOOKUP(wld_az1_rack3_edge_overlay_mask,table_mask_to_cidr,2,FALSE)))</f>
        <v>Value Missing</v>
      </c>
      <c r="P109" s="2"/>
      <c r="Q109" s="4" t="s">
        <v>1062</v>
      </c>
      <c r="R109" s="8" t="str">
        <f>IF(wld_az1_rack4_edge_overlay_network="Value missing","Value Missing",CONCATENATE(wld_az1_rack4_edge_overlay_gateway_ip,"/",VLOOKUP(wld_az1_rack4_edge_overlay_mask,table_mask_to_cidr,2,FALSE)))</f>
        <v>Value Missing</v>
      </c>
      <c r="S109" s="2"/>
      <c r="T109" s="4" t="s">
        <v>1062</v>
      </c>
      <c r="U109" s="8" t="str">
        <f>IF(wld_az1_rack5_edge_overlay_network="Value missing","Value Missing",CONCATENATE(wld_az1_rack5_edge_overlay_gateway_ip,"/",VLOOKUP(wld_az1_rack5_edge_overlay_mask,table_mask_to_cidr,2,FALSE)))</f>
        <v>Value Missing</v>
      </c>
      <c r="V109" s="2"/>
      <c r="W109" s="4" t="s">
        <v>1062</v>
      </c>
      <c r="X109" s="8" t="str">
        <f>IF(wld_az1_rack6_edge_overlay_network="Value missing","Value Missing",CONCATENATE(wld_az1_rack6_edge_overlay_gateway_ip,"/",VLOOKUP(wld_az1_rack6_edge_overlay_mask,table_mask_to_cidr,2,FALSE)))</f>
        <v>Value Missing</v>
      </c>
      <c r="Y109" s="2"/>
      <c r="Z109" s="4" t="s">
        <v>1062</v>
      </c>
      <c r="AA109" s="8" t="str">
        <f>IF(wld_az1_rack7_edge_overlay_network="Value missing","Value Missing",CONCATENATE(wld_az1_rack7_edge_overlay_gateway_ip,"/",VLOOKUP(wld_az1_rack7_edge_overlay_mask,table_mask_to_cidr,2,FALSE)))</f>
        <v>Value Missing</v>
      </c>
      <c r="AB109" s="2"/>
      <c r="AC109" s="4" t="s">
        <v>1062</v>
      </c>
      <c r="AD109" s="8" t="str">
        <f>IF(wld_az1_rack8_edge_overlay_network="Value missing","Value Missing",CONCATENATE(wld_az1_rack8_edge_overlay_gateway_ip,"/",VLOOKUP(wld_az1_rack8_edge_overlay_mask,table_mask_to_cidr,2,FALSE)))</f>
        <v>Value Missing</v>
      </c>
    </row>
    <row r="110" spans="2:30" ht="20" customHeight="1" x14ac:dyDescent="0.2">
      <c r="B110" s="2"/>
      <c r="C110" s="2"/>
      <c r="E110" s="4" t="s">
        <v>1064</v>
      </c>
      <c r="F110" s="8" t="str">
        <f>IF(ISBLANK(input_mgmt_az1_rtep_overlay_gateway_ip),"Value Missing",input_mgmt_az1_rtep_overlay_gateway_ip)</f>
        <v>Value Missing</v>
      </c>
      <c r="G110" s="2"/>
      <c r="H110" s="4" t="s">
        <v>1064</v>
      </c>
      <c r="I110" s="8" t="str">
        <f>IF(ISBLANK(input_mgmt_az1_rtep_overlay_gateway_ip),"Value Missing",input_mgmt_az1_rtep_overlay_gateway_ip)</f>
        <v>Value Missing</v>
      </c>
      <c r="J110" s="2"/>
      <c r="K110" s="4"/>
      <c r="L110" s="8"/>
      <c r="M110" s="2"/>
      <c r="N110" s="4" t="s">
        <v>1064</v>
      </c>
      <c r="O110" s="8"/>
      <c r="P110" s="2"/>
      <c r="Q110" s="4" t="s">
        <v>1064</v>
      </c>
      <c r="R110" s="8"/>
      <c r="S110" s="2"/>
      <c r="T110" s="4" t="s">
        <v>1064</v>
      </c>
      <c r="U110" s="8"/>
      <c r="V110" s="2"/>
      <c r="W110" s="4" t="s">
        <v>1064</v>
      </c>
      <c r="X110" s="8"/>
      <c r="Y110" s="2"/>
      <c r="Z110" s="4" t="s">
        <v>1064</v>
      </c>
      <c r="AA110" s="8"/>
      <c r="AB110" s="2"/>
      <c r="AC110" s="4" t="s">
        <v>1064</v>
      </c>
      <c r="AD110" s="8"/>
    </row>
    <row r="111" spans="2:30" ht="20" customHeight="1" x14ac:dyDescent="0.2">
      <c r="B111" s="2"/>
      <c r="C111" s="2"/>
      <c r="E111" s="4" t="s">
        <v>1066</v>
      </c>
      <c r="F111" s="8"/>
      <c r="G111" s="2"/>
      <c r="H111" s="4" t="s">
        <v>1066</v>
      </c>
      <c r="I111" s="8"/>
      <c r="J111" s="2"/>
      <c r="K111" s="4"/>
      <c r="L111" s="8"/>
      <c r="M111" s="2"/>
      <c r="N111" s="4" t="s">
        <v>1066</v>
      </c>
      <c r="O111" s="8"/>
      <c r="P111" s="2"/>
      <c r="Q111" s="4" t="s">
        <v>1066</v>
      </c>
      <c r="R111" s="8"/>
      <c r="S111" s="2"/>
      <c r="T111" s="4" t="s">
        <v>1066</v>
      </c>
      <c r="U111" s="8"/>
      <c r="V111" s="2"/>
      <c r="W111" s="4" t="s">
        <v>1066</v>
      </c>
      <c r="X111" s="8"/>
      <c r="Y111" s="2"/>
      <c r="Z111" s="4" t="s">
        <v>1066</v>
      </c>
      <c r="AA111" s="8"/>
      <c r="AB111" s="2"/>
      <c r="AC111" s="4" t="s">
        <v>1066</v>
      </c>
      <c r="AD111" s="8"/>
    </row>
    <row r="112" spans="2:30" ht="20" customHeight="1" x14ac:dyDescent="0.2">
      <c r="B112" s="2"/>
      <c r="C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row>
    <row r="113" spans="2:36" ht="20" customHeight="1" x14ac:dyDescent="0.2">
      <c r="B113" s="2"/>
      <c r="C113" s="2"/>
      <c r="E113" s="14" t="s">
        <v>1138</v>
      </c>
      <c r="F113" s="15"/>
      <c r="G113" s="2"/>
      <c r="H113" s="14" t="s">
        <v>1139</v>
      </c>
      <c r="I113" s="15"/>
      <c r="J113" s="2"/>
      <c r="K113" s="14" t="s">
        <v>1140</v>
      </c>
      <c r="L113" s="15"/>
      <c r="M113" s="2"/>
      <c r="N113" s="14" t="s">
        <v>1141</v>
      </c>
      <c r="O113" s="15"/>
      <c r="P113" s="7"/>
      <c r="Q113" s="14" t="s">
        <v>1142</v>
      </c>
      <c r="R113" s="15"/>
      <c r="S113" s="2"/>
      <c r="T113" s="14" t="s">
        <v>1143</v>
      </c>
      <c r="U113" s="15"/>
      <c r="V113" s="2"/>
      <c r="W113" s="14" t="s">
        <v>1144</v>
      </c>
      <c r="X113" s="15"/>
      <c r="Y113" s="2"/>
      <c r="Z113" s="14" t="s">
        <v>1145</v>
      </c>
      <c r="AA113" s="15"/>
      <c r="AB113" s="2"/>
      <c r="AC113" s="14" t="s">
        <v>1146</v>
      </c>
      <c r="AD113" s="15"/>
    </row>
    <row r="114" spans="2:36" s="2" customFormat="1" ht="20" customHeight="1" x14ac:dyDescent="0.2">
      <c r="E114" s="17" t="s">
        <v>254</v>
      </c>
      <c r="F114" s="20" t="s">
        <v>1044</v>
      </c>
      <c r="H114" s="17" t="s">
        <v>254</v>
      </c>
      <c r="I114" s="20" t="s">
        <v>1044</v>
      </c>
      <c r="K114" s="17" t="s">
        <v>254</v>
      </c>
      <c r="L114" s="20" t="s">
        <v>1044</v>
      </c>
      <c r="N114" s="17" t="s">
        <v>254</v>
      </c>
      <c r="O114" s="20" t="s">
        <v>1044</v>
      </c>
      <c r="P114" s="21"/>
      <c r="Q114" s="17" t="s">
        <v>254</v>
      </c>
      <c r="R114" s="20" t="s">
        <v>1044</v>
      </c>
      <c r="S114" s="21"/>
      <c r="T114" s="17" t="s">
        <v>254</v>
      </c>
      <c r="U114" s="20" t="s">
        <v>1044</v>
      </c>
      <c r="V114" s="21"/>
      <c r="W114" s="17" t="s">
        <v>254</v>
      </c>
      <c r="X114" s="20" t="s">
        <v>1044</v>
      </c>
      <c r="Y114" s="21"/>
      <c r="Z114" s="17" t="s">
        <v>254</v>
      </c>
      <c r="AA114" s="20" t="s">
        <v>1044</v>
      </c>
      <c r="AB114" s="21"/>
      <c r="AC114" s="17" t="s">
        <v>254</v>
      </c>
      <c r="AD114" s="20" t="s">
        <v>1044</v>
      </c>
      <c r="AG114" s="9"/>
      <c r="AH114" s="9"/>
      <c r="AI114" s="9"/>
      <c r="AJ114" s="9"/>
    </row>
    <row r="115" spans="2:36" s="35" customFormat="1" ht="20" customHeight="1" x14ac:dyDescent="0.2">
      <c r="B115" s="2"/>
      <c r="C115" s="2"/>
      <c r="E115" s="4" t="s">
        <v>1029</v>
      </c>
      <c r="F115" s="8" t="str">
        <f>IF(ISBLANK(input_mgmt_en_asn),"Value Missing",input_mgmt_en_asn)</f>
        <v>Value Missing</v>
      </c>
      <c r="G115" s="2"/>
      <c r="H115" s="4" t="s">
        <v>1029</v>
      </c>
      <c r="I115" s="8" t="str">
        <f>IF(ISBLANK(input_wld_en_asn),"Value Missing",input_wld_en_asn)</f>
        <v>Value Missing</v>
      </c>
      <c r="J115" s="2"/>
      <c r="K115" s="4" t="s">
        <v>1029</v>
      </c>
      <c r="L115" s="8" t="str">
        <f>IF(ISBLANK(input_wld_rack2_en_asn),"Value Missing",input_wld_rack2_en_asn)</f>
        <v>Value Missing</v>
      </c>
      <c r="M115" s="2"/>
      <c r="N115" s="4" t="s">
        <v>1029</v>
      </c>
      <c r="O115" s="8" t="str">
        <f>IF(ISBLANK(input_wld_rack3_en_asn),"Value Missing",input_wld_rack3_en_asn)</f>
        <v>Value Missing</v>
      </c>
      <c r="P115" s="2"/>
      <c r="Q115" s="4" t="s">
        <v>1029</v>
      </c>
      <c r="R115" s="8" t="str">
        <f>IF(ISBLANK(input_wld_rack4_en_asn),"Value Missing",input_wld_rack4_en_asn)</f>
        <v>Value Missing</v>
      </c>
      <c r="S115" s="2"/>
      <c r="T115" s="4" t="s">
        <v>1029</v>
      </c>
      <c r="U115" s="8" t="str">
        <f>IF(ISBLANK(input_wld_rack5_en_asn),"Value Missing",input_wld_rack5_en_asn)</f>
        <v>Value Missing</v>
      </c>
      <c r="V115" s="2"/>
      <c r="W115" s="4" t="s">
        <v>1029</v>
      </c>
      <c r="X115" s="8" t="str">
        <f>IF(ISBLANK(input_wld_rack6_en_asn),"Value Missing",input_wld_rack6_en_asn)</f>
        <v>Value Missing</v>
      </c>
      <c r="Y115" s="2"/>
      <c r="Z115" s="4" t="s">
        <v>1029</v>
      </c>
      <c r="AA115" s="8" t="str">
        <f>IF(ISBLANK(input_wld_rack7_en_asn),"Value Missing",input_wld_rack7_en_asn)</f>
        <v>Value Missing</v>
      </c>
      <c r="AB115" s="2"/>
      <c r="AC115" s="4" t="s">
        <v>1029</v>
      </c>
      <c r="AD115" s="8" t="str">
        <f>IF(ISBLANK(input_wld_rack8_en_asn),"Value Missing",input_wld_rack8_en_asn)</f>
        <v>Value Missing</v>
      </c>
      <c r="AG115" s="36"/>
      <c r="AH115" s="36"/>
      <c r="AI115" s="36"/>
      <c r="AJ115" s="36"/>
    </row>
    <row r="116" spans="2:36" s="2" customFormat="1" ht="20" customHeight="1" x14ac:dyDescent="0.2">
      <c r="E116" s="4" t="s">
        <v>165</v>
      </c>
      <c r="F116" s="8" t="str">
        <f>IF(ISBLANK(input_mgmt_az1_tor1_peer_ip),"Value Missing",input_mgmt_az1_tor1_peer_ip)</f>
        <v>Value Missing</v>
      </c>
      <c r="H116" s="4" t="s">
        <v>165</v>
      </c>
      <c r="I116" s="8" t="str">
        <f>IF(ISBLANK(input_wld_az1_tor1_peer_ip),"Value Missing",input_wld_az1_tor1_peer_ip)</f>
        <v>Value Missing</v>
      </c>
      <c r="K116" s="4" t="s">
        <v>165</v>
      </c>
      <c r="L116" s="8" t="str">
        <f>IF(ISBLANK(input_wld_az1_rack2_tor1_peer_ip),"Value Missing",input_wld_az1_rack2_tor1_peer_ip)</f>
        <v>Value Missing</v>
      </c>
      <c r="N116" s="4" t="s">
        <v>165</v>
      </c>
      <c r="O116" s="8" t="str">
        <f>IF(ISBLANK(input_wld_az1_rack3_tor1_peer_ip),"Value Missing",input_wld_az1_rack3_tor1_peer_ip)</f>
        <v>Value Missing</v>
      </c>
      <c r="Q116" s="4" t="s">
        <v>165</v>
      </c>
      <c r="R116" s="8" t="str">
        <f>IF(ISBLANK(input_wld_az1_rack4_tor1_peer_ip),"Value Missing",input_wld_az1_rack4_tor1_peer_ip)</f>
        <v>Value Missing</v>
      </c>
      <c r="T116" s="4" t="s">
        <v>165</v>
      </c>
      <c r="U116" s="8" t="str">
        <f>IF(ISBLANK(input_wld_az1_rack5_tor1_peer_ip),"Value Missing",input_wld_az1_rack5_tor1_peer_ip)</f>
        <v>Value Missing</v>
      </c>
      <c r="W116" s="4" t="s">
        <v>165</v>
      </c>
      <c r="X116" s="8" t="str">
        <f>IF(ISBLANK(input_wld_az1_rack6_tor1_peer_ip),"Value Missing",input_wld_az1_rack6_tor1_peer_ip)</f>
        <v>Value Missing</v>
      </c>
      <c r="Z116" s="4" t="s">
        <v>165</v>
      </c>
      <c r="AA116" s="8" t="str">
        <f>IF(ISBLANK(input_wld_az1_rack7_tor1_peer_ip),"Value Missing",input_wld_az1_rack7_tor1_peer_ip)</f>
        <v>Value Missing</v>
      </c>
      <c r="AC116" s="4" t="s">
        <v>165</v>
      </c>
      <c r="AD116" s="8" t="str">
        <f>IF(ISBLANK(input_wld_az1_rack8_tor1_peer_ip),"Value Missing",input_wld_az1_rack8_tor1_peer_ip)</f>
        <v>Value Missing</v>
      </c>
      <c r="AG116" s="9"/>
      <c r="AH116" s="9"/>
      <c r="AI116" s="9"/>
      <c r="AJ116" s="9"/>
    </row>
    <row r="117" spans="2:36" s="2" customFormat="1" ht="20" customHeight="1" x14ac:dyDescent="0.2">
      <c r="E117" s="4" t="s">
        <v>166</v>
      </c>
      <c r="F117" s="8" t="str">
        <f>IF(ISBLANK(input_mgmt_az1_tor1_peer_asn),"Value Missing",input_mgmt_az1_tor1_peer_asn)</f>
        <v>Value Missing</v>
      </c>
      <c r="H117" s="4" t="s">
        <v>166</v>
      </c>
      <c r="I117" s="8" t="str">
        <f>IF(ISBLANK(input_wld_az1_tor1_peer_asn),"Value Missing",input_wld_az1_tor1_peer_asn)</f>
        <v>Value Missing</v>
      </c>
      <c r="K117" s="4" t="s">
        <v>166</v>
      </c>
      <c r="L117" s="8" t="str">
        <f>IF(ISBLANK(input_wld_az1_rack2_tor1_peer_asn),"Value Missing",input_wld_az1_rack2_tor1_peer_asn)</f>
        <v>Value Missing</v>
      </c>
      <c r="N117" s="4" t="s">
        <v>166</v>
      </c>
      <c r="O117" s="8" t="str">
        <f>IF(ISBLANK(input_wld_az1_rack3_tor1_peer_asn),"Value Missing",input_wld_az1_rack3_tor1_peer_asn)</f>
        <v>Value Missing</v>
      </c>
      <c r="Q117" s="4" t="s">
        <v>166</v>
      </c>
      <c r="R117" s="8" t="str">
        <f>IF(ISBLANK(input_wld_az1_rack4_tor1_peer_asn),"Value Missing",input_wld_az1_rack4_tor1_peer_asn)</f>
        <v>Value Missing</v>
      </c>
      <c r="T117" s="4" t="s">
        <v>166</v>
      </c>
      <c r="U117" s="8" t="str">
        <f>IF(ISBLANK(input_wld_az1_rack5_tor1_peer_asn),"Value Missing",input_wld_az1_rack5_tor1_peer_asn)</f>
        <v>Value Missing</v>
      </c>
      <c r="W117" s="4" t="s">
        <v>166</v>
      </c>
      <c r="X117" s="8" t="str">
        <f>IF(ISBLANK(input_wld_az1_rack6_tor1_peer_asn),"Value Missing",input_wld_az1_rack6_tor1_peer_asn)</f>
        <v>Value Missing</v>
      </c>
      <c r="Z117" s="4" t="s">
        <v>166</v>
      </c>
      <c r="AA117" s="8" t="str">
        <f>IF(ISBLANK(input_wld_az1_rack7_tor1_peer_asn),"Value Missing",input_wld_az1_rack7_tor1_peer_asn)</f>
        <v>Value Missing</v>
      </c>
      <c r="AC117" s="4" t="s">
        <v>166</v>
      </c>
      <c r="AD117" s="8" t="str">
        <f>IF(ISBLANK(input_wld_az1_rack8_tor1_peer_asn),"Value Missing",input_wld_az1_rack8_tor1_peer_asn)</f>
        <v>Value Missing</v>
      </c>
      <c r="AG117" s="9"/>
      <c r="AH117" s="9"/>
      <c r="AI117" s="9"/>
      <c r="AJ117" s="9"/>
    </row>
    <row r="118" spans="2:36" s="2" customFormat="1" ht="20" customHeight="1" x14ac:dyDescent="0.2">
      <c r="E118" s="4" t="s">
        <v>167</v>
      </c>
      <c r="F118" s="8" t="str">
        <f>IF(ISBLANK(input_mgmt_az1_tor1_peer_bgp_password),"Value Missing",input_mgmt_az1_tor1_peer_bgp_password)</f>
        <v>Value Missing</v>
      </c>
      <c r="G118" s="21"/>
      <c r="H118" s="4" t="s">
        <v>167</v>
      </c>
      <c r="I118" s="8" t="str">
        <f>IF(ISBLANK(input_wld_az1_tor1_peer_bgp_password),"Value Missing",input_wld_az1_tor1_peer_bgp_password)</f>
        <v>Value Missing</v>
      </c>
      <c r="J118" s="21"/>
      <c r="K118" s="4" t="s">
        <v>167</v>
      </c>
      <c r="L118" s="8" t="str">
        <f>IF(ISBLANK(input_wld_az1_rack2_tor1_peer_bgp_password),"Value Missing",input_wld_az1_rack2_tor1_peer_bgp_password)</f>
        <v>Value Missing</v>
      </c>
      <c r="N118" s="4" t="s">
        <v>167</v>
      </c>
      <c r="O118" s="8" t="str">
        <f>IF(ISBLANK(input_wld_az1_rack3_tor1_peer_bgp_password),"Value Missing",input_wld_az1_rack3_tor1_peer_bgp_password)</f>
        <v>Value Missing</v>
      </c>
      <c r="Q118" s="4" t="s">
        <v>167</v>
      </c>
      <c r="R118" s="8" t="str">
        <f>IF(ISBLANK(input_wld_az1_rack4_tor1_peer_bgp_password),"Value Missing",input_wld_az1_rack4_tor1_peer_bgp_password)</f>
        <v>Value Missing</v>
      </c>
      <c r="T118" s="4" t="s">
        <v>167</v>
      </c>
      <c r="U118" s="8" t="str">
        <f>IF(ISBLANK(input_wld_az1_rack5_tor1_peer_bgp_password),"Value Missing",input_wld_az1_rack5_tor1_peer_bgp_password)</f>
        <v>Value Missing</v>
      </c>
      <c r="W118" s="4" t="s">
        <v>167</v>
      </c>
      <c r="X118" s="8" t="str">
        <f>IF(ISBLANK(input_wld_az1_rack6_tor1_peer_bgp_password),"Value Missing",input_wld_az1_rack6_tor1_peer_bgp_password)</f>
        <v>Value Missing</v>
      </c>
      <c r="Z118" s="4" t="s">
        <v>167</v>
      </c>
      <c r="AA118" s="8" t="str">
        <f>IF(ISBLANK(input_wld_az1_rack7_tor1_peer_bgp_password),"Value Missing",input_wld_az1_rack7_tor1_peer_bgp_password)</f>
        <v>Value Missing</v>
      </c>
      <c r="AC118" s="4" t="s">
        <v>167</v>
      </c>
      <c r="AD118" s="8" t="str">
        <f>IF(ISBLANK(input_wld_az1_rack8_tor1_peer_bgp_password),"Value Missing",input_wld_az1_rack8_tor1_peer_bgp_password)</f>
        <v>Value Missing</v>
      </c>
      <c r="AG118" s="9"/>
      <c r="AH118" s="9"/>
      <c r="AI118" s="9"/>
      <c r="AJ118" s="9"/>
    </row>
    <row r="119" spans="2:36" s="2" customFormat="1" ht="20" customHeight="1" x14ac:dyDescent="0.2">
      <c r="E119" s="4" t="s">
        <v>168</v>
      </c>
      <c r="F119" s="8" t="str">
        <f>IF(ISBLANK(input_mgmt_az1_tor2_peer_ip),"Value Missing",input_mgmt_az1_tor2_peer_ip)</f>
        <v>Value Missing</v>
      </c>
      <c r="H119" s="4" t="s">
        <v>168</v>
      </c>
      <c r="I119" s="8" t="str">
        <f>IF(ISBLANK(input_wld_az1_tor2_peer_ip),"Value Missing",input_wld_az1_tor2_peer_ip)</f>
        <v>Value Missing</v>
      </c>
      <c r="K119" s="4" t="s">
        <v>168</v>
      </c>
      <c r="L119" s="8" t="str">
        <f>IF(ISBLANK(input_wld_az1_rack2_tor2_peer_ip),"Value Missing",input_wld_az1_rack2_tor2_peer_ip)</f>
        <v>Value Missing</v>
      </c>
      <c r="M119" s="21"/>
      <c r="N119" s="4" t="s">
        <v>168</v>
      </c>
      <c r="O119" s="8" t="str">
        <f>IF(ISBLANK(input_wld_az1_rack3_tor2_peer_ip),"Value Missing",input_wld_az1_rack3_tor2_peer_ip)</f>
        <v>Value Missing</v>
      </c>
      <c r="Q119" s="4" t="s">
        <v>168</v>
      </c>
      <c r="R119" s="8" t="str">
        <f>IF(ISBLANK(input_wld_az1_rack4_tor2_peer_ip),"Value Missing",input_wld_az1_rack4_tor2_peer_ip)</f>
        <v>Value Missing</v>
      </c>
      <c r="T119" s="4" t="s">
        <v>168</v>
      </c>
      <c r="U119" s="8" t="str">
        <f>IF(ISBLANK(input_wld_az1_rack5_tor2_peer_ip),"Value Missing",input_wld_az1_rack5_tor2_peer_ip)</f>
        <v>Value Missing</v>
      </c>
      <c r="W119" s="4" t="s">
        <v>168</v>
      </c>
      <c r="X119" s="8" t="str">
        <f>IF(ISBLANK(input_wld_az1_rack6_tor2_peer_ip),"Value Missing",input_wld_az1_rack6_tor2_peer_ip)</f>
        <v>Value Missing</v>
      </c>
      <c r="Z119" s="4" t="s">
        <v>168</v>
      </c>
      <c r="AA119" s="8" t="str">
        <f>IF(ISBLANK(input_wld_az1_rack7_tor2_peer_ip),"Value Missing",input_wld_az1_rack7_tor2_peer_ip)</f>
        <v>Value Missing</v>
      </c>
      <c r="AC119" s="4" t="s">
        <v>168</v>
      </c>
      <c r="AD119" s="8" t="str">
        <f>IF(ISBLANK(input_wld_az1_rack8_tor2_peer_ip),"Value Missing",input_wld_az1_rack8_tor2_peer_ip)</f>
        <v>Value Missing</v>
      </c>
      <c r="AG119" s="9"/>
      <c r="AH119" s="9"/>
      <c r="AI119" s="9"/>
      <c r="AJ119" s="9"/>
    </row>
    <row r="120" spans="2:36" s="2" customFormat="1" ht="20" customHeight="1" x14ac:dyDescent="0.2">
      <c r="E120" s="4" t="s">
        <v>169</v>
      </c>
      <c r="F120" s="8" t="str">
        <f>IF(ISBLANK(input_mgmt_az1_tor2_peer_asn),"Value Missing",input_mgmt_az1_tor2_peer_asn)</f>
        <v>Value Missing</v>
      </c>
      <c r="H120" s="4" t="s">
        <v>169</v>
      </c>
      <c r="I120" s="8" t="str">
        <f>IF(ISBLANK(input_wld_az1_tor2_peer_asn),"Value Missing",input_wld_az1_tor2_peer_asn)</f>
        <v>Value Missing</v>
      </c>
      <c r="K120" s="4" t="s">
        <v>169</v>
      </c>
      <c r="L120" s="8" t="str">
        <f>IF(ISBLANK(input_wld_az1_rack2_tor2_peer_asn),"Value Missing",input_wld_az1_rack2_tor2_peer_asn)</f>
        <v>Value Missing</v>
      </c>
      <c r="N120" s="4" t="s">
        <v>169</v>
      </c>
      <c r="O120" s="8" t="str">
        <f>IF(ISBLANK(input_wld_az1_rack3_tor2_peer_asn),"Value Missing",input_wld_az1_rack3_tor2_peer_asn)</f>
        <v>Value Missing</v>
      </c>
      <c r="Q120" s="4" t="s">
        <v>169</v>
      </c>
      <c r="R120" s="8" t="str">
        <f>IF(ISBLANK(input_wld_az1_rack4_tor2_peer_asn),"Value Missing",input_wld_az1_rack4_tor2_peer_asn)</f>
        <v>Value Missing</v>
      </c>
      <c r="T120" s="4" t="s">
        <v>169</v>
      </c>
      <c r="U120" s="8" t="str">
        <f>IF(ISBLANK(input_wld_az1_rack5_tor2_peer_asn),"Value Missing",input_wld_az1_rack5_tor2_peer_asn)</f>
        <v>Value Missing</v>
      </c>
      <c r="W120" s="4" t="s">
        <v>169</v>
      </c>
      <c r="X120" s="8" t="str">
        <f>IF(ISBLANK(input_wld_az1_rack6_tor2_peer_asn),"Value Missing",input_wld_az1_rack6_tor2_peer_asn)</f>
        <v>Value Missing</v>
      </c>
      <c r="Z120" s="4" t="s">
        <v>169</v>
      </c>
      <c r="AA120" s="8" t="str">
        <f>IF(ISBLANK(input_wld_az1_rack7_tor2_peer_asn),"Value Missing",input_wld_az1_rack7_tor2_peer_asn)</f>
        <v>Value Missing</v>
      </c>
      <c r="AC120" s="4" t="s">
        <v>169</v>
      </c>
      <c r="AD120" s="8" t="str">
        <f>IF(ISBLANK(input_wld_az1_rack8_tor2_peer_asn),"Value Missing",input_wld_az1_rack8_tor2_peer_asn)</f>
        <v>Value Missing</v>
      </c>
      <c r="AG120" s="9"/>
      <c r="AH120" s="9"/>
      <c r="AI120" s="9"/>
      <c r="AJ120" s="9"/>
    </row>
    <row r="121" spans="2:36" s="7" customFormat="1" ht="20" customHeight="1" x14ac:dyDescent="0.2">
      <c r="B121" s="2"/>
      <c r="C121" s="2"/>
      <c r="E121" s="4" t="s">
        <v>170</v>
      </c>
      <c r="F121" s="8" t="str">
        <f>IF(ISBLANK(input_mgmt_az1_tor2_peer_bgp_password),"Value Missing",input_mgmt_az1_tor2_peer_bgp_password)</f>
        <v>Value Missing</v>
      </c>
      <c r="G121" s="2"/>
      <c r="H121" s="4" t="s">
        <v>170</v>
      </c>
      <c r="I121" s="8" t="str">
        <f>IF(ISBLANK(input_wld_az1_tor2_peer_bgp_password),"Value Missing",input_wld_az1_tor2_peer_bgp_password)</f>
        <v>Value Missing</v>
      </c>
      <c r="J121" s="2"/>
      <c r="K121" s="4" t="s">
        <v>170</v>
      </c>
      <c r="L121" s="8" t="str">
        <f>IF(ISBLANK(input_wld_az1_rack2_tor2_peer_bgp_password),"Value Missing",input_wld_az1_rack2_tor2_peer_bgp_password)</f>
        <v>Value Missing</v>
      </c>
      <c r="M121" s="2"/>
      <c r="N121" s="4" t="s">
        <v>170</v>
      </c>
      <c r="O121" s="8" t="str">
        <f>IF(ISBLANK(input_wld_az1_rack3_tor2_peer_bgp_password),"Value Missing",input_wld_az1_rack3_tor2_peer_bgp_password)</f>
        <v>Value Missing</v>
      </c>
      <c r="P121" s="2"/>
      <c r="Q121" s="4" t="s">
        <v>170</v>
      </c>
      <c r="R121" s="8" t="str">
        <f>IF(ISBLANK(input_wld_az1_rack4_tor2_peer_bgp_password),"Value Missing",input_wld_az1_rack4_tor2_peer_bgp_password)</f>
        <v>Value Missing</v>
      </c>
      <c r="S121" s="2"/>
      <c r="T121" s="4" t="s">
        <v>170</v>
      </c>
      <c r="U121" s="8" t="str">
        <f>IF(ISBLANK(input_wld_az1_rack5_tor2_peer_bgp_password),"Value Missing",input_wld_az1_rack5_tor2_peer_bgp_password)</f>
        <v>Value Missing</v>
      </c>
      <c r="V121" s="2"/>
      <c r="W121" s="4" t="s">
        <v>170</v>
      </c>
      <c r="X121" s="8" t="str">
        <f>IF(ISBLANK(input_wld_az1_rack6_tor2_peer_bgp_password),"Value Missing",input_wld_az1_rack6_tor2_peer_bgp_password)</f>
        <v>Value Missing</v>
      </c>
      <c r="Y121" s="2"/>
      <c r="Z121" s="4" t="s">
        <v>170</v>
      </c>
      <c r="AA121" s="8" t="str">
        <f>IF(ISBLANK(input_wld_az1_rack7_tor2_peer_bgp_password),"Value Missing",input_wld_az1_rack7_tor2_peer_bgp_password)</f>
        <v>Value Missing</v>
      </c>
      <c r="AB121" s="2"/>
      <c r="AC121" s="4" t="s">
        <v>170</v>
      </c>
      <c r="AD121" s="8" t="str">
        <f>IF(ISBLANK(input_wld_az1_rack8_tor2_peer_bgp_password),"Value Missing",input_wld_az1_rack8_tor2_peer_bgp_password)</f>
        <v>Value Missing</v>
      </c>
      <c r="AG121" s="9"/>
      <c r="AH121" s="9"/>
      <c r="AI121" s="25"/>
      <c r="AJ121" s="25"/>
    </row>
    <row r="122" spans="2:36" s="2" customFormat="1" ht="20" customHeight="1" x14ac:dyDescent="0.2">
      <c r="I122" s="3"/>
      <c r="L122" s="3"/>
      <c r="O122" s="3"/>
      <c r="R122" s="3"/>
      <c r="U122" s="3"/>
      <c r="X122" s="3"/>
      <c r="AA122" s="3"/>
      <c r="AD122" s="3"/>
      <c r="AG122" s="9"/>
      <c r="AH122" s="9"/>
    </row>
    <row r="123" spans="2:36" s="2" customFormat="1" ht="20" customHeight="1" x14ac:dyDescent="0.2">
      <c r="E123" s="14" t="s">
        <v>1147</v>
      </c>
      <c r="F123" s="15"/>
      <c r="H123" s="14" t="s">
        <v>1148</v>
      </c>
      <c r="I123" s="15"/>
      <c r="K123" s="14" t="s">
        <v>1149</v>
      </c>
      <c r="L123" s="15"/>
      <c r="N123" s="14" t="s">
        <v>1150</v>
      </c>
      <c r="O123" s="15"/>
      <c r="Q123" s="14" t="s">
        <v>1151</v>
      </c>
      <c r="R123" s="15"/>
      <c r="T123" s="14" t="s">
        <v>1152</v>
      </c>
      <c r="U123" s="15"/>
      <c r="W123" s="14" t="s">
        <v>1153</v>
      </c>
      <c r="X123" s="15"/>
      <c r="Z123" s="14" t="s">
        <v>1154</v>
      </c>
      <c r="AA123" s="15"/>
      <c r="AC123" s="14" t="s">
        <v>1155</v>
      </c>
      <c r="AD123" s="15"/>
      <c r="AG123" s="9"/>
      <c r="AH123" s="9"/>
    </row>
    <row r="124" spans="2:36" s="2" customFormat="1" ht="20" customHeight="1" x14ac:dyDescent="0.2">
      <c r="E124" s="17" t="s">
        <v>254</v>
      </c>
      <c r="F124" s="20" t="s">
        <v>1044</v>
      </c>
      <c r="H124" s="17" t="s">
        <v>254</v>
      </c>
      <c r="I124" s="20" t="s">
        <v>1044</v>
      </c>
      <c r="K124" s="17" t="s">
        <v>254</v>
      </c>
      <c r="L124" s="20" t="s">
        <v>1044</v>
      </c>
      <c r="N124" s="17" t="s">
        <v>254</v>
      </c>
      <c r="O124" s="20" t="s">
        <v>1044</v>
      </c>
      <c r="P124" s="21"/>
      <c r="Q124" s="17" t="s">
        <v>254</v>
      </c>
      <c r="R124" s="20" t="s">
        <v>1044</v>
      </c>
      <c r="S124" s="21"/>
      <c r="T124" s="17" t="s">
        <v>254</v>
      </c>
      <c r="U124" s="20" t="s">
        <v>1044</v>
      </c>
      <c r="V124" s="21"/>
      <c r="W124" s="17" t="s">
        <v>254</v>
      </c>
      <c r="X124" s="20" t="s">
        <v>1044</v>
      </c>
      <c r="Y124" s="21"/>
      <c r="Z124" s="17" t="s">
        <v>254</v>
      </c>
      <c r="AA124" s="20" t="s">
        <v>1044</v>
      </c>
      <c r="AB124" s="21"/>
      <c r="AC124" s="17" t="s">
        <v>254</v>
      </c>
      <c r="AD124" s="20" t="s">
        <v>1044</v>
      </c>
      <c r="AG124" s="9"/>
      <c r="AH124" s="9"/>
    </row>
    <row r="125" spans="2:36" s="2" customFormat="1" ht="20" customHeight="1" x14ac:dyDescent="0.2">
      <c r="E125" s="4" t="s">
        <v>1047</v>
      </c>
      <c r="F125" s="8" t="str">
        <f>IF(ISBLANK(input_mgmt_cl01_az1_mgmt_vm_pg),"Value Missing",input_mgmt_cl01_az1_mgmt_vm_pg)</f>
        <v>Value Missing</v>
      </c>
      <c r="H125" s="4" t="s">
        <v>1047</v>
      </c>
      <c r="I125" s="8" t="str">
        <f>IF(ISBLANK(input_wld_cl01_az1_mgmt_vm_pg),"Value Missing",input_wld_cl01_az1_mgmt_vm_pg)</f>
        <v>Value Missing</v>
      </c>
      <c r="K125" s="4" t="s">
        <v>1047</v>
      </c>
      <c r="L125" s="8" t="str">
        <f>CONCATENATE(input_wld_cl01_az1_mgmt_vm_pg,"_VLAN_",wld_az1_rack2_mgmt_vm_vlan)</f>
        <v>_VLAN_Value Missing</v>
      </c>
      <c r="N125" s="4" t="s">
        <v>1047</v>
      </c>
      <c r="O125" s="8" t="str">
        <f>CONCATENATE(input_wld_cl01_az1_mgmt_vm_pg,"_VLAN_",wld_az1_rack3_mgmt_vm_vlan)</f>
        <v>_VLAN_Value Missing</v>
      </c>
      <c r="Q125" s="4" t="s">
        <v>1047</v>
      </c>
      <c r="R125" s="8" t="str">
        <f>CONCATENATE(input_wld_cl01_az1_mgmt_vm_pg,"_VLAN_",wld_az1_rack4_mgmt_vm_vlan)</f>
        <v>_VLAN_Value Missing</v>
      </c>
      <c r="T125" s="4" t="s">
        <v>1047</v>
      </c>
      <c r="U125" s="8" t="str">
        <f>CONCATENATE(input_wld_cl01_az1_mgmt_vm_pg,"_VLAN_",wld_az1_rack5_mgmt_vm_vlan)</f>
        <v>_VLAN_Value Missing</v>
      </c>
      <c r="W125" s="4" t="s">
        <v>1047</v>
      </c>
      <c r="X125" s="8" t="str">
        <f>CONCATENATE(input_wld_cl01_az1_mgmt_vm_pg,"_VLAN_",wld_az1_rack6_mgmt_vm_vlan)</f>
        <v>_VLAN_Value Missing</v>
      </c>
      <c r="Z125" s="4" t="s">
        <v>1047</v>
      </c>
      <c r="AA125" s="8" t="str">
        <f>CONCATENATE(input_wld_cl01_az1_mgmt_vm_pg,"_VLAN_",wld_az1_rack7_mgmt_vm_vlan)</f>
        <v>_VLAN_Value Missing</v>
      </c>
      <c r="AC125" s="4" t="s">
        <v>1047</v>
      </c>
      <c r="AD125" s="8" t="str">
        <f>CONCATENATE(input_wld_cl01_az1_mgmt_vm_pg,"_VLAN_",wld_az1_rack8_mgmt_vm_vlan)</f>
        <v>_VLAN_Value Missing</v>
      </c>
      <c r="AG125" s="9"/>
      <c r="AH125" s="9"/>
    </row>
    <row r="126" spans="2:36" s="2" customFormat="1" ht="20" customHeight="1" x14ac:dyDescent="0.2">
      <c r="E126" s="4" t="s">
        <v>1049</v>
      </c>
      <c r="F126" s="8" t="str">
        <f>IF(ISBLANK(input_mgmt_cl01_az1_mgmt_pg),"Value Missing",input_mgmt_cl01_az1_mgmt_pg)</f>
        <v>Value Missing</v>
      </c>
      <c r="H126" s="4" t="s">
        <v>1049</v>
      </c>
      <c r="I126" s="8" t="str">
        <f>IF(ISBLANK(input_wld_cl01_az1_mgmt_pg),"Value Missing",input_wld_cl01_az1_mgmt_pg)</f>
        <v>Value Missing</v>
      </c>
      <c r="K126" s="4" t="s">
        <v>1049</v>
      </c>
      <c r="L126" s="26" t="str">
        <f>CONCATENATE(input_wld_cl01_az1_mgmt_pg,"_VLAN_",wld_az1_rack2_mgmt_vlan)</f>
        <v>_VLAN_Value Missing</v>
      </c>
      <c r="N126" s="4" t="s">
        <v>1049</v>
      </c>
      <c r="O126" s="8" t="str">
        <f>CONCATENATE(input_wld_cl01_az1_mgmt_pg,"_VLAN_",wld_az1_rack3_mgmt_vlan)</f>
        <v>_VLAN_Value Missing</v>
      </c>
      <c r="Q126" s="4" t="s">
        <v>1049</v>
      </c>
      <c r="R126" s="8" t="str">
        <f>CONCATENATE(input_wld_cl01_az1_mgmt_pg,"_VLAN_",wld_az1_rack4_mgmt_vlan)</f>
        <v>_VLAN_Value Missing</v>
      </c>
      <c r="T126" s="4" t="s">
        <v>1049</v>
      </c>
      <c r="U126" s="8" t="str">
        <f>CONCATENATE(input_wld_cl01_az1_mgmt_pg,"_VLAN_",wld_az1_rack5_mgmt_vlan)</f>
        <v>_VLAN_Value Missing</v>
      </c>
      <c r="W126" s="4" t="s">
        <v>1049</v>
      </c>
      <c r="X126" s="8" t="str">
        <f>CONCATENATE(input_wld_cl01_az1_mgmt_pg,"_VLAN_",wld_az1_rack6_mgmt_vlan)</f>
        <v>_VLAN_Value Missing</v>
      </c>
      <c r="Z126" s="4" t="s">
        <v>1049</v>
      </c>
      <c r="AA126" s="8" t="str">
        <f>CONCATENATE(input_wld_cl01_az1_mgmt_pg,"_VLAN_",wld_az1_rack7_mgmt_vlan)</f>
        <v>_VLAN_Value Missing</v>
      </c>
      <c r="AC126" s="4" t="s">
        <v>1049</v>
      </c>
      <c r="AD126" s="8" t="str">
        <f>CONCATENATE(input_wld_cl01_az1_mgmt_pg,"_VLAN_",wld_az1_rack8_mgmt_vlan)</f>
        <v>_VLAN_Value Missing</v>
      </c>
      <c r="AG126" s="9"/>
      <c r="AH126" s="9"/>
    </row>
    <row r="127" spans="2:36" s="2" customFormat="1" ht="20" customHeight="1" x14ac:dyDescent="0.2">
      <c r="E127" s="4" t="s">
        <v>244</v>
      </c>
      <c r="F127" s="8" t="str">
        <f>IF(ISBLANK(input_mgmt_cl01_az1_vmotion_pg),"Value Missing",input_mgmt_cl01_az1_vmotion_pg)</f>
        <v>Value Missing</v>
      </c>
      <c r="H127" s="4" t="s">
        <v>244</v>
      </c>
      <c r="I127" s="8" t="str">
        <f>IF(ISBLANK(input_wld_cl01_az1_vmotion_pg),"Value Missing",input_wld_cl01_az1_vmotion_pg)</f>
        <v>Value Missing</v>
      </c>
      <c r="K127" s="4" t="s">
        <v>244</v>
      </c>
      <c r="L127" s="8" t="str">
        <f>CONCATENATE(input_wld_cl01_az1_vmotion_pg,"_VLAN_",wld_az1_rack2_vmotion_vlan)</f>
        <v>_VLAN_Value Missing</v>
      </c>
      <c r="N127" s="4" t="s">
        <v>244</v>
      </c>
      <c r="O127" s="8" t="str">
        <f>CONCATENATE(input_wld_cl01_az1_vmotion_pg,"_VLAN_",wld_az1_rack3_vmotion_vlan)</f>
        <v>_VLAN_Value Missing</v>
      </c>
      <c r="Q127" s="4" t="s">
        <v>244</v>
      </c>
      <c r="R127" s="8" t="str">
        <f>CONCATENATE(input_wld_cl01_az1_vmotion_pg,"_VLAN_",wld_az1_rack4_vmotion_vlan)</f>
        <v>_VLAN_Value Missing</v>
      </c>
      <c r="T127" s="4" t="s">
        <v>244</v>
      </c>
      <c r="U127" s="8" t="str">
        <f>CONCATENATE(input_wld_cl01_az1_vmotion_pg,"_VLAN_",wld_az1_rack5_vmotion_vlan)</f>
        <v>_VLAN_Value Missing</v>
      </c>
      <c r="W127" s="4" t="s">
        <v>244</v>
      </c>
      <c r="X127" s="8" t="str">
        <f>CONCATENATE(input_wld_cl01_az1_vmotion_pg,"_VLAN_",wld_az1_rack6_vmotion_vlan)</f>
        <v>_VLAN_Value Missing</v>
      </c>
      <c r="Z127" s="4" t="s">
        <v>244</v>
      </c>
      <c r="AA127" s="8" t="str">
        <f>CONCATENATE(input_wld_cl01_az1_vmotion_pg,"_VLAN_",wld_az1_rack7_vmotion_vlan)</f>
        <v>_VLAN_Value Missing</v>
      </c>
      <c r="AC127" s="4" t="s">
        <v>244</v>
      </c>
      <c r="AD127" s="8" t="str">
        <f>CONCATENATE(input_wld_cl01_az1_vmotion_pg,"_VLAN_",wld_az1_rack8_vmotion_vlan)</f>
        <v>_VLAN_Value Missing</v>
      </c>
      <c r="AG127" s="9"/>
      <c r="AH127" s="9"/>
    </row>
    <row r="128" spans="2:36" s="2" customFormat="1" ht="20" customHeight="1" x14ac:dyDescent="0.2">
      <c r="E128" s="4" t="s">
        <v>250</v>
      </c>
      <c r="F128" s="8" t="str">
        <f>IF(ISBLANK(input_mgmt_cl01_az1_vsan_pg),"Value Missing",input_mgmt_cl01_az1_vsan_pg)</f>
        <v>Value Missing</v>
      </c>
      <c r="H128" s="4" t="s">
        <v>250</v>
      </c>
      <c r="I128" s="8" t="str">
        <f>IF(ISBLANK(input_wld_cl01_az1_principal_storage_pg),"Value Missing",input_wld_cl01_az1_principal_storage_pg)</f>
        <v>Value Missing</v>
      </c>
      <c r="K128" s="4" t="s">
        <v>250</v>
      </c>
      <c r="L128" s="8" t="str">
        <f>CONCATENATE(input_wld_cl01_az1_principal_storage_pg,"_VLAN_",wld_az1_rack2_principal_storage_vlan)</f>
        <v>_VLAN_Value Missing</v>
      </c>
      <c r="N128" s="4" t="s">
        <v>250</v>
      </c>
      <c r="O128" s="8" t="str">
        <f>CONCATENATE(input_wld_cl01_az1_principal_storage_pg,"_VLAN_",wld_az1_rack3_principal_storage_vlan)</f>
        <v>_VLAN_Value Missing</v>
      </c>
      <c r="Q128" s="4" t="s">
        <v>250</v>
      </c>
      <c r="R128" s="8" t="str">
        <f>CONCATENATE(input_wld_cl01_az1_principal_storage_pg,"_VLAN_",wld_az1_rack4_principal_storage_vlan)</f>
        <v>_VLAN_Value Missing</v>
      </c>
      <c r="T128" s="4" t="s">
        <v>250</v>
      </c>
      <c r="U128" s="8" t="str">
        <f>CONCATENATE(input_wld_cl01_az1_principal_storage_pg,"_VLAN_",wld_az1_rack5_principal_storage_vlan)</f>
        <v>_VLAN_Value Missing</v>
      </c>
      <c r="W128" s="4" t="s">
        <v>250</v>
      </c>
      <c r="X128" s="8" t="str">
        <f>CONCATENATE(input_wld_cl01_az1_principal_storage_pg,"_VLAN_",wld_az1_rack6_principal_storage_vlan)</f>
        <v>_VLAN_Value Missing</v>
      </c>
      <c r="Z128" s="4" t="s">
        <v>250</v>
      </c>
      <c r="AA128" s="8" t="str">
        <f>CONCATENATE(input_wld_cl01_az1_principal_storage_pg,"_VLAN_",wld_az1_rack7_principal_storage_vlan)</f>
        <v>_VLAN_Value Missing</v>
      </c>
      <c r="AC128" s="4" t="s">
        <v>250</v>
      </c>
      <c r="AD128" s="8" t="str">
        <f>CONCATENATE(input_wld_cl01_az1_principal_storage_pg,"_VLAN_",wld_az1_rack8_principal_storage_vlan)</f>
        <v>_VLAN_Value Missing</v>
      </c>
      <c r="AG128" s="9"/>
      <c r="AH128" s="9"/>
    </row>
    <row r="129" spans="2:34" s="2" customFormat="1" ht="20" customHeight="1" x14ac:dyDescent="0.2">
      <c r="E129" s="4" t="s">
        <v>1053</v>
      </c>
      <c r="F129" s="8" t="s">
        <v>588</v>
      </c>
      <c r="H129" s="4" t="s">
        <v>1053</v>
      </c>
      <c r="I129" s="8" t="s">
        <v>588</v>
      </c>
      <c r="K129" s="4" t="s">
        <v>1058</v>
      </c>
      <c r="L129" s="8" t="str">
        <f>CONCATENATE(input_wld_cl01_az1_uplink01_pg,"_VLAN_",wld_az1_rack2_uplink01_vlan)</f>
        <v>_VLAN_Value Missing</v>
      </c>
      <c r="N129" s="4" t="s">
        <v>1058</v>
      </c>
      <c r="O129" s="8" t="str">
        <f>CONCATENATE(input_wld_cl01_az1_uplink01_pg,"_VLAN_",wld_az1_rack3_uplink01_vlan)</f>
        <v>_VLAN_Value Missing</v>
      </c>
      <c r="Q129" s="4" t="s">
        <v>1058</v>
      </c>
      <c r="R129" s="8" t="str">
        <f>CONCATENATE(input_wld_cl01_az1_uplink01_pg,"_VLAN_",wld_az1_rack4_uplink01_vlan)</f>
        <v>_VLAN_Value Missing</v>
      </c>
      <c r="T129" s="4" t="s">
        <v>1058</v>
      </c>
      <c r="U129" s="8" t="str">
        <f>CONCATENATE(input_wld_cl01_az1_uplink01_pg,"_VLAN_",wld_az1_rack5_uplink01_vlan)</f>
        <v>_VLAN_Value Missing</v>
      </c>
      <c r="W129" s="4" t="s">
        <v>1058</v>
      </c>
      <c r="X129" s="8" t="str">
        <f>CONCATENATE(input_wld_cl01_az1_uplink01_pg,"_VLAN_",wld_az1_rack6_uplink01_vlan)</f>
        <v>_VLAN_Value Missing</v>
      </c>
      <c r="Z129" s="4" t="s">
        <v>1058</v>
      </c>
      <c r="AA129" s="8" t="str">
        <f>CONCATENATE(input_wld_cl01_az1_uplink01_pg,"_VLAN_",wld_az1_rack7_uplink01_vlan)</f>
        <v>_VLAN_Value Missing</v>
      </c>
      <c r="AC129" s="4" t="s">
        <v>1058</v>
      </c>
      <c r="AD129" s="8" t="str">
        <f>CONCATENATE(input_wld_cl01_az1_uplink01_pg,"_VLAN_",wld_az1_rack8_uplink01_vlan)</f>
        <v>_VLAN_Value Missing</v>
      </c>
      <c r="AG129" s="9"/>
      <c r="AH129" s="9"/>
    </row>
    <row r="130" spans="2:34" s="2" customFormat="1" ht="20" customHeight="1" x14ac:dyDescent="0.2">
      <c r="E130" s="4" t="s">
        <v>1066</v>
      </c>
      <c r="F130" s="8" t="str">
        <f>mgmt_vrms_pg</f>
        <v>Value Missing</v>
      </c>
      <c r="G130" s="6"/>
      <c r="H130" s="4" t="s">
        <v>1066</v>
      </c>
      <c r="I130" s="8" t="str">
        <f>wld_vrms_pg</f>
        <v>Value Missing</v>
      </c>
      <c r="K130" s="4" t="s">
        <v>1060</v>
      </c>
      <c r="L130" s="8" t="str">
        <f>CONCATENATE(input_wld_cl01_az1_uplink02_pg,"_VLAN_",wld_az1_rack2_uplink02_vlan)</f>
        <v>_VLAN_Value Missing</v>
      </c>
      <c r="N130" s="4" t="s">
        <v>1060</v>
      </c>
      <c r="O130" s="8" t="str">
        <f>CONCATENATE(input_wld_cl01_az1_uplink02_pg,"_VLAN_",wld_az1_rack3_uplink02_vlan)</f>
        <v>_VLAN_Value Missing</v>
      </c>
      <c r="Q130" s="4" t="s">
        <v>1060</v>
      </c>
      <c r="R130" s="8" t="str">
        <f>CONCATENATE(input_wld_cl01_az1_uplink02_pg,"_VLAN_",wld_az1_rack4_uplink02_vlan)</f>
        <v>_VLAN_Value Missing</v>
      </c>
      <c r="T130" s="4" t="s">
        <v>1060</v>
      </c>
      <c r="U130" s="8" t="str">
        <f>CONCATENATE(input_wld_cl01_az1_uplink02_pg,"_VLAN_",wld_az1_rack5_uplink02_vlan)</f>
        <v>_VLAN_Value Missing</v>
      </c>
      <c r="W130" s="4" t="s">
        <v>1060</v>
      </c>
      <c r="X130" s="8" t="str">
        <f>CONCATENATE(input_wld_cl01_az1_uplink02_pg,"_VLAN_",wld_az1_rack6_uplink02_vlan)</f>
        <v>_VLAN_Value Missing</v>
      </c>
      <c r="Z130" s="4" t="s">
        <v>1060</v>
      </c>
      <c r="AA130" s="8" t="str">
        <f>CONCATENATE(input_wld_cl01_az1_uplink02_pg,"_VLAN_",wld_az1_rack7_uplink02_vlan)</f>
        <v>_VLAN_Value Missing</v>
      </c>
      <c r="AC130" s="4" t="s">
        <v>1060</v>
      </c>
      <c r="AD130" s="8" t="str">
        <f>CONCATENATE(input_wld_cl01_az1_uplink02_pg,"_VLAN_",wld_az1_rack8_uplink02_vlan)</f>
        <v>_VLAN_Value Missing</v>
      </c>
      <c r="AG130" s="9"/>
      <c r="AH130" s="9"/>
    </row>
    <row r="131" spans="2:34" s="2" customFormat="1" ht="20" customHeight="1" x14ac:dyDescent="0.2">
      <c r="E131" s="4" t="s">
        <v>1058</v>
      </c>
      <c r="F131" s="8" t="str">
        <f>IF(ISBLANK(input_mgmt_cl01_az1_uplink01_pg),"Value Missing",input_mgmt_cl01_az1_uplink01_pg)</f>
        <v>Value Missing</v>
      </c>
      <c r="H131" s="4" t="s">
        <v>1058</v>
      </c>
      <c r="I131" s="8" t="str">
        <f>IF(ISBLANK(input_wld_cl01_az1_uplink01_pg),"Value Missing",input_wld_cl01_az1_uplink01_pg)</f>
        <v>Value Missing</v>
      </c>
      <c r="K131" s="6"/>
      <c r="L131" s="6"/>
      <c r="N131" s="6"/>
      <c r="O131" s="6"/>
      <c r="Q131" s="6"/>
      <c r="R131" s="6"/>
      <c r="T131" s="6"/>
      <c r="U131" s="6"/>
      <c r="W131" s="6"/>
      <c r="X131" s="6"/>
      <c r="Z131" s="6"/>
      <c r="AA131" s="6"/>
      <c r="AC131" s="6"/>
      <c r="AD131" s="6"/>
      <c r="AG131" s="9"/>
      <c r="AH131" s="9"/>
    </row>
    <row r="132" spans="2:34" s="2" customFormat="1" ht="20" customHeight="1" x14ac:dyDescent="0.2">
      <c r="E132" s="4" t="s">
        <v>1060</v>
      </c>
      <c r="F132" s="8" t="str">
        <f>IF(ISBLANK(input_mgmt_cl01_az1_uplink02_pg),"Value Missing",input_mgmt_cl01_az1_uplink02_pg)</f>
        <v>Value Missing</v>
      </c>
      <c r="H132" s="4" t="s">
        <v>1060</v>
      </c>
      <c r="I132" s="8" t="str">
        <f>IF(ISBLANK(input_wld_cl01_az1_uplink02_pg),"Value Missing",input_wld_cl01_az1_uplink02_pg)</f>
        <v>Value Missing</v>
      </c>
      <c r="K132" s="6"/>
      <c r="L132" s="6"/>
      <c r="N132" s="6"/>
      <c r="O132" s="6"/>
      <c r="Q132" s="6"/>
      <c r="R132" s="6"/>
      <c r="T132" s="6"/>
      <c r="U132" s="6"/>
      <c r="W132" s="6"/>
      <c r="X132" s="6"/>
      <c r="Z132" s="6"/>
      <c r="AA132" s="6"/>
      <c r="AC132" s="6"/>
      <c r="AD132" s="6"/>
      <c r="AG132" s="9"/>
      <c r="AH132" s="9"/>
    </row>
    <row r="133" spans="2:34" s="2" customFormat="1" ht="20" customHeight="1" x14ac:dyDescent="0.2">
      <c r="B133" s="7"/>
      <c r="C133" s="7"/>
      <c r="E133" s="23" t="s">
        <v>1062</v>
      </c>
      <c r="F133" s="8" t="s">
        <v>588</v>
      </c>
      <c r="H133" s="23" t="s">
        <v>1062</v>
      </c>
      <c r="I133" s="8" t="s">
        <v>588</v>
      </c>
      <c r="K133" s="6"/>
      <c r="L133" s="6"/>
      <c r="N133" s="6"/>
      <c r="O133" s="6"/>
      <c r="Q133" s="6"/>
      <c r="R133" s="6"/>
      <c r="T133" s="6"/>
      <c r="U133" s="6"/>
      <c r="W133" s="6"/>
      <c r="X133" s="6"/>
      <c r="Z133" s="6"/>
      <c r="AA133" s="6"/>
      <c r="AC133" s="6"/>
      <c r="AD133" s="6"/>
      <c r="AG133" s="9"/>
      <c r="AH133" s="9"/>
    </row>
    <row r="134" spans="2:34" s="2" customFormat="1" ht="20" customHeight="1" x14ac:dyDescent="0.2">
      <c r="E134" s="4" t="s">
        <v>1064</v>
      </c>
      <c r="F134" s="8" t="s">
        <v>588</v>
      </c>
      <c r="H134" s="4" t="s">
        <v>1156</v>
      </c>
      <c r="I134" s="8" t="s">
        <v>588</v>
      </c>
      <c r="K134" s="6"/>
      <c r="L134" s="6"/>
      <c r="N134" s="6"/>
      <c r="O134" s="6"/>
      <c r="Q134" s="6"/>
      <c r="R134" s="6"/>
      <c r="T134" s="6"/>
      <c r="U134" s="6"/>
      <c r="W134" s="6"/>
      <c r="X134" s="6"/>
      <c r="Z134" s="6"/>
      <c r="AA134" s="6"/>
      <c r="AC134" s="6"/>
      <c r="AD134" s="6"/>
      <c r="AG134" s="9"/>
      <c r="AH134" s="9"/>
    </row>
    <row r="135" spans="2:34" s="2" customFormat="1" ht="20" customHeight="1" x14ac:dyDescent="0.2">
      <c r="E135" s="4" t="s">
        <v>1157</v>
      </c>
      <c r="F135" s="8" t="str">
        <f>IF(ISBLANK(input_mgmt_cl01_az1_nfs_pg),"Value Missing",input_mgmt_cl01_az1_nfs_pg)</f>
        <v>Value Missing</v>
      </c>
      <c r="H135" s="4" t="s">
        <v>1158</v>
      </c>
      <c r="I135" s="8" t="str">
        <f>IF(ISBLANK(input_wld_cl01_az1_vsan_storage_client_pg),"Value Missing",input_wld_cl01_az1_vsan_storage_client_pg)</f>
        <v>Value Missing</v>
      </c>
      <c r="K135" s="6"/>
      <c r="L135" s="6"/>
      <c r="N135" s="6"/>
      <c r="O135" s="6"/>
      <c r="Q135" s="6"/>
      <c r="R135" s="6"/>
      <c r="T135" s="6"/>
      <c r="U135" s="6"/>
      <c r="W135" s="6"/>
      <c r="X135" s="6"/>
      <c r="Z135" s="6"/>
      <c r="AA135" s="6"/>
      <c r="AC135" s="6"/>
      <c r="AD135" s="6"/>
      <c r="AG135" s="9"/>
      <c r="AH135" s="9"/>
    </row>
    <row r="136" spans="2:34" s="2" customFormat="1" ht="20" customHeight="1" x14ac:dyDescent="0.2">
      <c r="E136" s="4" t="s">
        <v>3721</v>
      </c>
      <c r="F136" s="8" t="str">
        <f>IF(ISBLANK(input_mgmt_cl01_az1_vcf_mgmt_pg),"Value Missing",input_mgmt_cl01_az1_vcf_mgmt_pg)</f>
        <v>Value Missing</v>
      </c>
      <c r="H136" s="6"/>
      <c r="K136" s="6"/>
      <c r="L136" s="6"/>
      <c r="N136" s="6"/>
      <c r="O136" s="6"/>
      <c r="Q136" s="6"/>
      <c r="R136" s="6"/>
      <c r="T136" s="6"/>
      <c r="U136" s="6"/>
      <c r="W136" s="6"/>
      <c r="X136" s="6"/>
      <c r="Z136" s="6"/>
      <c r="AA136" s="6"/>
      <c r="AC136" s="6"/>
      <c r="AD136" s="6"/>
      <c r="AG136" s="9"/>
      <c r="AH136" s="9"/>
    </row>
    <row r="137" spans="2:34" s="2" customFormat="1" ht="20" customHeight="1" x14ac:dyDescent="0.2">
      <c r="E137" s="6"/>
      <c r="F137" s="6"/>
      <c r="H137" s="6"/>
      <c r="I137" s="6"/>
      <c r="K137" s="6"/>
      <c r="L137" s="6"/>
      <c r="N137" s="6"/>
      <c r="O137" s="6"/>
      <c r="Q137" s="6"/>
      <c r="R137" s="6"/>
      <c r="T137" s="6"/>
      <c r="U137" s="6"/>
      <c r="W137" s="6"/>
      <c r="X137" s="6"/>
      <c r="Z137" s="6"/>
      <c r="AA137" s="6"/>
      <c r="AC137" s="6"/>
      <c r="AD137" s="6"/>
      <c r="AG137" s="9"/>
      <c r="AH137" s="9"/>
    </row>
    <row r="138" spans="2:34" s="2" customFormat="1" ht="20" customHeight="1" x14ac:dyDescent="0.2">
      <c r="E138" s="14" t="s">
        <v>3866</v>
      </c>
      <c r="F138" s="15"/>
      <c r="H138" s="14" t="s">
        <v>1159</v>
      </c>
      <c r="I138" s="15"/>
      <c r="K138" s="6"/>
      <c r="L138" s="6"/>
      <c r="N138" s="6"/>
      <c r="O138" s="6"/>
      <c r="Q138" s="6"/>
      <c r="R138" s="6"/>
      <c r="T138" s="6"/>
      <c r="U138" s="6"/>
      <c r="W138" s="6"/>
      <c r="X138" s="6"/>
      <c r="Z138" s="6"/>
      <c r="AA138" s="6"/>
      <c r="AC138" s="6"/>
      <c r="AD138" s="6"/>
      <c r="AG138" s="9"/>
      <c r="AH138" s="9"/>
    </row>
    <row r="139" spans="2:34" s="2" customFormat="1" ht="20" customHeight="1" x14ac:dyDescent="0.2">
      <c r="E139" s="17" t="s">
        <v>254</v>
      </c>
      <c r="F139" s="20" t="s">
        <v>1044</v>
      </c>
      <c r="H139" s="17" t="s">
        <v>254</v>
      </c>
      <c r="I139" s="20" t="s">
        <v>1044</v>
      </c>
      <c r="K139" s="6"/>
      <c r="L139" s="6"/>
      <c r="N139" s="6"/>
      <c r="O139" s="6"/>
      <c r="Q139" s="6"/>
      <c r="R139" s="6"/>
      <c r="T139" s="6"/>
      <c r="U139" s="6"/>
      <c r="W139" s="6"/>
      <c r="X139" s="6"/>
      <c r="Z139" s="6"/>
      <c r="AA139" s="6"/>
      <c r="AC139" s="6"/>
      <c r="AD139" s="6"/>
      <c r="AG139" s="9"/>
      <c r="AH139" s="9"/>
    </row>
    <row r="140" spans="2:34" s="2" customFormat="1" ht="20" customHeight="1" x14ac:dyDescent="0.2">
      <c r="E140" s="4" t="s">
        <v>1160</v>
      </c>
      <c r="F140" s="8" t="str">
        <f>IF(ISBLANK(mgmt_cl01_az1_mgmt_vm_uplink1_chosen),"Value Missing",mgmt_cl01_az1_mgmt_vm_uplink1_chosen)</f>
        <v>Active</v>
      </c>
      <c r="H140" s="4" t="s">
        <v>1160</v>
      </c>
      <c r="I140" s="8" t="str">
        <f>IF(ISBLANK(wld_cl01_az1_mgmt_vm_uplink1_chosen),"Value Missing",wld_cl01_az1_mgmt_vm_uplink1_chosen)</f>
        <v>Active</v>
      </c>
      <c r="K140" s="6"/>
      <c r="L140" s="6"/>
      <c r="N140" s="6"/>
      <c r="O140" s="6"/>
      <c r="Q140" s="6"/>
      <c r="R140" s="6"/>
      <c r="T140" s="6"/>
      <c r="U140" s="6"/>
      <c r="W140" s="6"/>
      <c r="X140" s="6"/>
      <c r="Z140" s="6"/>
      <c r="AA140" s="6"/>
      <c r="AC140" s="6"/>
      <c r="AD140" s="6"/>
      <c r="AG140" s="9"/>
      <c r="AH140" s="9"/>
    </row>
    <row r="141" spans="2:34" s="2" customFormat="1" ht="20" customHeight="1" x14ac:dyDescent="0.2">
      <c r="E141" s="4" t="s">
        <v>1161</v>
      </c>
      <c r="F141" s="8" t="str">
        <f>IF(ISBLANK(mgmt_cl01_az1_mgmt_vm_uplink2_chosen),"Value Missing",mgmt_cl01_az1_mgmt_vm_uplink2_chosen)</f>
        <v>Active</v>
      </c>
      <c r="H141" s="4" t="s">
        <v>1161</v>
      </c>
      <c r="I141" s="8" t="str">
        <f>IF(ISBLANK(wld_cl01_az1_mgmt_vm_uplink2_chosen),"Value Missing",wld_cl01_az1_mgmt_vm_uplink2_chosen)</f>
        <v>Active</v>
      </c>
      <c r="K141" s="6"/>
      <c r="L141" s="6"/>
      <c r="N141" s="6"/>
      <c r="O141" s="6"/>
      <c r="Q141" s="6"/>
      <c r="R141" s="6"/>
      <c r="T141" s="6"/>
      <c r="U141" s="6"/>
      <c r="W141" s="6"/>
      <c r="X141" s="6"/>
      <c r="Z141" s="6"/>
      <c r="AA141" s="6"/>
      <c r="AC141" s="6"/>
      <c r="AD141" s="6"/>
      <c r="AG141" s="9"/>
      <c r="AH141" s="9"/>
    </row>
    <row r="142" spans="2:34" s="2" customFormat="1" ht="20" customHeight="1" x14ac:dyDescent="0.2">
      <c r="E142" s="4" t="s">
        <v>1162</v>
      </c>
      <c r="F142" s="8" t="str">
        <f>IF(ISBLANK(mgmt_cl01_az1_mgmt_uplink1_chosen),"Value Missing",mgmt_cl01_az1_mgmt_uplink1_chosen)</f>
        <v>Active</v>
      </c>
      <c r="H142" s="4" t="s">
        <v>1162</v>
      </c>
      <c r="I142" s="8" t="str">
        <f>IF(ISBLANK(wld_cl01_az1_mgmt_uplink1_chosen),"Value Missing",wld_cl01_az1_mgmt_uplink1_chosen)</f>
        <v>Active</v>
      </c>
      <c r="K142" s="6"/>
      <c r="L142" s="6"/>
      <c r="N142" s="6"/>
      <c r="O142" s="6"/>
      <c r="Q142" s="6"/>
      <c r="R142" s="6"/>
      <c r="T142" s="6"/>
      <c r="U142" s="6"/>
      <c r="W142" s="6"/>
      <c r="X142" s="6"/>
      <c r="Z142" s="6"/>
      <c r="AA142" s="6"/>
      <c r="AC142" s="6"/>
      <c r="AD142" s="6"/>
      <c r="AG142" s="9"/>
      <c r="AH142" s="9"/>
    </row>
    <row r="143" spans="2:34" s="2" customFormat="1" ht="20" customHeight="1" x14ac:dyDescent="0.2">
      <c r="E143" s="4" t="s">
        <v>1163</v>
      </c>
      <c r="F143" s="8" t="str">
        <f>IF(ISBLANK(mgmt_cl01_az1_mgmt_uplink2_chosen),"Value Missing",mgmt_cl01_az1_mgmt_uplink2_chosen)</f>
        <v>Active</v>
      </c>
      <c r="H143" s="4" t="s">
        <v>1163</v>
      </c>
      <c r="I143" s="8" t="str">
        <f>IF(ISBLANK(wld_cl01_az1_mgmt_uplink2_chosen),"Value Missing",wld_cl01_az1_mgmt_uplink2_chosen)</f>
        <v>Active</v>
      </c>
      <c r="K143" s="6"/>
      <c r="L143" s="6"/>
      <c r="N143" s="6"/>
      <c r="O143" s="6"/>
      <c r="Q143" s="6"/>
      <c r="R143" s="6"/>
      <c r="T143" s="6"/>
      <c r="U143" s="6"/>
      <c r="W143" s="6"/>
      <c r="X143" s="6"/>
      <c r="Z143" s="6"/>
      <c r="AA143" s="6"/>
      <c r="AC143" s="6"/>
      <c r="AD143" s="6"/>
      <c r="AG143" s="9"/>
      <c r="AH143" s="9"/>
    </row>
    <row r="144" spans="2:34" s="2" customFormat="1" ht="20" customHeight="1" x14ac:dyDescent="0.2">
      <c r="E144" s="4" t="s">
        <v>1164</v>
      </c>
      <c r="F144" s="8" t="str">
        <f>IF(ISBLANK(mgmt_cl01_az1_vmotion_uplink1_chosen),"Value Missing",mgmt_cl01_az1_vmotion_uplink1_chosen)</f>
        <v>Active</v>
      </c>
      <c r="H144" s="4" t="s">
        <v>1164</v>
      </c>
      <c r="I144" s="8" t="str">
        <f>IF(ISBLANK(wld_cl01_az1_vmotion_uplink1_chosen),"Value Missing",wld_cl01_az1_vmotion_uplink1_chosen)</f>
        <v>Active</v>
      </c>
      <c r="K144" s="6"/>
      <c r="L144" s="6"/>
      <c r="N144" s="6"/>
      <c r="O144" s="6"/>
      <c r="Q144" s="6"/>
      <c r="R144" s="6"/>
      <c r="T144" s="6"/>
      <c r="U144" s="6"/>
      <c r="W144" s="6"/>
      <c r="X144" s="6"/>
      <c r="Z144" s="6"/>
      <c r="AA144" s="6"/>
      <c r="AC144" s="6"/>
      <c r="AD144" s="6"/>
      <c r="AG144" s="9"/>
      <c r="AH144" s="9"/>
    </row>
    <row r="145" spans="5:34" s="2" customFormat="1" ht="20" customHeight="1" x14ac:dyDescent="0.2">
      <c r="E145" s="4" t="s">
        <v>1165</v>
      </c>
      <c r="F145" s="8" t="str">
        <f>IF(ISBLANK(mgmt_cl01_az1_vmotion_uplink2_chosen),"Value Missing",mgmt_cl01_az1_vmotion_uplink2_chosen)</f>
        <v>Active</v>
      </c>
      <c r="H145" s="4" t="s">
        <v>1165</v>
      </c>
      <c r="I145" s="8" t="str">
        <f>IF(ISBLANK(wld_cl01_az1_vmotion_uplink2_chosen),"Value Missing",wld_cl01_az1_vmotion_uplink2_chosen)</f>
        <v>Active</v>
      </c>
      <c r="K145" s="6"/>
      <c r="L145" s="6"/>
      <c r="N145" s="6"/>
      <c r="O145" s="6"/>
      <c r="Q145" s="6"/>
      <c r="R145" s="6"/>
      <c r="T145" s="6"/>
      <c r="U145" s="6"/>
      <c r="W145" s="6"/>
      <c r="X145" s="6"/>
      <c r="Z145" s="6"/>
      <c r="AA145" s="6"/>
      <c r="AC145" s="6"/>
      <c r="AD145" s="6"/>
      <c r="AG145" s="9"/>
      <c r="AH145" s="9"/>
    </row>
    <row r="146" spans="5:34" s="2" customFormat="1" ht="20" customHeight="1" x14ac:dyDescent="0.2">
      <c r="E146" s="4" t="s">
        <v>1166</v>
      </c>
      <c r="F146" s="8" t="str">
        <f>IF(ISBLANK(mgmt_cl01_az1_vsan_uplink1_chosen),"Value Missing",mgmt_cl01_az1_vsan_uplink1_chosen)</f>
        <v>Active</v>
      </c>
      <c r="H146" s="4" t="s">
        <v>1166</v>
      </c>
      <c r="I146" s="8" t="str">
        <f>IF(ISBLANK(wld_cl01_az1_vsan_uplink1_chosen),"Value Missing",wld_cl01_az1_vsan_uplink1_chosen)</f>
        <v>Active</v>
      </c>
      <c r="K146" s="6"/>
      <c r="L146" s="6"/>
      <c r="N146" s="6"/>
      <c r="O146" s="6"/>
      <c r="Q146" s="6"/>
      <c r="R146" s="6"/>
      <c r="T146" s="6"/>
      <c r="U146" s="6"/>
      <c r="W146" s="6"/>
      <c r="X146" s="6"/>
      <c r="Z146" s="6"/>
      <c r="AA146" s="6"/>
      <c r="AC146" s="6"/>
      <c r="AD146" s="6"/>
      <c r="AG146" s="9"/>
      <c r="AH146" s="9"/>
    </row>
    <row r="147" spans="5:34" s="2" customFormat="1" ht="20" customHeight="1" x14ac:dyDescent="0.2">
      <c r="E147" s="4" t="s">
        <v>1167</v>
      </c>
      <c r="F147" s="8" t="str">
        <f>IF(ISBLANK(mgmt_cl01_az1_vsan_uplink2_chosen),"Value Missing",mgmt_cl01_az1_vsan_uplink2_chosen)</f>
        <v>Active</v>
      </c>
      <c r="H147" s="4" t="s">
        <v>1167</v>
      </c>
      <c r="I147" s="8" t="str">
        <f>IF(ISBLANK(wld_cl01_az1_vsan_uplink2_chosen),"Value Missing",wld_cl01_az1_vsan_uplink2_chosen)</f>
        <v>Active</v>
      </c>
      <c r="K147" s="6"/>
      <c r="L147" s="6"/>
      <c r="N147" s="6"/>
      <c r="O147" s="6"/>
      <c r="Q147" s="6"/>
      <c r="R147" s="6"/>
      <c r="T147" s="6"/>
      <c r="U147" s="6"/>
      <c r="W147" s="6"/>
      <c r="X147" s="6"/>
      <c r="Z147" s="6"/>
      <c r="AA147" s="6"/>
      <c r="AC147" s="6"/>
      <c r="AD147" s="6"/>
      <c r="AG147" s="9"/>
      <c r="AH147" s="9"/>
    </row>
    <row r="148" spans="5:34" s="2" customFormat="1" ht="20" customHeight="1" x14ac:dyDescent="0.2">
      <c r="E148" s="23" t="s">
        <v>1168</v>
      </c>
      <c r="F148" s="8" t="str">
        <f>IF(ISBLANK(mgmt_cl01_az1_nsx_uplink1_chosen),"Value Missing",mgmt_cl01_az1_nsx_uplink1_chosen)</f>
        <v>Active</v>
      </c>
      <c r="H148" s="23" t="s">
        <v>1168</v>
      </c>
      <c r="I148" s="8" t="str">
        <f>IF(ISBLANK(wld_cl01_az1_nsx_uplink1_chosen),"Value Missing",wld_cl01_az1_nsx_uplink1_chosen)</f>
        <v>Value Missing</v>
      </c>
      <c r="K148" s="6"/>
      <c r="L148" s="6"/>
      <c r="N148" s="6"/>
      <c r="O148" s="6"/>
      <c r="Q148" s="6"/>
      <c r="R148" s="6"/>
      <c r="T148" s="6"/>
      <c r="U148" s="6"/>
      <c r="W148" s="6"/>
      <c r="X148" s="6"/>
      <c r="Z148" s="6"/>
      <c r="AA148" s="6"/>
      <c r="AC148" s="6"/>
      <c r="AD148" s="6"/>
      <c r="AG148" s="9"/>
      <c r="AH148" s="9"/>
    </row>
    <row r="149" spans="5:34" s="2" customFormat="1" ht="20" customHeight="1" x14ac:dyDescent="0.2">
      <c r="E149" s="4" t="s">
        <v>1169</v>
      </c>
      <c r="F149" s="8" t="str">
        <f>IF(ISBLANK(mgmt_cl01_az1_nsx_uplink2_chosen),"Value Missing",mgmt_cl01_az1_nsx_uplink2_chosen)</f>
        <v>Active</v>
      </c>
      <c r="H149" s="4" t="s">
        <v>1169</v>
      </c>
      <c r="I149" s="8" t="str">
        <f>IF(ISBLANK(wld_cl01_az1_nsx_uplink2_chosen),"Value Missing",wld_cl01_az1_nsx_uplink2_chosen)</f>
        <v>Value Missing</v>
      </c>
      <c r="K149" s="6"/>
      <c r="L149" s="6"/>
      <c r="N149" s="6"/>
      <c r="O149" s="6"/>
      <c r="Q149" s="6"/>
      <c r="R149" s="6"/>
      <c r="T149" s="6"/>
      <c r="U149" s="6"/>
      <c r="W149" s="6"/>
      <c r="X149" s="6"/>
      <c r="Z149" s="6"/>
      <c r="AA149" s="6"/>
      <c r="AC149" s="6"/>
      <c r="AD149" s="6"/>
      <c r="AG149" s="9"/>
      <c r="AH149" s="9"/>
    </row>
    <row r="150" spans="5:34" s="2" customFormat="1" ht="20" customHeight="1" x14ac:dyDescent="0.2">
      <c r="E150" s="4" t="s">
        <v>1170</v>
      </c>
      <c r="F150" s="8" t="str">
        <f>IF(ISBLANK(mgmt_cl01_az1_nfs_uplink1_chosen),"Value Missing",mgmt_cl01_az1_nfs_uplink1_chosen)</f>
        <v>Active</v>
      </c>
      <c r="H150" s="4" t="s">
        <v>1171</v>
      </c>
      <c r="I150" s="8" t="str">
        <f>wld_cl01_az1_vsan_storage_client_uplink1_chosen</f>
        <v>Active</v>
      </c>
      <c r="K150" s="6"/>
      <c r="L150" s="6"/>
      <c r="N150" s="6"/>
      <c r="O150" s="6"/>
      <c r="Q150" s="6"/>
      <c r="R150" s="6"/>
      <c r="T150" s="6"/>
      <c r="U150" s="6"/>
      <c r="W150" s="6"/>
      <c r="X150" s="6"/>
      <c r="Z150" s="6"/>
      <c r="AA150" s="6"/>
      <c r="AC150" s="6"/>
      <c r="AD150" s="6"/>
      <c r="AG150" s="9"/>
      <c r="AH150" s="9"/>
    </row>
    <row r="151" spans="5:34" s="2" customFormat="1" ht="20" customHeight="1" x14ac:dyDescent="0.2">
      <c r="E151" s="4" t="s">
        <v>1172</v>
      </c>
      <c r="F151" s="8" t="str">
        <f>IF(ISBLANK(mgmt_cl01_az1_nfs_uplink2_chosen),"Value Missing",mgmt_cl01_az1_nfs_uplink2_chosen)</f>
        <v>Active</v>
      </c>
      <c r="H151" s="4" t="s">
        <v>1171</v>
      </c>
      <c r="I151" s="8" t="str">
        <f>wld_cl01_az1_vsan_storage_client_uplink2_chosen</f>
        <v>Active</v>
      </c>
      <c r="K151" s="6"/>
      <c r="L151" s="6"/>
      <c r="N151" s="6"/>
      <c r="O151" s="6"/>
      <c r="Q151" s="6"/>
      <c r="R151" s="6"/>
      <c r="T151" s="6"/>
      <c r="U151" s="6"/>
      <c r="W151" s="6"/>
      <c r="X151" s="6"/>
      <c r="Z151" s="6"/>
      <c r="AA151" s="6"/>
      <c r="AC151" s="6"/>
      <c r="AD151" s="6"/>
      <c r="AG151" s="9"/>
      <c r="AH151" s="9"/>
    </row>
    <row r="152" spans="5:34" s="2" customFormat="1" ht="20" customHeight="1" x14ac:dyDescent="0.2">
      <c r="E152" s="6"/>
      <c r="F152" s="6"/>
      <c r="H152" s="6"/>
      <c r="I152" s="6"/>
      <c r="K152" s="6"/>
      <c r="L152" s="6"/>
      <c r="N152" s="6"/>
      <c r="O152" s="6"/>
      <c r="Q152" s="6"/>
      <c r="R152" s="6"/>
      <c r="T152" s="6"/>
      <c r="U152" s="6"/>
      <c r="W152" s="6"/>
      <c r="X152" s="6"/>
      <c r="Z152" s="6"/>
      <c r="AA152" s="6"/>
      <c r="AC152" s="6"/>
      <c r="AD152" s="6"/>
      <c r="AG152" s="9"/>
      <c r="AH152" s="9"/>
    </row>
    <row r="153" spans="5:34" s="2" customFormat="1" ht="20" customHeight="1" x14ac:dyDescent="0.2">
      <c r="E153" s="14" t="s">
        <v>1173</v>
      </c>
      <c r="F153" s="15"/>
      <c r="H153" s="14" t="s">
        <v>1174</v>
      </c>
      <c r="I153" s="15"/>
      <c r="K153" s="6"/>
      <c r="L153" s="6"/>
      <c r="N153" s="6"/>
      <c r="O153" s="6"/>
      <c r="Q153" s="6"/>
      <c r="R153" s="6"/>
      <c r="T153" s="6"/>
      <c r="U153" s="6"/>
      <c r="W153" s="6"/>
      <c r="X153" s="6"/>
      <c r="Z153" s="6"/>
      <c r="AA153" s="6"/>
      <c r="AC153" s="6"/>
      <c r="AD153" s="6"/>
      <c r="AG153" s="9"/>
      <c r="AH153" s="9"/>
    </row>
    <row r="154" spans="5:34" s="2" customFormat="1" ht="20" customHeight="1" x14ac:dyDescent="0.2">
      <c r="E154" s="17" t="s">
        <v>254</v>
      </c>
      <c r="F154" s="20" t="s">
        <v>1044</v>
      </c>
      <c r="H154" s="17" t="s">
        <v>254</v>
      </c>
      <c r="I154" s="20" t="s">
        <v>1044</v>
      </c>
      <c r="K154" s="6"/>
      <c r="L154" s="6"/>
      <c r="N154" s="6"/>
      <c r="O154" s="6"/>
      <c r="Q154" s="6"/>
      <c r="R154" s="6"/>
      <c r="T154" s="6"/>
      <c r="U154" s="6"/>
      <c r="W154" s="6"/>
      <c r="X154" s="6"/>
      <c r="Z154" s="6"/>
      <c r="AA154" s="6"/>
      <c r="AC154" s="6"/>
      <c r="AD154" s="6"/>
      <c r="AG154" s="9"/>
      <c r="AH154" s="9"/>
    </row>
    <row r="155" spans="5:34" s="2" customFormat="1" ht="20" customHeight="1" x14ac:dyDescent="0.2">
      <c r="E155" s="4" t="s">
        <v>1175</v>
      </c>
      <c r="F155" s="8" t="str">
        <f>IF(ISBLANK(mgmt_cl01_az1_mgmt_vm_lbt_chosen),"Value Missing",mgmt_cl01_az1_mgmt_vm_lbt_chosen)</f>
        <v>Route Based on Physical NIC Load</v>
      </c>
      <c r="H155" s="4" t="s">
        <v>1175</v>
      </c>
      <c r="I155" s="8" t="str">
        <f>IF(ISBLANK(wld_cl01_az1_mgmt_vm_lbt_chosen),"Value Missing",wld_cl01_az1_mgmt_vm_lbt_chosen)</f>
        <v>Route Based on Physical NIC Load</v>
      </c>
      <c r="K155" s="6"/>
      <c r="N155" s="6"/>
      <c r="O155" s="6"/>
      <c r="Q155" s="6"/>
      <c r="R155" s="6"/>
      <c r="T155" s="6"/>
      <c r="U155" s="6"/>
      <c r="W155" s="6"/>
      <c r="X155" s="6"/>
      <c r="Z155" s="6"/>
      <c r="AA155" s="6"/>
      <c r="AC155" s="6"/>
      <c r="AD155" s="6"/>
      <c r="AG155" s="9"/>
      <c r="AH155" s="9"/>
    </row>
    <row r="156" spans="5:34" s="2" customFormat="1" ht="20" customHeight="1" x14ac:dyDescent="0.2">
      <c r="E156" s="4" t="s">
        <v>1176</v>
      </c>
      <c r="F156" s="8" t="str">
        <f>IF(ISBLANK(mgmt_cl01_az1_mgmt_lbt_chosen),"Value Missing",mgmt_cl01_az1_mgmt_lbt_chosen)</f>
        <v>Route Based on Physical NIC Load</v>
      </c>
      <c r="H156" s="4" t="s">
        <v>1176</v>
      </c>
      <c r="I156" s="8" t="str">
        <f>IF(ISBLANK(wld_cl01_az1_mgmt_lbt_chosen),"Value Missing",wld_cl01_az1_mgmt_lbt_chosen)</f>
        <v>Route Based on Physical NIC Load</v>
      </c>
      <c r="K156" s="6"/>
      <c r="L156" s="6"/>
      <c r="N156" s="6"/>
      <c r="O156" s="6"/>
      <c r="Q156" s="6"/>
      <c r="R156" s="6"/>
      <c r="T156" s="6"/>
      <c r="U156" s="6"/>
      <c r="W156" s="6"/>
      <c r="X156" s="6"/>
      <c r="Z156" s="6"/>
      <c r="AA156" s="6"/>
      <c r="AC156" s="6"/>
      <c r="AD156" s="6"/>
      <c r="AG156" s="9"/>
      <c r="AH156" s="9"/>
    </row>
    <row r="157" spans="5:34" s="2" customFormat="1" ht="20" customHeight="1" x14ac:dyDescent="0.2">
      <c r="E157" s="4" t="s">
        <v>1177</v>
      </c>
      <c r="F157" s="8" t="str">
        <f>IF(ISBLANK(mgmt_cl01_az1_vmotion_lbt_chosen),"Value Missing",mgmt_cl01_az1_vmotion_lbt_chosen)</f>
        <v>Route Based on Physical NIC Load</v>
      </c>
      <c r="H157" s="4" t="s">
        <v>1177</v>
      </c>
      <c r="I157" s="8" t="str">
        <f>IF(ISBLANK(wld_cl01_az1_vmotion_lbt_chosen),"Value Missing",wld_cl01_az1_vmotion_lbt_chosen)</f>
        <v>Route Based on Physical NIC Load</v>
      </c>
      <c r="K157" s="6"/>
      <c r="L157" s="6"/>
      <c r="M157" s="3"/>
      <c r="N157" s="6"/>
      <c r="O157" s="6"/>
      <c r="Q157" s="6"/>
      <c r="R157" s="6"/>
      <c r="T157" s="6"/>
      <c r="U157" s="6"/>
      <c r="W157" s="6"/>
      <c r="X157" s="6"/>
      <c r="Z157" s="6"/>
      <c r="AA157" s="6"/>
      <c r="AC157" s="6"/>
      <c r="AD157" s="6"/>
      <c r="AG157" s="9"/>
      <c r="AH157" s="9"/>
    </row>
    <row r="158" spans="5:34" s="2" customFormat="1" ht="20" customHeight="1" x14ac:dyDescent="0.2">
      <c r="E158" s="4" t="s">
        <v>1178</v>
      </c>
      <c r="F158" s="8" t="str">
        <f>IF(ISBLANK(mgmt_cl01_az1_vsan_lbt_chosen),"Value Missing",mgmt_cl01_az1_vsan_lbt_chosen)</f>
        <v>Route Based on Physical NIC Load</v>
      </c>
      <c r="G158" s="21"/>
      <c r="H158" s="4" t="s">
        <v>1178</v>
      </c>
      <c r="I158" s="8" t="str">
        <f>IF(ISBLANK(wld_cl01_az1_vsan_lbt_chosen),"Value Missing",wld_cl01_az1_vsan_lbt_chosen)</f>
        <v>Route Based on Physical NIC Load</v>
      </c>
      <c r="J158" s="21"/>
      <c r="K158" s="6"/>
      <c r="L158" s="6"/>
      <c r="N158" s="6"/>
      <c r="O158" s="6"/>
      <c r="Q158" s="6"/>
      <c r="R158" s="6"/>
      <c r="T158" s="6"/>
      <c r="U158" s="6"/>
      <c r="W158" s="6"/>
      <c r="X158" s="6"/>
      <c r="Z158" s="6"/>
      <c r="AA158" s="6"/>
      <c r="AC158" s="6"/>
      <c r="AD158" s="6"/>
      <c r="AG158" s="9"/>
      <c r="AH158" s="9"/>
    </row>
    <row r="159" spans="5:34" s="2" customFormat="1" ht="20" customHeight="1" x14ac:dyDescent="0.2">
      <c r="E159" s="4" t="s">
        <v>1179</v>
      </c>
      <c r="F159" s="8" t="str">
        <f>IF(ISBLANK(mgmt_cl01_az1_nsx_lbt_chosen),"Value Missing",mgmt_cl01_az1_nsx_lbt_chosen)</f>
        <v>Route Based on the Source of the Port ID</v>
      </c>
      <c r="H159" s="4" t="s">
        <v>1049</v>
      </c>
      <c r="I159" s="8" t="str">
        <f>IF(ISBLANK(wld_cl01_az1_nsx_lbt_chosen),"Value Missing",wld_cl01_az1_nsx_lbt_chosen)</f>
        <v>Load Balance Source</v>
      </c>
      <c r="K159" s="6"/>
      <c r="L159" s="6"/>
      <c r="M159" s="21"/>
      <c r="N159" s="6"/>
      <c r="O159" s="6"/>
      <c r="Q159" s="6"/>
      <c r="R159" s="6"/>
      <c r="T159" s="6"/>
      <c r="U159" s="6"/>
      <c r="W159" s="6"/>
      <c r="X159" s="6"/>
      <c r="Z159" s="6"/>
      <c r="AA159" s="6"/>
      <c r="AC159" s="6"/>
      <c r="AD159" s="6"/>
      <c r="AG159" s="9"/>
      <c r="AH159" s="9"/>
    </row>
    <row r="160" spans="5:34" s="2" customFormat="1" ht="20" customHeight="1" x14ac:dyDescent="0.2">
      <c r="E160" s="4" t="s">
        <v>1180</v>
      </c>
      <c r="F160" s="8"/>
      <c r="H160" s="4" t="s">
        <v>1180</v>
      </c>
      <c r="I160" s="8" t="str">
        <f>IF(ISBLANK(wld_cl01_az1_vsan_storage_client_lbt_chosen),"Value Missing",wld_cl01_az1_vsan_storage_client_lbt_chosen)</f>
        <v>Route Based on Physical NIC Load</v>
      </c>
      <c r="K160" s="6"/>
      <c r="L160" s="6"/>
      <c r="N160" s="6"/>
      <c r="O160" s="6"/>
      <c r="Q160" s="6"/>
      <c r="R160" s="6"/>
      <c r="T160" s="6"/>
      <c r="U160" s="6"/>
      <c r="W160" s="6"/>
      <c r="X160" s="6"/>
      <c r="Z160" s="6"/>
      <c r="AA160" s="6"/>
      <c r="AC160" s="6"/>
      <c r="AD160" s="6"/>
      <c r="AG160" s="9"/>
      <c r="AH160" s="9"/>
    </row>
    <row r="161" spans="5:35" s="2" customFormat="1" ht="20" customHeight="1" x14ac:dyDescent="0.2">
      <c r="E161" s="4" t="s">
        <v>1181</v>
      </c>
      <c r="F161" s="8" t="str">
        <f>IF(ISBLANK(mgmt_cl01_az1_nfs_lbt_chosen),"Value Missing",mgmt_cl01_az1_nfs_lbt_chosen)</f>
        <v>Route Based on Physical NIC Load</v>
      </c>
      <c r="H161" s="6"/>
      <c r="I161" s="3"/>
      <c r="K161" s="6"/>
      <c r="L161" s="6"/>
      <c r="N161" s="6"/>
      <c r="O161" s="6"/>
      <c r="Q161" s="6"/>
      <c r="R161" s="6"/>
      <c r="T161" s="6"/>
      <c r="U161" s="6"/>
      <c r="W161" s="6"/>
      <c r="X161" s="6"/>
      <c r="Z161" s="6"/>
      <c r="AA161" s="6"/>
      <c r="AC161" s="6"/>
      <c r="AD161" s="6"/>
      <c r="AG161" s="9"/>
      <c r="AH161" s="9"/>
      <c r="AI161" s="9"/>
    </row>
    <row r="162" spans="5:35" s="2" customFormat="1" ht="20" customHeight="1" x14ac:dyDescent="0.2">
      <c r="I162" s="3"/>
      <c r="L162" s="3"/>
      <c r="AG162" s="9"/>
      <c r="AH162" s="9"/>
      <c r="AI162" s="9"/>
    </row>
    <row r="163" spans="5:35" s="2" customFormat="1" ht="20" customHeight="1" x14ac:dyDescent="0.2">
      <c r="E163" s="27" t="s">
        <v>1182</v>
      </c>
      <c r="F163" s="15"/>
      <c r="H163" s="27" t="s">
        <v>1183</v>
      </c>
      <c r="I163" s="15"/>
      <c r="K163" s="27" t="s">
        <v>1184</v>
      </c>
      <c r="L163" s="15"/>
      <c r="N163" s="27" t="s">
        <v>1185</v>
      </c>
      <c r="O163" s="15"/>
      <c r="Q163" s="27" t="s">
        <v>1186</v>
      </c>
      <c r="R163" s="15"/>
      <c r="T163" s="27" t="s">
        <v>1187</v>
      </c>
      <c r="U163" s="15"/>
      <c r="W163" s="27" t="s">
        <v>1188</v>
      </c>
      <c r="X163" s="15"/>
      <c r="Z163" s="27" t="s">
        <v>1189</v>
      </c>
      <c r="AA163" s="15"/>
      <c r="AC163" s="27" t="s">
        <v>1190</v>
      </c>
      <c r="AD163" s="15"/>
      <c r="AG163" s="9"/>
      <c r="AH163" s="9"/>
      <c r="AI163" s="9"/>
    </row>
    <row r="164" spans="5:35" s="2" customFormat="1" ht="20" customHeight="1" x14ac:dyDescent="0.2">
      <c r="E164" s="19" t="s">
        <v>254</v>
      </c>
      <c r="F164" s="20" t="s">
        <v>1044</v>
      </c>
      <c r="H164" s="17" t="s">
        <v>254</v>
      </c>
      <c r="I164" s="20" t="s">
        <v>20</v>
      </c>
      <c r="K164" s="19" t="s">
        <v>254</v>
      </c>
      <c r="L164" s="20" t="s">
        <v>20</v>
      </c>
      <c r="N164" s="19" t="s">
        <v>254</v>
      </c>
      <c r="O164" s="20" t="s">
        <v>20</v>
      </c>
      <c r="P164" s="21"/>
      <c r="Q164" s="19" t="s">
        <v>254</v>
      </c>
      <c r="R164" s="20" t="s">
        <v>20</v>
      </c>
      <c r="S164" s="21"/>
      <c r="T164" s="19" t="s">
        <v>254</v>
      </c>
      <c r="U164" s="20" t="s">
        <v>20</v>
      </c>
      <c r="V164" s="21"/>
      <c r="W164" s="19" t="s">
        <v>254</v>
      </c>
      <c r="X164" s="20" t="s">
        <v>20</v>
      </c>
      <c r="Y164" s="21"/>
      <c r="Z164" s="19" t="s">
        <v>254</v>
      </c>
      <c r="AA164" s="20" t="s">
        <v>20</v>
      </c>
      <c r="AB164" s="21"/>
      <c r="AC164" s="19" t="s">
        <v>254</v>
      </c>
      <c r="AD164" s="20" t="s">
        <v>20</v>
      </c>
      <c r="AG164" s="9"/>
      <c r="AH164" s="9"/>
      <c r="AI164" s="9"/>
    </row>
    <row r="165" spans="5:35" s="2" customFormat="1" ht="20" customHeight="1" x14ac:dyDescent="0.2">
      <c r="E165" s="28" t="s">
        <v>1191</v>
      </c>
      <c r="F165" s="8" t="str">
        <f>IF(ISBLANK(input_mgmt_az1_vmotion_pool_start_ip),"Value Missing",input_mgmt_az1_vmotion_pool_start_ip)</f>
        <v>Value Missing</v>
      </c>
      <c r="H165" s="28" t="s">
        <v>1191</v>
      </c>
      <c r="I165" s="8" t="str">
        <f>IF(ISBLANK(input_wld_az1_vmotion_pool_start_ip),"Value Missing",input_wld_az1_vmotion_pool_start_ip)</f>
        <v>Value Missing</v>
      </c>
      <c r="K165" s="28" t="s">
        <v>1191</v>
      </c>
      <c r="L165" s="8" t="str">
        <f>IF(ISBLANK(input_wld_az1_rack2_vmotion_pool_start_ip),"Value Missing",input_wld_az1_rack2_vmotion_pool_start_ip)</f>
        <v>Value Missing</v>
      </c>
      <c r="N165" s="28" t="s">
        <v>1191</v>
      </c>
      <c r="O165" s="8" t="str">
        <f>IF(ISBLANK(input_wld_az1_rack3_vmotion_pool_start_ip),"Value Missing",input_wld_az1_rack3_vmotion_pool_start_ip)</f>
        <v>Value Missing</v>
      </c>
      <c r="Q165" s="28" t="s">
        <v>1191</v>
      </c>
      <c r="R165" s="8" t="str">
        <f>IF(ISBLANK(input_wld_az1_rack4_vmotion_pool_start_ip),"Value Missing",input_wld_az1_rack4_vmotion_pool_start_ip)</f>
        <v>Value Missing</v>
      </c>
      <c r="T165" s="28" t="s">
        <v>1191</v>
      </c>
      <c r="U165" s="8" t="str">
        <f>IF(ISBLANK(input_wld_az1_rack5_vmotion_pool_start_ip),"Value Missing",input_wld_az1_rack5_vmotion_pool_start_ip)</f>
        <v>Value Missing</v>
      </c>
      <c r="W165" s="28" t="s">
        <v>1191</v>
      </c>
      <c r="X165" s="8" t="str">
        <f>IF(ISBLANK(input_wld_az1_rack6_vmotion_pool_start_ip),"Value Missing",input_wld_az1_rack6_vmotion_pool_start_ip)</f>
        <v>Value Missing</v>
      </c>
      <c r="Z165" s="28" t="s">
        <v>1191</v>
      </c>
      <c r="AA165" s="8" t="str">
        <f>IF(ISBLANK(input_wld_az1_rack7_vmotion_pool_start_ip),"Value Missing",input_wld_az1_rack7_vmotion_pool_start_ip)</f>
        <v>Value Missing</v>
      </c>
      <c r="AC165" s="28" t="s">
        <v>1191</v>
      </c>
      <c r="AD165" s="8" t="str">
        <f>IF(ISBLANK(input_wld_az1_rack8_vmotion_pool_start_ip),"Value Missing",input_wld_az1_rack8_vmotion_pool_start_ip)</f>
        <v>Value Missing</v>
      </c>
      <c r="AG165" s="9"/>
      <c r="AH165" s="9"/>
      <c r="AI165" s="9"/>
    </row>
    <row r="166" spans="5:35" s="2" customFormat="1" ht="20" customHeight="1" x14ac:dyDescent="0.2">
      <c r="E166" s="28" t="s">
        <v>1192</v>
      </c>
      <c r="F166" s="8" t="str">
        <f>IF(ISBLANK(input_mgmt_az1_vmotion_pool_end_ip),"Value Missing",input_mgmt_az1_vmotion_pool_end_ip)</f>
        <v>Value Missing</v>
      </c>
      <c r="H166" s="28" t="s">
        <v>1192</v>
      </c>
      <c r="I166" s="8" t="str">
        <f>IF(ISBLANK(input_wld_az1_vmotion_pool_end_ip),"Value Missing",input_wld_az1_vmotion_pool_end_ip)</f>
        <v>Value Missing</v>
      </c>
      <c r="K166" s="28" t="s">
        <v>1192</v>
      </c>
      <c r="L166" s="8" t="str">
        <f>IF(ISBLANK(input_wld_az1_rack2_vmotion_pool_end_ip),"Value Missing",input_wld_az1_rack2_vmotion_pool_end_ip)</f>
        <v>Value Missing</v>
      </c>
      <c r="N166" s="28" t="s">
        <v>1192</v>
      </c>
      <c r="O166" s="8" t="str">
        <f>IF(ISBLANK(input_wld_az1_rack3_vmotion_pool_end_ip),"Value Missing",input_wld_az1_rack3_vmotion_pool_end_ip)</f>
        <v>Value Missing</v>
      </c>
      <c r="Q166" s="28" t="s">
        <v>1192</v>
      </c>
      <c r="R166" s="8" t="str">
        <f>IF(ISBLANK(input_wld_az1_rack4_vmotion_pool_end_ip),"Value Missing",input_wld_az1_rack4_vmotion_pool_end_ip)</f>
        <v>Value Missing</v>
      </c>
      <c r="T166" s="28" t="s">
        <v>1192</v>
      </c>
      <c r="U166" s="8" t="str">
        <f>IF(ISBLANK(input_wld_az1_rack5_vmotion_pool_end_ip),"Value Missing",input_wld_az1_rack5_vmotion_pool_end_ip)</f>
        <v>Value Missing</v>
      </c>
      <c r="W166" s="28" t="s">
        <v>1192</v>
      </c>
      <c r="X166" s="8" t="str">
        <f>IF(ISBLANK(input_wld_az1_rack6_vmotion_pool_end_ip),"Value Missing",input_wld_az1_rack6_vmotion_pool_end_ip)</f>
        <v>Value Missing</v>
      </c>
      <c r="Z166" s="28" t="s">
        <v>1192</v>
      </c>
      <c r="AA166" s="8" t="str">
        <f>IF(ISBLANK(input_wld_az1_rack7_vmotion_pool_end_ip),"Value Missing",input_wld_az1_rack7_vmotion_pool_end_ip)</f>
        <v>Value Missing</v>
      </c>
      <c r="AC166" s="28" t="s">
        <v>1192</v>
      </c>
      <c r="AD166" s="8" t="str">
        <f>IF(ISBLANK(input_wld_az1_rack8_vmotion_pool_end_ip),"Value Missing",input_wld_az1_rack8_vmotion_pool_end_ip)</f>
        <v>Value Missing</v>
      </c>
      <c r="AG166" s="9"/>
      <c r="AH166" s="9"/>
      <c r="AI166" s="9"/>
    </row>
    <row r="167" spans="5:35" s="2" customFormat="1" ht="20" customHeight="1" x14ac:dyDescent="0.2">
      <c r="E167" s="28" t="s">
        <v>1193</v>
      </c>
      <c r="F167" s="8" t="str">
        <f>IF(ISBLANK(input_mgmt_az1_vsan_pool_start_ip),"Value Missing",input_mgmt_az1_vsan_pool_start_ip)</f>
        <v>Value Missing</v>
      </c>
      <c r="H167" s="28" t="s">
        <v>1193</v>
      </c>
      <c r="I167" s="8" t="str">
        <f>IF(ISBLANK(input_wld_az1_principal_storage_pool_start_ip),"Value Missing",input_wld_az1_principal_storage_pool_start_ip)</f>
        <v>Value Missing</v>
      </c>
      <c r="K167" s="28" t="s">
        <v>1193</v>
      </c>
      <c r="L167" s="8" t="str">
        <f>IF(ISBLANK(input_wld_az1_rack2_principal_storage_pool_start_ip),"Value Missing",input_wld_az1_rack2_principal_storage_pool_start_ip)</f>
        <v>Value Missing</v>
      </c>
      <c r="N167" s="28" t="s">
        <v>1193</v>
      </c>
      <c r="O167" s="8" t="str">
        <f>IF(ISBLANK(input_wld_az1_rack3_principal_storage_pool_start_ip),"Value Missing",input_wld_az1_rack3_principal_storage_pool_start_ip)</f>
        <v>Value Missing</v>
      </c>
      <c r="Q167" s="28" t="s">
        <v>1193</v>
      </c>
      <c r="R167" s="8" t="str">
        <f>IF(ISBLANK(input_wld_az1_rack4_principal_storage_pool_start_ip),"Value Missing",input_wld_az1_rack4_principal_storage_pool_start_ip)</f>
        <v>Value Missing</v>
      </c>
      <c r="T167" s="28" t="s">
        <v>1193</v>
      </c>
      <c r="U167" s="8" t="str">
        <f>IF(ISBLANK(input_wld_az1_rack5_principal_storage_pool_start_ip),"Value Missing",input_wld_az1_rack5_principal_storage_pool_start_ip)</f>
        <v>Value Missing</v>
      </c>
      <c r="W167" s="28" t="s">
        <v>1193</v>
      </c>
      <c r="X167" s="8" t="str">
        <f>IF(ISBLANK(input_wld_az1_rack6_principal_storage_pool_start_ip),"Value Missing",input_wld_az1_rack6_principal_storage_pool_start_ip)</f>
        <v>Value Missing</v>
      </c>
      <c r="Z167" s="28" t="s">
        <v>1193</v>
      </c>
      <c r="AA167" s="8" t="str">
        <f>IF(ISBLANK(input_wld_az1_rack7_principal_storage_pool_start_ip),"Value Missing",input_wld_az1_rack7_principal_storage_pool_start_ip)</f>
        <v>Value Missing</v>
      </c>
      <c r="AC167" s="28" t="s">
        <v>1193</v>
      </c>
      <c r="AD167" s="8" t="str">
        <f>IF(ISBLANK(input_wld_az1_rack8_principal_storage_pool_start_ip),"Value Missing",input_wld_az1_rack8_principal_storage_pool_start_ip)</f>
        <v>Value Missing</v>
      </c>
      <c r="AG167" s="9"/>
      <c r="AH167" s="9"/>
      <c r="AI167" s="9"/>
    </row>
    <row r="168" spans="5:35" s="2" customFormat="1" ht="20" customHeight="1" x14ac:dyDescent="0.2">
      <c r="E168" s="28" t="s">
        <v>1194</v>
      </c>
      <c r="F168" s="8" t="str">
        <f>IF(ISBLANK(input_mgmt_az1_vsan_pool_end_ip),"Value Missing",input_mgmt_az1_vsan_pool_end_ip)</f>
        <v>Value Missing</v>
      </c>
      <c r="H168" s="28" t="s">
        <v>1194</v>
      </c>
      <c r="I168" s="8" t="str">
        <f>IF(ISBLANK(input_wld_az1_principal_storage_pool_end_ip),"Value Missing",input_wld_az1_principal_storage_pool_end_ip)</f>
        <v>Value Missing</v>
      </c>
      <c r="K168" s="28" t="s">
        <v>1194</v>
      </c>
      <c r="L168" s="8" t="str">
        <f>IF(ISBLANK(input_wld_az1_rack2_principal_storage_pool_end_ip),"Value Missing",input_wld_az1_rack2_principal_storage_pool_end_ip)</f>
        <v>Value Missing</v>
      </c>
      <c r="N168" s="28" t="s">
        <v>1194</v>
      </c>
      <c r="O168" s="8" t="str">
        <f>IF(ISBLANK(input_wld_az1_rack3_principal_storage_pool_end_ip),"Value Missing",input_wld_az1_rack3_principal_storage_pool_end_ip)</f>
        <v>Value Missing</v>
      </c>
      <c r="Q168" s="28" t="s">
        <v>1194</v>
      </c>
      <c r="R168" s="8" t="str">
        <f>IF(ISBLANK(input_wld_az1_rack4_principal_storage_pool_end_ip),"Value Missing",input_wld_az1_rack4_principal_storage_pool_end_ip)</f>
        <v>Value Missing</v>
      </c>
      <c r="T168" s="28" t="s">
        <v>1194</v>
      </c>
      <c r="U168" s="8" t="str">
        <f>IF(ISBLANK(input_wld_az1_rack5_principal_storage_pool_end_ip),"Value Missing",input_wld_az1_rack5_principal_storage_pool_end_ip)</f>
        <v>Value Missing</v>
      </c>
      <c r="W168" s="28" t="s">
        <v>1194</v>
      </c>
      <c r="X168" s="8" t="str">
        <f>IF(ISBLANK(input_wld_az1_rack6_principal_storage_pool_end_ip),"Value Missing",input_wld_az1_rack6_principal_storage_pool_end_ip)</f>
        <v>Value Missing</v>
      </c>
      <c r="Z168" s="28" t="s">
        <v>1194</v>
      </c>
      <c r="AA168" s="8" t="str">
        <f>IF(ISBLANK(input_wld_az1_rack7_principal_storage_pool_end_ip),"Value Missing",input_wld_az1_rack7_principal_storage_pool_end_ip)</f>
        <v>Value Missing</v>
      </c>
      <c r="AC168" s="28" t="s">
        <v>1194</v>
      </c>
      <c r="AD168" s="8" t="str">
        <f>IF(ISBLANK(input_wld_az1_rack8_principal_storage_pool_end_ip),"Value Missing",input_wld_az1_rack8_principal_storage_pool_end_ip)</f>
        <v>Value Missing</v>
      </c>
      <c r="AG168" s="9"/>
      <c r="AH168" s="9"/>
      <c r="AI168" s="9"/>
    </row>
    <row r="169" spans="5:35" s="2" customFormat="1" ht="20" customHeight="1" x14ac:dyDescent="0.2">
      <c r="E169" s="28" t="s">
        <v>1195</v>
      </c>
      <c r="F169" s="8" t="str">
        <f>IF(ISBLANK(input_mgmt_az1_host_overlay_pool_start_ip),"Value Missing",input_mgmt_az1_host_overlay_pool_start_ip)</f>
        <v>Value Missing</v>
      </c>
      <c r="H169" s="28" t="s">
        <v>1195</v>
      </c>
      <c r="I169" s="8" t="str">
        <f>IF(ISBLANK(input_wld_az1_host_overlay_pool_start_ip),"Value Missing",input_wld_az1_host_overlay_pool_start_ip)</f>
        <v>Value Missing</v>
      </c>
      <c r="K169" s="28" t="s">
        <v>1195</v>
      </c>
      <c r="L169" s="8" t="str">
        <f>IF(ISBLANK(input_wld_az1_rack2_host_overlay_pool_start_ip),"Value Missing",input_wld_az1_rack2_host_overlay_pool_start_ip)</f>
        <v>Value Missing</v>
      </c>
      <c r="N169" s="28" t="s">
        <v>1195</v>
      </c>
      <c r="O169" s="8" t="str">
        <f>IF(ISBLANK(input_wld_az1_rack3_host_overlay_pool_start_ip),"Value Missing",input_wld_az1_rack3_host_overlay_pool_start_ip)</f>
        <v>Value Missing</v>
      </c>
      <c r="Q169" s="28" t="s">
        <v>1195</v>
      </c>
      <c r="R169" s="8" t="str">
        <f>IF(ISBLANK(input_wld_az1_rack4_host_overlay_pool_start_ip),"Value Missing",input_wld_az1_rack4_host_overlay_pool_start_ip)</f>
        <v>Value Missing</v>
      </c>
      <c r="T169" s="28" t="s">
        <v>1195</v>
      </c>
      <c r="U169" s="8" t="str">
        <f>IF(ISBLANK(input_wld_az1_rack5_host_overlay_pool_start_ip),"Value Missing",input_wld_az1_rack5_host_overlay_pool_start_ip)</f>
        <v>Value Missing</v>
      </c>
      <c r="W169" s="28" t="s">
        <v>1195</v>
      </c>
      <c r="X169" s="8" t="str">
        <f>IF(ISBLANK(input_wld_az1_rack6_host_overlay_pool_start_ip),"Value Missing",input_wld_az1_rack6_host_overlay_pool_start_ip)</f>
        <v>Value Missing</v>
      </c>
      <c r="Z169" s="28" t="s">
        <v>1195</v>
      </c>
      <c r="AA169" s="8" t="str">
        <f>IF(ISBLANK(input_wld_az1_rack7_host_overlay_pool_start_ip),"Value Missing",input_wld_az1_rack7_host_overlay_pool_start_ip)</f>
        <v>Value Missing</v>
      </c>
      <c r="AC169" s="28" t="s">
        <v>1195</v>
      </c>
      <c r="AD169" s="8" t="str">
        <f>IF(ISBLANK(input_wld_az1_rack8_host_overlay_pool_start_ip),"Value Missing",input_wld_az1_rack8_host_overlay_pool_start_ip)</f>
        <v>Value Missing</v>
      </c>
      <c r="AG169" s="9"/>
      <c r="AH169" s="9"/>
      <c r="AI169" s="9"/>
    </row>
    <row r="170" spans="5:35" s="2" customFormat="1" ht="20" customHeight="1" x14ac:dyDescent="0.2">
      <c r="E170" s="28" t="s">
        <v>1196</v>
      </c>
      <c r="F170" s="8" t="str">
        <f>IF(ISBLANK(input_mgmt_az1_host_overlay_pool_end_ip),"Value Missing",input_mgmt_az1_host_overlay_pool_end_ip)</f>
        <v>Value Missing</v>
      </c>
      <c r="H170" s="28" t="s">
        <v>1196</v>
      </c>
      <c r="I170" s="8" t="str">
        <f>IF(ISBLANK(input_wld_az1_host_overlay_pool_end_ip),"Value Missing",input_wld_az1_host_overlay_pool_end_ip)</f>
        <v>Value Missing</v>
      </c>
      <c r="K170" s="28" t="s">
        <v>1196</v>
      </c>
      <c r="L170" s="8" t="str">
        <f>IF(ISBLANK(input_wld_az1_rack2_host_overlay_pool_end_ip),"Value Missing",input_wld_az1_rack2_host_overlay_pool_end_ip)</f>
        <v>Value Missing</v>
      </c>
      <c r="N170" s="28" t="s">
        <v>1196</v>
      </c>
      <c r="O170" s="8" t="str">
        <f>IF(ISBLANK(input_wld_az1_rack3_host_overlay_pool_end_ip),"Value Missing",input_wld_az1_rack3_host_overlay_pool_end_ip)</f>
        <v>Value Missing</v>
      </c>
      <c r="Q170" s="28" t="s">
        <v>1196</v>
      </c>
      <c r="R170" s="8" t="str">
        <f>IF(ISBLANK(input_wld_az1_rack4_host_overlay_pool_end_ip),"Value Missing",input_wld_az1_rack4_host_overlay_pool_end_ip)</f>
        <v>Value Missing</v>
      </c>
      <c r="T170" s="28" t="s">
        <v>1196</v>
      </c>
      <c r="U170" s="8" t="str">
        <f>IF(ISBLANK(input_wld_az1_rack5_host_overlay_pool_end_ip),"Value Missing",input_wld_az1_rack5_host_overlay_pool_end_ip)</f>
        <v>Value Missing</v>
      </c>
      <c r="W170" s="28" t="s">
        <v>1196</v>
      </c>
      <c r="X170" s="8" t="str">
        <f>IF(ISBLANK(input_wld_az1_rack6_host_overlay_pool_end_ip),"Value Missing",input_wld_az1_rack6_host_overlay_pool_end_ip)</f>
        <v>Value Missing</v>
      </c>
      <c r="Z170" s="28" t="s">
        <v>1196</v>
      </c>
      <c r="AA170" s="8" t="str">
        <f>IF(ISBLANK(input_wld_az1_rack7_host_overlay_pool_end_ip),"Value Missing",input_wld_az1_rack7_host_overlay_pool_end_ip)</f>
        <v>Value Missing</v>
      </c>
      <c r="AC170" s="28" t="s">
        <v>1196</v>
      </c>
      <c r="AD170" s="8" t="str">
        <f>IF(ISBLANK(input_wld_az1_rack8_host_overlay_pool_end_ip),"Value Missing",input_wld_az1_rack8_host_overlay_pool_end_ip)</f>
        <v>Value Missing</v>
      </c>
      <c r="AG170" s="9"/>
      <c r="AH170" s="9"/>
      <c r="AI170" s="9"/>
    </row>
    <row r="171" spans="5:35" s="2" customFormat="1" ht="20" customHeight="1" x14ac:dyDescent="0.2">
      <c r="E171" s="5" t="s">
        <v>1197</v>
      </c>
      <c r="F171" s="8" t="str">
        <f>IF(ISBLANK(input_mgmt_az1_secondary_storage_pool_start_ip),"Value Missing",input_mgmt_az1_secondary_storage_pool_start_ip)</f>
        <v>Value Missing</v>
      </c>
      <c r="H171" s="23" t="s">
        <v>1197</v>
      </c>
      <c r="I171" s="8" t="str">
        <f>IF(ISBLANK(input_wld_az1_secondary_storage_pool_start_ip),"Value Missing",input_wld_az1_secondary_storage_pool_start_ip)</f>
        <v>Value Missing</v>
      </c>
      <c r="K171" s="23" t="s">
        <v>1197</v>
      </c>
      <c r="L171" s="8" t="str">
        <f>IF(ISBLANK(input_wld_az1_rack2_secondary_storage_pool_start_ip),"Value Missing",input_wld_az1_rack2_secondary_storage_pool_start_ip)</f>
        <v>Value Missing</v>
      </c>
      <c r="N171" s="23" t="s">
        <v>1197</v>
      </c>
      <c r="O171" s="8" t="str">
        <f>IF(ISBLANK(input_wld_az1_rack3_secondary_storage_pool_start_ip),"Value Missing",input_wld_az1_rack3_secondary_storage_pool_start_ip)</f>
        <v>Value Missing</v>
      </c>
      <c r="Q171" s="23" t="s">
        <v>1197</v>
      </c>
      <c r="R171" s="8" t="str">
        <f>IF(ISBLANK(input_wld_az1_rack4_secondary_storage_pool_start_ip),"Value Missing",input_wld_az1_rack4_secondary_storage_pool_start_ip)</f>
        <v>Value Missing</v>
      </c>
      <c r="T171" s="23" t="s">
        <v>1197</v>
      </c>
      <c r="U171" s="8" t="str">
        <f>IF(ISBLANK(input_wld_az1_rack5_secondary_storage_pool_start_ip),"Value Missing",input_wld_az1_rack5_secondary_storage_pool_start_ip)</f>
        <v>Value Missing</v>
      </c>
      <c r="W171" s="23" t="s">
        <v>1197</v>
      </c>
      <c r="X171" s="8" t="str">
        <f>IF(ISBLANK(input_wld_az1_rack6_secondary_storage_pool_start_ip),"Value Missing",input_wld_az1_rack6_secondary_storage_pool_start_ip)</f>
        <v>Value Missing</v>
      </c>
      <c r="Z171" s="23" t="s">
        <v>1197</v>
      </c>
      <c r="AA171" s="8" t="str">
        <f>IF(ISBLANK(input_wld_az1_rack7_secondary_storage_pool_start_ip),"Value Missing",input_wld_az1_rack7_secondary_storage_pool_start_ip)</f>
        <v>Value Missing</v>
      </c>
      <c r="AC171" s="23" t="s">
        <v>1197</v>
      </c>
      <c r="AD171" s="8" t="str">
        <f>IF(ISBLANK(input_wld_az1_rack8_secondary_storage_pool_start_ip),"Value Missing",input_wld_az1_rack8_secondary_storage_pool_start_ip)</f>
        <v>Value Missing</v>
      </c>
      <c r="AG171" s="9"/>
      <c r="AH171" s="9"/>
      <c r="AI171" s="9"/>
    </row>
    <row r="172" spans="5:35" s="2" customFormat="1" ht="20" customHeight="1" x14ac:dyDescent="0.2">
      <c r="E172" s="29" t="s">
        <v>1198</v>
      </c>
      <c r="F172" s="8" t="str">
        <f>IF(ISBLANK(input_mgmt_az1_secondary_storage_pool_end_ip),"Value Missing",input_mgmt_az1_secondary_storage_pool_end_ip)</f>
        <v>Value Missing</v>
      </c>
      <c r="H172" s="30" t="s">
        <v>1198</v>
      </c>
      <c r="I172" s="8" t="str">
        <f>IF(ISBLANK(input_wld_az1_secondary_storage_pool_end_ip),"Value Missing",input_wld_az1_secondary_storage_pool_end_ip)</f>
        <v>Value Missing</v>
      </c>
      <c r="K172" s="30" t="s">
        <v>1198</v>
      </c>
      <c r="L172" s="8" t="str">
        <f>IF(ISBLANK(input_wld_az1_rack2_secondary_storage_pool_end_ip),"Value Missing",input_wld_az1_rack2_secondary_storage_pool_end_ip)</f>
        <v>Value Missing</v>
      </c>
      <c r="N172" s="30" t="s">
        <v>1198</v>
      </c>
      <c r="O172" s="8" t="str">
        <f>IF(ISBLANK(input_wld_az1_rack3_secondary_storage_pool_end_ip),"Value Missing",input_wld_az1_rack3_secondary_storage_pool_end_ip)</f>
        <v>Value Missing</v>
      </c>
      <c r="Q172" s="30" t="s">
        <v>1198</v>
      </c>
      <c r="R172" s="8" t="str">
        <f>IF(ISBLANK(input_wld_az1_rack4_secondary_storage_pool_end_ip),"Value Missing",input_wld_az1_rack4_secondary_storage_pool_end_ip)</f>
        <v>Value Missing</v>
      </c>
      <c r="T172" s="30" t="s">
        <v>1198</v>
      </c>
      <c r="U172" s="8" t="str">
        <f>IF(ISBLANK(input_wld_az1_rack5_secondary_storage_pool_end_ip),"Value Missing",input_wld_az1_rack5_secondary_storage_pool_end_ip)</f>
        <v>Value Missing</v>
      </c>
      <c r="W172" s="30" t="s">
        <v>1198</v>
      </c>
      <c r="X172" s="8" t="str">
        <f>IF(ISBLANK(input_wld_az1_rack6_secondary_storage_pool_end_ip),"Value Missing",input_wld_az1_rack6_secondary_storage_pool_end_ip)</f>
        <v>Value Missing</v>
      </c>
      <c r="Z172" s="30" t="s">
        <v>1198</v>
      </c>
      <c r="AA172" s="8" t="str">
        <f>IF(ISBLANK(input_wld_az1_rack7_secondary_storage_pool_end_ip),"Value Missing",input_wld_az1_rack7_secondary_storage_pool_end_ip)</f>
        <v>Value Missing</v>
      </c>
      <c r="AC172" s="30" t="s">
        <v>1198</v>
      </c>
      <c r="AD172" s="8" t="str">
        <f>IF(ISBLANK(input_wld_az1_rack8_secondary_storage_pool_end_ip),"Value Missing",input_wld_az1_rack8_secondary_storage_pool_end_ip)</f>
        <v>Value Missing</v>
      </c>
      <c r="AG172" s="9"/>
      <c r="AH172" s="9"/>
      <c r="AI172" s="9"/>
    </row>
    <row r="173" spans="5:35" s="2" customFormat="1" ht="20" customHeight="1" x14ac:dyDescent="0.2">
      <c r="E173" s="29"/>
      <c r="F173" s="8"/>
      <c r="G173" s="33"/>
      <c r="H173" s="37" t="s">
        <v>1199</v>
      </c>
      <c r="I173" s="8" t="str">
        <f>IF(ISBLANK(input_wld_az1_storage_cluster_pool_start_ip),"Value Missing",input_wld_az1_storage_cluster_pool_start_ip)</f>
        <v>Value Missing</v>
      </c>
      <c r="J173" s="33"/>
      <c r="K173" s="30"/>
      <c r="L173" s="8"/>
      <c r="N173" s="30"/>
      <c r="O173" s="8"/>
      <c r="Q173" s="30"/>
      <c r="R173" s="8"/>
      <c r="T173" s="30"/>
      <c r="U173" s="8"/>
      <c r="W173" s="30"/>
      <c r="X173" s="8"/>
      <c r="Z173" s="30"/>
      <c r="AA173" s="8"/>
      <c r="AC173" s="30"/>
      <c r="AD173" s="8"/>
      <c r="AG173" s="9"/>
      <c r="AH173" s="9"/>
      <c r="AI173" s="9"/>
    </row>
    <row r="174" spans="5:35" s="2" customFormat="1" ht="20" customHeight="1" x14ac:dyDescent="0.2">
      <c r="E174" s="29"/>
      <c r="F174" s="8"/>
      <c r="G174" s="9"/>
      <c r="H174" s="311" t="s">
        <v>1200</v>
      </c>
      <c r="I174" s="8" t="str">
        <f>IF(ISBLANK(input_wld_az1_storage_cluster_pool_end_ip),"Value Missing",input_wld_az1_storage_cluster_pool_end_ip)</f>
        <v>Value Missing</v>
      </c>
      <c r="J174" s="9"/>
      <c r="K174" s="30"/>
      <c r="L174" s="8"/>
      <c r="N174" s="30"/>
      <c r="O174" s="8"/>
      <c r="Q174" s="30"/>
      <c r="R174" s="8"/>
      <c r="T174" s="30"/>
      <c r="U174" s="8"/>
      <c r="W174" s="30"/>
      <c r="X174" s="8"/>
      <c r="Z174" s="30"/>
      <c r="AA174" s="8"/>
      <c r="AC174" s="30"/>
      <c r="AD174" s="8"/>
      <c r="AG174" s="9"/>
      <c r="AH174" s="9"/>
      <c r="AI174" s="9"/>
    </row>
    <row r="175" spans="5:35" s="2" customFormat="1" ht="20" customHeight="1" x14ac:dyDescent="0.2">
      <c r="E175" s="28" t="s">
        <v>120</v>
      </c>
      <c r="F175" s="8" t="str">
        <f>IF(ISBLANK(input_mgmt_az1_edge_overlay_pool_start_ip),"Value Missing",input_mgmt_az1_edge_overlay_pool_start_ip)</f>
        <v>Value Missing</v>
      </c>
      <c r="H175" s="28" t="s">
        <v>120</v>
      </c>
      <c r="I175" s="8" t="str">
        <f>IF(ISBLANK(input_wld_az1_edge_overlay_pool_start_ip),"Value Missing",input_wld_az1_edge_overlay_pool_start_ip)</f>
        <v>Value Missing</v>
      </c>
      <c r="K175" s="28" t="s">
        <v>120</v>
      </c>
      <c r="L175" s="8" t="str">
        <f t="array" ref="L175">IF(ISBLANK(input_wld_az1_rack2_edge_overlay_pool_start_ip),"Value Missing",input_wld_az1_rack2_edge_overlay_pool_start_ip)</f>
        <v>Value Missing</v>
      </c>
      <c r="N175" s="28" t="s">
        <v>120</v>
      </c>
      <c r="O175" s="8" t="str">
        <f t="array" ref="O175">IF(ISBLANK(input_wld_az1_rack3_edge_overlay_pool_start_ip),"Value Missing",input_wld_az1_rack3_edge_overlay_pool_start_ip)</f>
        <v>Value Missing</v>
      </c>
      <c r="Q175" s="28" t="s">
        <v>120</v>
      </c>
      <c r="R175" s="8" t="str">
        <f t="array" ref="R175">IF(ISBLANK(input_wld_az1_rack4_edge_overlay_pool_start_ip),"Value Missing",input_wld_az1_rack4_edge_overlay_pool_start_ip)</f>
        <v>Value Missing</v>
      </c>
      <c r="T175" s="28" t="s">
        <v>120</v>
      </c>
      <c r="U175" s="8" t="str">
        <f t="array" ref="U175">IF(ISBLANK(input_wld_az1_rack5_edge_overlay_pool_start_ip),"Value Missing",input_wld_az1_rack5_edge_overlay_pool_start_ip)</f>
        <v>Value Missing</v>
      </c>
      <c r="W175" s="28" t="s">
        <v>120</v>
      </c>
      <c r="X175" s="8" t="str">
        <f t="array" ref="X175">IF(ISBLANK(input_wld_az1_rack6_edge_overlay_pool_start_ip),"Value Missing",input_wld_az1_rack6_edge_overlay_pool_start_ip)</f>
        <v>Value Missing</v>
      </c>
      <c r="Z175" s="28" t="s">
        <v>120</v>
      </c>
      <c r="AA175" s="8" t="str">
        <f t="array" ref="AA175">IF(ISBLANK(input_wld_az1_rack7_edge_overlay_pool_start_ip),"Value Missing",input_wld_az1_rack7_edge_overlay_pool_start_ip)</f>
        <v>Value Missing</v>
      </c>
      <c r="AC175" s="28" t="s">
        <v>120</v>
      </c>
      <c r="AD175" s="8" t="str">
        <f t="array" ref="AD175">IF(ISBLANK(input_wld_az1_rack8_edge_overlay_pool_start_ip),"Value Missing",input_wld_az1_rack8_edge_overlay_pool_start_ip)</f>
        <v>Value Missing</v>
      </c>
      <c r="AG175" s="9"/>
      <c r="AH175" s="9"/>
      <c r="AI175" s="9"/>
    </row>
    <row r="176" spans="5:35" s="2" customFormat="1" ht="20" customHeight="1" x14ac:dyDescent="0.2">
      <c r="E176" s="28" t="s">
        <v>121</v>
      </c>
      <c r="F176" s="8" t="str">
        <f>IF(ISBLANK(input_mgmt_az1_edge_overlay_pool_end_ip),"Value Missing",input_mgmt_az1_edge_overlay_pool_end_ip)</f>
        <v>Value Missing</v>
      </c>
      <c r="G176" s="35"/>
      <c r="H176" s="28" t="s">
        <v>121</v>
      </c>
      <c r="I176" s="8" t="str">
        <f>IF(ISBLANK(input_wld_az1_edge_overlay_pool_end_ip),"Value Missing",input_wld_az1_edge_overlay_pool_end_ip)</f>
        <v>Value Missing</v>
      </c>
      <c r="J176" s="35"/>
      <c r="K176" s="28" t="s">
        <v>121</v>
      </c>
      <c r="L176" s="8" t="str">
        <f t="array" ref="L176">IF(ISBLANK(input_wld_az1_rack2_edge_overlay_pool_end_ip),"Value Missing",input_wld_az1_rack2_edge_overlay_pool_end_ip)</f>
        <v>Value Missing</v>
      </c>
      <c r="M176" s="33"/>
      <c r="N176" s="28" t="s">
        <v>121</v>
      </c>
      <c r="O176" s="8" t="str">
        <f t="array" ref="O176">IF(ISBLANK(input_wld_az1_rack3_edge_overlay_pool_end_ip),"Value Missing",input_wld_az1_rack3_edge_overlay_pool_end_ip)</f>
        <v>Value Missing</v>
      </c>
      <c r="Q176" s="28" t="s">
        <v>121</v>
      </c>
      <c r="R176" s="8" t="str">
        <f t="array" ref="R176">IF(ISBLANK(input_wld_az1_rack4_edge_overlay_pool_end_ip),"Value Missing",input_wld_az1_rack4_edge_overlay_pool_end_ip)</f>
        <v>Value Missing</v>
      </c>
      <c r="T176" s="28" t="s">
        <v>121</v>
      </c>
      <c r="U176" s="8" t="str">
        <f t="array" ref="U176">IF(ISBLANK(input_wld_az1_rack5_edge_overlay_pool_end_ip),"Value Missing",input_wld_az1_rack5_edge_overlay_pool_end_ip)</f>
        <v>Value Missing</v>
      </c>
      <c r="W176" s="28" t="s">
        <v>121</v>
      </c>
      <c r="X176" s="8" t="str">
        <f t="array" ref="X176">IF(ISBLANK(input_wld_az1_rack6_edge_overlay_pool_end_ip),"Value Missing",input_wld_az1_rack6_edge_overlay_pool_end_ip)</f>
        <v>Value Missing</v>
      </c>
      <c r="Z176" s="28" t="s">
        <v>121</v>
      </c>
      <c r="AA176" s="8" t="str">
        <f t="array" ref="AA176">IF(ISBLANK(input_wld_az1_rack7_edge_overlay_pool_end_ip),"Value Missing",input_wld_az1_rack7_edge_overlay_pool_end_ip)</f>
        <v>Value Missing</v>
      </c>
      <c r="AC176" s="28" t="s">
        <v>121</v>
      </c>
      <c r="AD176" s="8" t="str">
        <f t="array" ref="AD176">IF(ISBLANK(input_wld_az1_rack8_edge_overlay_pool_end_ip),"Value Missing",input_wld_az1_rack8_edge_overlay_pool_end_ip)</f>
        <v>Value Missing</v>
      </c>
      <c r="AG176" s="9"/>
      <c r="AH176" s="9"/>
      <c r="AI176" s="9"/>
    </row>
    <row r="177" spans="5:36" s="2" customFormat="1" ht="20" customHeight="1" x14ac:dyDescent="0.2">
      <c r="E177" s="28" t="s">
        <v>1201</v>
      </c>
      <c r="F177" s="8" t="str">
        <f>IF(ISBLANK(input_mgmt_rtep_overlay_pool_start_ip),"Value Missing",input_mgmt_rtep_overlay_pool_start_ip)</f>
        <v>Value Missing</v>
      </c>
      <c r="H177" s="28" t="s">
        <v>1201</v>
      </c>
      <c r="I177" s="8" t="str">
        <f>IF(ISBLANK(input_wld_rtep_overlay_pool_start_ip),"Value Missing",input_wld_rtep_overlay_pool_start_ip)</f>
        <v>Value Missing</v>
      </c>
      <c r="K177" s="28" t="s">
        <v>1201</v>
      </c>
      <c r="L177" s="8"/>
      <c r="M177" s="9"/>
      <c r="N177" s="28" t="s">
        <v>1201</v>
      </c>
      <c r="O177" s="8"/>
      <c r="Q177" s="28" t="s">
        <v>1201</v>
      </c>
      <c r="R177" s="8"/>
      <c r="T177" s="28" t="s">
        <v>1201</v>
      </c>
      <c r="U177" s="8"/>
      <c r="W177" s="28" t="s">
        <v>1201</v>
      </c>
      <c r="X177" s="8"/>
      <c r="Z177" s="28" t="s">
        <v>1201</v>
      </c>
      <c r="AA177" s="8"/>
      <c r="AC177" s="28" t="s">
        <v>1201</v>
      </c>
      <c r="AD177" s="8"/>
      <c r="AG177" s="9"/>
      <c r="AH177" s="9"/>
      <c r="AI177" s="9"/>
      <c r="AJ177" s="9"/>
    </row>
    <row r="178" spans="5:36" s="2" customFormat="1" ht="20" customHeight="1" x14ac:dyDescent="0.2">
      <c r="E178" s="28" t="s">
        <v>1202</v>
      </c>
      <c r="F178" s="8" t="str">
        <f>IF(ISBLANK(input_mgmt_rtep_overlay_pool_end_ip),"Value Missing",input_mgmt_rtep_overlay_pool_end_ip)</f>
        <v>Value Missing</v>
      </c>
      <c r="H178" s="28" t="s">
        <v>1202</v>
      </c>
      <c r="I178" s="8" t="str">
        <f>IF(ISBLANK(input_wld_rtep_overlay_pool_end_ip),"Value Missing",input_wld_rtep_overlay_pool_end_ip)</f>
        <v>Value Missing</v>
      </c>
      <c r="K178" s="28" t="s">
        <v>1202</v>
      </c>
      <c r="L178" s="8"/>
      <c r="N178" s="28" t="s">
        <v>1202</v>
      </c>
      <c r="O178" s="8"/>
      <c r="Q178" s="28" t="s">
        <v>1202</v>
      </c>
      <c r="R178" s="8"/>
      <c r="T178" s="28" t="s">
        <v>1202</v>
      </c>
      <c r="U178" s="8"/>
      <c r="W178" s="28" t="s">
        <v>1202</v>
      </c>
      <c r="X178" s="8"/>
      <c r="Z178" s="28" t="s">
        <v>1202</v>
      </c>
      <c r="AA178" s="8"/>
      <c r="AC178" s="28" t="s">
        <v>1202</v>
      </c>
      <c r="AD178" s="8"/>
      <c r="AG178" s="9"/>
      <c r="AH178" s="9"/>
      <c r="AI178" s="9"/>
      <c r="AJ178" s="9"/>
    </row>
    <row r="179" spans="5:36" s="2" customFormat="1" ht="20" customHeight="1" x14ac:dyDescent="0.2">
      <c r="H179" s="31"/>
      <c r="K179" s="32"/>
      <c r="M179" s="35"/>
      <c r="N179" s="32"/>
      <c r="Q179" s="32"/>
      <c r="T179" s="32"/>
      <c r="W179" s="32"/>
      <c r="Z179" s="32"/>
      <c r="AC179" s="32"/>
      <c r="AG179" s="9"/>
      <c r="AH179" s="9"/>
      <c r="AI179" s="9"/>
      <c r="AJ179" s="9"/>
    </row>
    <row r="180" spans="5:36" s="2" customFormat="1" ht="20" customHeight="1" x14ac:dyDescent="0.2">
      <c r="E180" s="27" t="s">
        <v>1203</v>
      </c>
      <c r="F180" s="15"/>
      <c r="H180" s="27" t="s">
        <v>1204</v>
      </c>
      <c r="I180" s="15"/>
      <c r="K180" s="27" t="s">
        <v>1205</v>
      </c>
      <c r="L180" s="15"/>
      <c r="N180" s="27" t="s">
        <v>1206</v>
      </c>
      <c r="O180" s="15"/>
      <c r="Q180" s="27" t="s">
        <v>1207</v>
      </c>
      <c r="R180" s="15"/>
      <c r="T180" s="27" t="s">
        <v>1208</v>
      </c>
      <c r="U180" s="15"/>
      <c r="W180" s="27" t="s">
        <v>1209</v>
      </c>
      <c r="X180" s="15"/>
      <c r="Z180" s="27" t="s">
        <v>1210</v>
      </c>
      <c r="AA180" s="15"/>
      <c r="AC180" s="27" t="s">
        <v>1211</v>
      </c>
      <c r="AD180" s="15"/>
      <c r="AG180" s="9"/>
      <c r="AH180" s="9"/>
      <c r="AI180" s="9"/>
      <c r="AJ180" s="9"/>
    </row>
    <row r="181" spans="5:36" s="2" customFormat="1" ht="20" customHeight="1" x14ac:dyDescent="0.2">
      <c r="E181" s="17" t="s">
        <v>254</v>
      </c>
      <c r="F181" s="20" t="s">
        <v>1044</v>
      </c>
      <c r="H181" s="17" t="s">
        <v>254</v>
      </c>
      <c r="I181" s="20" t="s">
        <v>20</v>
      </c>
      <c r="K181" s="19" t="s">
        <v>254</v>
      </c>
      <c r="L181" s="20" t="s">
        <v>20</v>
      </c>
      <c r="N181" s="19" t="s">
        <v>254</v>
      </c>
      <c r="O181" s="20" t="s">
        <v>20</v>
      </c>
      <c r="P181" s="33"/>
      <c r="Q181" s="19" t="s">
        <v>254</v>
      </c>
      <c r="R181" s="20" t="s">
        <v>20</v>
      </c>
      <c r="S181" s="33"/>
      <c r="T181" s="19" t="s">
        <v>254</v>
      </c>
      <c r="U181" s="20" t="s">
        <v>20</v>
      </c>
      <c r="V181" s="33"/>
      <c r="W181" s="19" t="s">
        <v>254</v>
      </c>
      <c r="X181" s="20" t="s">
        <v>20</v>
      </c>
      <c r="Y181" s="33"/>
      <c r="Z181" s="19" t="s">
        <v>254</v>
      </c>
      <c r="AA181" s="20" t="s">
        <v>20</v>
      </c>
      <c r="AB181" s="33"/>
      <c r="AC181" s="19" t="s">
        <v>254</v>
      </c>
      <c r="AD181" s="20" t="s">
        <v>20</v>
      </c>
      <c r="AG181" s="9"/>
      <c r="AH181" s="9"/>
      <c r="AI181" s="9"/>
      <c r="AJ181" s="9"/>
    </row>
    <row r="182" spans="5:36" s="2" customFormat="1" ht="20" customHeight="1" x14ac:dyDescent="0.2">
      <c r="E182" s="28" t="s">
        <v>243</v>
      </c>
      <c r="F182" s="8" t="str">
        <f>CONCATENATE(this_instance,"01-m01","-r01-network-pool-01")</f>
        <v>sfo01-m01-r01-network-pool-01</v>
      </c>
      <c r="H182" s="28" t="s">
        <v>1212</v>
      </c>
      <c r="I182" s="8" t="str">
        <f>IF(ISBLANK(input_wld_az1_pool_name),"Value Missing",input_wld_az1_pool_name)</f>
        <v>Value Missing</v>
      </c>
      <c r="K182" s="28" t="s">
        <v>243</v>
      </c>
      <c r="L182" s="8" t="str">
        <f>IF(ISBLANK(input_wld_az1_rack2_pool_name),"Value Missing",input_wld_az1_rack2_pool_name)</f>
        <v>Value Missing</v>
      </c>
      <c r="N182" s="28" t="s">
        <v>1212</v>
      </c>
      <c r="O182" s="8" t="str">
        <f>IF(ISBLANK(input_wld_az1_rack3_pool_name),"Value Missing",input_wld_az1_rack3_pool_name)</f>
        <v>Value Missing</v>
      </c>
      <c r="P182" s="9"/>
      <c r="Q182" s="28" t="s">
        <v>1212</v>
      </c>
      <c r="R182" s="8" t="str">
        <f>IF(ISBLANK(input_wld_az1_rack4_pool_name),"Value Missing",input_wld_az1_rack4_pool_name)</f>
        <v>Value Missing</v>
      </c>
      <c r="S182" s="9"/>
      <c r="T182" s="28" t="s">
        <v>1212</v>
      </c>
      <c r="U182" s="8" t="str">
        <f>IF(ISBLANK(input_wld_az1_rack5_pool_name),"Value Missing",input_wld_az1_rack5_pool_name)</f>
        <v>Value Missing</v>
      </c>
      <c r="V182" s="9"/>
      <c r="W182" s="28" t="s">
        <v>1212</v>
      </c>
      <c r="X182" s="8" t="str">
        <f>IF(ISBLANK(input_wld_az1_rack6_pool_name),"Value Missing",input_wld_az1_rack6_pool_name)</f>
        <v>Value Missing</v>
      </c>
      <c r="Y182" s="9"/>
      <c r="Z182" s="28" t="s">
        <v>1212</v>
      </c>
      <c r="AA182" s="8" t="str">
        <f>IF(ISBLANK(input_wld_az1_rack7_pool_name),"Value Missing",input_wld_az1_rack7_pool_name)</f>
        <v>Value Missing</v>
      </c>
      <c r="AB182" s="9"/>
      <c r="AC182" s="28" t="s">
        <v>1212</v>
      </c>
      <c r="AD182" s="8" t="str">
        <f>IF(ISBLANK(input_wld_az1_rack8_pool_name),"Value Missing",input_wld_az1_rack8_pool_name)</f>
        <v>Value Missing</v>
      </c>
      <c r="AG182" s="9"/>
      <c r="AH182" s="9"/>
      <c r="AI182" s="9"/>
    </row>
    <row r="183" spans="5:36" s="2" customFormat="1" ht="20" customHeight="1" x14ac:dyDescent="0.2">
      <c r="E183" s="28" t="s">
        <v>1213</v>
      </c>
      <c r="F183" s="8" t="str">
        <f>CONCATENATE(this_instance,"01-",sample_mgmt_cl01_cluster,"-r01-network-profile")</f>
        <v>sfo01-sfo-m01-cl01-r01-network-profile</v>
      </c>
      <c r="G183" s="7"/>
      <c r="H183" s="28" t="s">
        <v>1213</v>
      </c>
      <c r="I183" s="8" t="str">
        <f>IF(ISBLANK(input_wld_az1_rack1_host_overlay_network_profile_name),"Value Missing",input_wld_az1_rack1_host_overlay_network_profile_name)</f>
        <v>Value Missing</v>
      </c>
      <c r="J183" s="7"/>
      <c r="K183" s="28" t="s">
        <v>1213</v>
      </c>
      <c r="L183" s="8" t="str">
        <f>IF(ISBLANK(input_wld_az1_rack2_host_overlay_network_profile_name),"Value Missing",input_wld_az1_rack2_host_overlay_network_profile_name)</f>
        <v>Value Missing</v>
      </c>
      <c r="N183" s="28" t="s">
        <v>1213</v>
      </c>
      <c r="O183" s="8" t="str">
        <f>IF(ISBLANK(input_wld_az1_rack3_host_overlay_network_profile_name),"Value Missing",input_wld_az1_rack3_host_overlay_network_profile_name)</f>
        <v>Value Missing</v>
      </c>
      <c r="Q183" s="28" t="s">
        <v>1213</v>
      </c>
      <c r="R183" s="8" t="str">
        <f>IF(ISBLANK(input_wld_az1_rack4_host_overlay_network_profile_name),"Value Missing",input_wld_az1_rack4_host_overlay_network_profile_name)</f>
        <v>Value Missing</v>
      </c>
      <c r="T183" s="28" t="s">
        <v>1213</v>
      </c>
      <c r="U183" s="8" t="str">
        <f>IF(ISBLANK(input_wld_az1_rack5_host_overlay_network_profile_name),"Value Missing",input_wld_az1_rack5_host_overlay_network_profile_name)</f>
        <v>Value Missing</v>
      </c>
      <c r="W183" s="28" t="s">
        <v>1213</v>
      </c>
      <c r="X183" s="8" t="str">
        <f>IF(ISBLANK(input_wld_az1_rack6_host_overlay_network_profile_name),"Value Missing",input_wld_az1_rack6_host_overlay_network_profile_name)</f>
        <v>Value Missing</v>
      </c>
      <c r="Z183" s="28" t="s">
        <v>1213</v>
      </c>
      <c r="AA183" s="8" t="str">
        <f>IF(ISBLANK(input_wld_az1_rack7_host_overlay_network_profile_name),"Value Missing",input_wld_az1_rack7_host_overlay_network_profile_name)</f>
        <v>Value Missing</v>
      </c>
      <c r="AC183" s="28" t="s">
        <v>1213</v>
      </c>
      <c r="AD183" s="8" t="str">
        <f>IF(ISBLANK(input_wld_az1_rack8_host_overlay_network_profile_name),"Value Missing",input_wld_az1_rack8_host_overlay_network_profile_name)</f>
        <v>Value Missing</v>
      </c>
      <c r="AG183" s="9"/>
      <c r="AH183" s="9"/>
      <c r="AI183" s="9"/>
      <c r="AJ183" s="9"/>
    </row>
    <row r="184" spans="5:36" s="2" customFormat="1" ht="20" customHeight="1" x14ac:dyDescent="0.2">
      <c r="E184" s="28" t="s">
        <v>1214</v>
      </c>
      <c r="F184" s="34" t="str">
        <f>IF(ISBLANK(sample_mgmt_az1_host_overlay_network_pool_description),"Value Missing",sample_mgmt_az1_host_overlay_network_pool_description)</f>
        <v>ESX Host Overlay TEP IP Pool</v>
      </c>
      <c r="H184" s="28" t="s">
        <v>1214</v>
      </c>
      <c r="I184" s="34" t="str">
        <f>IF(ISBLANK(sample_wld_az1_host_overlay_network_pool_description),"Value Missing",sample_wld_az1_host_overlay_network_pool_description)</f>
        <v>ESX Host Overlay TEP IP Pool</v>
      </c>
      <c r="K184" s="28" t="s">
        <v>1214</v>
      </c>
      <c r="L184" s="34"/>
      <c r="N184" s="28" t="s">
        <v>1214</v>
      </c>
      <c r="O184" s="34"/>
      <c r="P184" s="35"/>
      <c r="Q184" s="28" t="s">
        <v>1214</v>
      </c>
      <c r="R184" s="34"/>
      <c r="S184" s="35"/>
      <c r="T184" s="28" t="s">
        <v>1214</v>
      </c>
      <c r="U184" s="34"/>
      <c r="V184" s="35"/>
      <c r="W184" s="28" t="s">
        <v>1214</v>
      </c>
      <c r="X184" s="34"/>
      <c r="Y184" s="35"/>
      <c r="Z184" s="28" t="s">
        <v>1214</v>
      </c>
      <c r="AA184" s="34"/>
      <c r="AB184" s="35"/>
      <c r="AC184" s="28" t="s">
        <v>1214</v>
      </c>
      <c r="AD184" s="34"/>
      <c r="AG184" s="9"/>
      <c r="AH184" s="9"/>
      <c r="AI184" s="9"/>
      <c r="AJ184" s="9"/>
    </row>
    <row r="185" spans="5:36" s="2" customFormat="1" ht="20" customHeight="1" x14ac:dyDescent="0.2">
      <c r="E185" s="28" t="s">
        <v>1215</v>
      </c>
      <c r="F185" s="8" t="str">
        <f>CONCATENATE(this_instance,"01-m01","-r01-ip-pool01-host")</f>
        <v>sfo01-m01-r01-ip-pool01-host</v>
      </c>
      <c r="G185" s="21"/>
      <c r="H185" s="28" t="s">
        <v>1216</v>
      </c>
      <c r="I185" s="8" t="str">
        <f>IF(ISBLANK(input_wld_az1_host_overlay_network_pool_name),"Value Missing",input_wld_az1_host_overlay_network_pool_name)</f>
        <v>Value Missing</v>
      </c>
      <c r="J185" s="21"/>
      <c r="K185" s="28" t="s">
        <v>1215</v>
      </c>
      <c r="L185" s="8" t="str">
        <f>IF(ISBLANK(input_wld_az1_rack2_host_overlay_network_pool_name),"Value Missing",input_wld_az1_rack2_host_overlay_network_pool_name)</f>
        <v>Value Missing</v>
      </c>
      <c r="N185" s="28" t="s">
        <v>1216</v>
      </c>
      <c r="O185" s="8" t="str">
        <f>IF(ISBLANK(input_wld_az1_rack3_host_overlay_network_pool_name),"Value Missing",input_wld_az1_rack3_host_overlay_network_pool_name)</f>
        <v>Value Missing</v>
      </c>
      <c r="Q185" s="28" t="s">
        <v>1216</v>
      </c>
      <c r="R185" s="8" t="str">
        <f>IF(ISBLANK(input_wld_az1_rack4_host_overlay_network_pool_name),"Value Missing",input_wld_az1_rack4_host_overlay_network_pool_name)</f>
        <v>Value Missing</v>
      </c>
      <c r="T185" s="28" t="s">
        <v>1216</v>
      </c>
      <c r="U185" s="8" t="str">
        <f>IF(ISBLANK(input_wld_az1_rack5_host_overlay_network_pool_name),"Value Missing",input_wld_az1_rack5_host_overlay_network_pool_name)</f>
        <v>Value Missing</v>
      </c>
      <c r="W185" s="28" t="s">
        <v>1216</v>
      </c>
      <c r="X185" s="8" t="str">
        <f>IF(ISBLANK(input_wld_az1_rack6_host_overlay_network_pool_name),"Value Missing",input_wld_az1_rack6_host_overlay_network_pool_name)</f>
        <v>Value Missing</v>
      </c>
      <c r="Z185" s="28" t="s">
        <v>1216</v>
      </c>
      <c r="AA185" s="8" t="str">
        <f>IF(ISBLANK(input_wld_az1_rack7_host_overlay_network_pool_name),"Value Missing",input_wld_az1_rack7_host_overlay_network_pool_name)</f>
        <v>Value Missing</v>
      </c>
      <c r="AC185" s="28" t="s">
        <v>1216</v>
      </c>
      <c r="AD185" s="8" t="str">
        <f>IF(ISBLANK(input_wld_az1_rack8_host_overlay_network_pool_name),"Value Missing",input_wld_az1_rack8_host_overlay_network_pool_name)</f>
        <v>Value Missing</v>
      </c>
      <c r="AG185" s="9"/>
      <c r="AH185" s="9"/>
      <c r="AI185" s="9"/>
      <c r="AJ185" s="9"/>
    </row>
    <row r="186" spans="5:36" s="2" customFormat="1" ht="20" customHeight="1" x14ac:dyDescent="0.2">
      <c r="E186" s="4" t="s">
        <v>1217</v>
      </c>
      <c r="F186" s="8"/>
      <c r="G186" s="21"/>
      <c r="H186" s="28" t="s">
        <v>1218</v>
      </c>
      <c r="I186" s="8" t="str">
        <f>IF(ISBLANK(input_wld_host_overlay_transportzone),"Value Missing",input_wld_host_overlay_transportzone)</f>
        <v>Value Missing</v>
      </c>
      <c r="J186" s="21"/>
      <c r="K186" s="28"/>
      <c r="L186" s="8"/>
      <c r="M186" s="7"/>
      <c r="N186" s="28"/>
      <c r="O186" s="8"/>
      <c r="Q186" s="28"/>
      <c r="R186" s="8"/>
      <c r="T186" s="28"/>
      <c r="U186" s="8"/>
      <c r="W186" s="28"/>
      <c r="X186" s="8"/>
      <c r="Z186" s="28"/>
      <c r="AA186" s="8"/>
      <c r="AC186" s="28"/>
      <c r="AD186" s="8"/>
      <c r="AG186" s="9"/>
      <c r="AH186" s="9"/>
      <c r="AI186" s="9"/>
      <c r="AJ186" s="9"/>
    </row>
    <row r="187" spans="5:36" s="2" customFormat="1" ht="20" customHeight="1" x14ac:dyDescent="0.2">
      <c r="E187" s="28" t="s">
        <v>1219</v>
      </c>
      <c r="F187" s="8" t="str">
        <f>CONCATENATE(this_instance,"01-m01","-r01-uplink-profile01")</f>
        <v>sfo01-m01-r01-uplink-profile01</v>
      </c>
      <c r="H187" s="28" t="s">
        <v>1219</v>
      </c>
      <c r="I187" s="8" t="str">
        <f>IF(ISBLANK(input_wld_az1_host_overlay_uplink_profile_name),"Value Missing",input_wld_az1_host_overlay_uplink_profile_name)</f>
        <v>Value Missing</v>
      </c>
      <c r="K187" s="28" t="s">
        <v>1219</v>
      </c>
      <c r="L187" s="8" t="str">
        <f>IF(ISBLANK(input_wld_az1_rack2_host_overlay_uplink_profile_name),"Value Missing",input_wld_az1_rack2_host_overlay_uplink_profile_name)</f>
        <v>Value Missing</v>
      </c>
      <c r="M187" s="3"/>
      <c r="N187" s="28" t="s">
        <v>1219</v>
      </c>
      <c r="O187" s="8" t="str">
        <f>IF(ISBLANK(input_wld_az1_rack3_host_overlay_uplink_profile_name),"Value Missing",input_wld_az1_rack3_host_overlay_uplink_profile_name)</f>
        <v>Value Missing</v>
      </c>
      <c r="Q187" s="28" t="s">
        <v>1219</v>
      </c>
      <c r="R187" s="8" t="str">
        <f>IF(ISBLANK(input_wld_az1_rack4_host_overlay_uplink_profile_name),"Value Missing",input_wld_az1_rack4_host_overlay_uplink_profile_name)</f>
        <v>Value Missing</v>
      </c>
      <c r="T187" s="28" t="s">
        <v>1219</v>
      </c>
      <c r="U187" s="8" t="str">
        <f>IF(ISBLANK(input_wld_az1_rack5_host_overlay_uplink_profile_name),"Value Missing",input_wld_az1_rack5_host_overlay_uplink_profile_name)</f>
        <v>Value Missing</v>
      </c>
      <c r="W187" s="28" t="s">
        <v>1219</v>
      </c>
      <c r="X187" s="8" t="str">
        <f>IF(ISBLANK(input_wld_az1_rack6_host_overlay_uplink_profile_name),"Value Missing",input_wld_az1_rack6_host_overlay_uplink_profile_name)</f>
        <v>Value Missing</v>
      </c>
      <c r="Z187" s="28" t="s">
        <v>1219</v>
      </c>
      <c r="AA187" s="8" t="str">
        <f>IF(ISBLANK(input_wld_az1_rack7_host_overlay_uplink_profile_name),"Value Missing",input_wld_az1_rack7_host_overlay_uplink_profile_name)</f>
        <v>Value Missing</v>
      </c>
      <c r="AC187" s="28" t="s">
        <v>1219</v>
      </c>
      <c r="AD187" s="8" t="str">
        <f>IF(ISBLANK(input_wld_az1_rack8_host_overlay_uplink_profile_name),"Value Missing",input_wld_az1_rack8_host_overlay_uplink_profile_name)</f>
        <v>Value Missing</v>
      </c>
      <c r="AG187" s="9"/>
      <c r="AH187" s="9"/>
      <c r="AI187" s="9"/>
      <c r="AJ187" s="9"/>
    </row>
    <row r="188" spans="5:36" s="2" customFormat="1" ht="20" customHeight="1" x14ac:dyDescent="0.2">
      <c r="E188" s="28" t="s">
        <v>1220</v>
      </c>
      <c r="F188" s="8" t="str">
        <f>IF(ISBLANK(input_mgmt_az1_edge_overlay_network_pool_name),"Value Missing",input_mgmt_az1_edge_overlay_network_pool_name)</f>
        <v>Value Missing</v>
      </c>
      <c r="H188" s="28" t="s">
        <v>1220</v>
      </c>
      <c r="I188" s="8" t="str">
        <f>IF(ISBLANK(input_wld_az1_edge_overlay_network_pool_name),"Value Missing",input_wld_az1_edge_overlay_network_pool_name)</f>
        <v>Value Missing</v>
      </c>
      <c r="K188" s="28" t="s">
        <v>1220</v>
      </c>
      <c r="L188" s="8" t="str">
        <f>IF(ISBLANK(input_wld_az1_rack2_edge_overlay_network_pool_name),"Value Missing",input_wld_az1_rack2_edge_overlay_network_pool_name)</f>
        <v>Value Missing</v>
      </c>
      <c r="M188" s="21"/>
      <c r="N188" s="28" t="s">
        <v>1220</v>
      </c>
      <c r="O188" s="8" t="str">
        <f>IF(ISBLANK(input_wld_az1_rack3_edge_overlay_network_pool_name),"Value Missing",input_wld_az1_rack3_edge_overlay_network_pool_name)</f>
        <v>Value Missing</v>
      </c>
      <c r="Q188" s="28" t="s">
        <v>1220</v>
      </c>
      <c r="R188" s="8" t="str">
        <f>IF(ISBLANK(input_wld_az1_rack4_edge_overlay_network_pool_name),"Value Missing",input_wld_az1_rack4_edge_overlay_network_pool_name)</f>
        <v>Value Missing</v>
      </c>
      <c r="T188" s="28" t="s">
        <v>1220</v>
      </c>
      <c r="U188" s="8" t="str">
        <f>IF(ISBLANK(input_wld_az1_rack5_edge_overlay_network_pool_name),"Value Missing",input_wld_az1_rack5_edge_overlay_network_pool_name)</f>
        <v>Value Missing</v>
      </c>
      <c r="W188" s="28" t="s">
        <v>1220</v>
      </c>
      <c r="X188" s="8" t="str">
        <f>IF(ISBLANK(input_wld_az1_rack6_edge_overlay_network_pool_name),"Value Missing",input_wld_az1_rack6_edge_overlay_network_pool_name)</f>
        <v>Value Missing</v>
      </c>
      <c r="Z188" s="28" t="s">
        <v>1220</v>
      </c>
      <c r="AA188" s="8" t="str">
        <f>IF(ISBLANK(input_wld_az1_rack7_edge_overlay_network_pool_name),"Value Missing",input_wld_az1_rack7_edge_overlay_network_pool_name)</f>
        <v>Value Missing</v>
      </c>
      <c r="AC188" s="37" t="s">
        <v>1220</v>
      </c>
      <c r="AD188" s="8" t="str">
        <f>IF(ISBLANK(input_wld_az1_rack8_edge_overlay_network_pool_name),"Value Missing",input_wld_az1_rack8_edge_overlay_network_pool_name)</f>
        <v>Value Missing</v>
      </c>
      <c r="AG188" s="9"/>
      <c r="AH188" s="9"/>
      <c r="AI188" s="9"/>
      <c r="AJ188" s="9"/>
    </row>
    <row r="189" spans="5:36" s="2" customFormat="1" ht="20" customHeight="1" x14ac:dyDescent="0.2">
      <c r="E189" s="28" t="s">
        <v>1221</v>
      </c>
      <c r="F189" s="8" t="str">
        <f>IF(ISBLANK(input_mgmt_az1_rtep_ip_pool_name),"Value Missing",input_mgmt_az1_rtep_ip_pool_name)</f>
        <v>Value Missing</v>
      </c>
      <c r="H189" s="28" t="s">
        <v>1221</v>
      </c>
      <c r="I189" s="8" t="str">
        <f>IF(ISBLANK(input_wld_az1_rtep_ip_pool_name),"Value Missing",input_wld_az1_rtep_ip_pool_name)</f>
        <v>Value Missing</v>
      </c>
      <c r="K189" s="28" t="s">
        <v>1221</v>
      </c>
      <c r="L189" s="8" t="str">
        <f>IF(ISBLANK(input_wld_az1_rack2_rtep_ip_pool_name),"Value Missing",input_wld_az1_rack2_rtep_ip_pool_name)</f>
        <v>Value Missing</v>
      </c>
      <c r="M189" s="21"/>
      <c r="N189" s="28" t="s">
        <v>1221</v>
      </c>
      <c r="O189" s="8" t="str">
        <f>IF(ISBLANK(input_wld_az1_rack3_rtep_ip_pool_name),"Value Missing",input_wld_az1_rack3_rtep_ip_pool_name)</f>
        <v>Value Missing</v>
      </c>
      <c r="Q189" s="28" t="s">
        <v>1221</v>
      </c>
      <c r="R189" s="8" t="str">
        <f>IF(ISBLANK(input_wld_az1_rack4_rtep_ip_pool_name),"Value Missing",input_wld_az1_rack4_rtep_ip_pool_name)</f>
        <v>Value Missing</v>
      </c>
      <c r="T189" s="28" t="s">
        <v>1221</v>
      </c>
      <c r="U189" s="8" t="str">
        <f>IF(ISBLANK(input_wld_az1_rack5_rtep_ip_pool_name),"Value Missing",input_wld_az1_rack5_rtep_ip_pool_name)</f>
        <v>Value Missing</v>
      </c>
      <c r="W189" s="28" t="s">
        <v>1221</v>
      </c>
      <c r="X189" s="8" t="str">
        <f>IF(ISBLANK(input_wld_az1_rack6_rtep_ip_pool_name),"Value Missing",input_wld_az1_rack6_rtep_ip_pool_name)</f>
        <v>Value Missing</v>
      </c>
      <c r="Z189" s="28" t="s">
        <v>1221</v>
      </c>
      <c r="AA189" s="8" t="str">
        <f>IF(ISBLANK(input_wld_az1_rack7_rtep_ip_pool_name),"Value Missing",input_wld_az1_rack7_rtep_ip_pool_name)</f>
        <v>Value Missing</v>
      </c>
      <c r="AC189" s="28" t="s">
        <v>1221</v>
      </c>
      <c r="AD189" s="8" t="str">
        <f>IF(ISBLANK(input_wld_az1_rack8_rtep_ip_pool_name),"Value Missing",input_wld_az1_rack8_rtep_ip_pool_name)</f>
        <v>Value Missing</v>
      </c>
      <c r="AG189" s="9"/>
      <c r="AH189" s="9"/>
      <c r="AI189" s="9"/>
      <c r="AJ189" s="9"/>
    </row>
    <row r="190" spans="5:36" s="2" customFormat="1" ht="20" customHeight="1" x14ac:dyDescent="0.2">
      <c r="E190" s="28" t="s">
        <v>1222</v>
      </c>
      <c r="F190" s="8"/>
      <c r="H190" s="28" t="s">
        <v>1222</v>
      </c>
      <c r="I190" s="8"/>
      <c r="K190" s="28" t="s">
        <v>1222</v>
      </c>
      <c r="L190" s="8" t="str">
        <f>IF(ISBLANK(input_wld_az1_rack2_vsan_fault_domain),"Value Missing",input_wld_az1_rack2_vsan_fault_domain)</f>
        <v>Value Missing</v>
      </c>
      <c r="N190" s="28" t="s">
        <v>1222</v>
      </c>
      <c r="O190" s="8" t="str">
        <f>IF(ISBLANK(input_wld_az1_rack3_vsan_fault_domain),"Value Missing",input_wld_az1_rack3_vsan_fault_domain)</f>
        <v>Value Missing</v>
      </c>
      <c r="Q190" s="28" t="s">
        <v>1222</v>
      </c>
      <c r="R190" s="8" t="str">
        <f>IF(ISBLANK(input_wld_az1_rack4_vsan_fault_domain),"Value Missing",input_wld_az1_rack4_vsan_fault_domain)</f>
        <v>Value Missing</v>
      </c>
      <c r="T190" s="28" t="s">
        <v>1222</v>
      </c>
      <c r="U190" s="8" t="str">
        <f>IF(ISBLANK(input_wld_az1_rack5_vsan_fault_domain),"Value Missing",input_wld_az1_rack5_vsan_fault_domain)</f>
        <v>Value Missing</v>
      </c>
      <c r="W190" s="28" t="s">
        <v>1222</v>
      </c>
      <c r="X190" s="8" t="str">
        <f>IF(ISBLANK(input_wld_az1_rack6_vsan_fault_domain),"Value Missing",input_wld_az1_rack6_vsan_fault_domain)</f>
        <v>Value Missing</v>
      </c>
      <c r="Z190" s="28" t="s">
        <v>1222</v>
      </c>
      <c r="AA190" s="8" t="str">
        <f>IF(ISBLANK(input_wld_az1_rack7_vsan_fault_domain),"Value Missing",input_wld_az1_rack7_vsan_fault_domain)</f>
        <v>Value Missing</v>
      </c>
      <c r="AC190" s="28" t="s">
        <v>1222</v>
      </c>
      <c r="AD190" s="8" t="str">
        <f>IF(ISBLANK(input_wld_az1_rack8_vsan_fault_domain),"Value Missing",input_wld_az1_rack8_vsan_fault_domain)</f>
        <v>Value Missing</v>
      </c>
      <c r="AG190" s="9"/>
      <c r="AH190" s="9"/>
      <c r="AI190" s="9"/>
      <c r="AJ190" s="9"/>
    </row>
    <row r="191" spans="5:36" s="2" customFormat="1" ht="20" customHeight="1" x14ac:dyDescent="0.2">
      <c r="E191" s="7"/>
      <c r="F191" s="7"/>
      <c r="H191" s="38"/>
      <c r="I191" s="38"/>
      <c r="K191" s="38"/>
      <c r="L191" s="25"/>
      <c r="N191" s="38"/>
      <c r="O191" s="25"/>
      <c r="P191" s="7"/>
      <c r="Q191" s="38"/>
      <c r="R191" s="25"/>
      <c r="S191" s="7"/>
      <c r="T191" s="38"/>
      <c r="U191" s="25"/>
      <c r="V191" s="7"/>
      <c r="W191" s="38"/>
      <c r="X191" s="25"/>
      <c r="Y191" s="7"/>
      <c r="Z191" s="38"/>
      <c r="AA191" s="25"/>
      <c r="AB191" s="7"/>
      <c r="AC191" s="38"/>
      <c r="AD191" s="25"/>
      <c r="AG191" s="9"/>
      <c r="AH191" s="9"/>
      <c r="AI191" s="9"/>
      <c r="AJ191" s="9"/>
    </row>
    <row r="192" spans="5:36" s="2" customFormat="1" ht="20" customHeight="1" x14ac:dyDescent="0.2">
      <c r="E192" s="627" t="s">
        <v>1223</v>
      </c>
      <c r="F192" s="628"/>
      <c r="H192" s="627" t="s">
        <v>1224</v>
      </c>
      <c r="I192" s="628"/>
      <c r="K192" s="627" t="s">
        <v>1225</v>
      </c>
      <c r="L192" s="628"/>
      <c r="N192" s="627" t="s">
        <v>1226</v>
      </c>
      <c r="O192" s="628"/>
      <c r="Q192" s="627" t="s">
        <v>1227</v>
      </c>
      <c r="R192" s="628"/>
      <c r="T192" s="627" t="s">
        <v>1227</v>
      </c>
      <c r="U192" s="628"/>
      <c r="W192" s="627" t="s">
        <v>1227</v>
      </c>
      <c r="X192" s="628"/>
      <c r="Z192" s="627" t="s">
        <v>1227</v>
      </c>
      <c r="AA192" s="628"/>
      <c r="AC192" s="627" t="s">
        <v>1227</v>
      </c>
      <c r="AD192" s="628"/>
      <c r="AG192" s="9"/>
      <c r="AH192" s="9"/>
      <c r="AI192" s="9"/>
      <c r="AJ192" s="9"/>
    </row>
    <row r="193" spans="2:37" s="2" customFormat="1" ht="20" customHeight="1" x14ac:dyDescent="0.2">
      <c r="E193" s="17" t="s">
        <v>254</v>
      </c>
      <c r="F193" s="20" t="s">
        <v>1044</v>
      </c>
      <c r="H193" s="17" t="s">
        <v>254</v>
      </c>
      <c r="I193" s="20" t="s">
        <v>20</v>
      </c>
      <c r="K193" s="19" t="s">
        <v>254</v>
      </c>
      <c r="L193" s="20" t="s">
        <v>20</v>
      </c>
      <c r="N193" s="19" t="s">
        <v>254</v>
      </c>
      <c r="O193" s="20" t="s">
        <v>20</v>
      </c>
      <c r="P193" s="21"/>
      <c r="Q193" s="19" t="s">
        <v>254</v>
      </c>
      <c r="R193" s="20" t="s">
        <v>20</v>
      </c>
      <c r="S193" s="21"/>
      <c r="T193" s="19" t="s">
        <v>254</v>
      </c>
      <c r="U193" s="20" t="s">
        <v>20</v>
      </c>
      <c r="V193" s="21"/>
      <c r="W193" s="19" t="s">
        <v>254</v>
      </c>
      <c r="X193" s="20" t="s">
        <v>20</v>
      </c>
      <c r="Y193" s="21"/>
      <c r="Z193" s="19" t="s">
        <v>254</v>
      </c>
      <c r="AA193" s="20" t="s">
        <v>20</v>
      </c>
      <c r="AB193" s="21"/>
      <c r="AC193" s="19" t="s">
        <v>254</v>
      </c>
      <c r="AD193" s="20" t="s">
        <v>20</v>
      </c>
      <c r="AG193" s="9"/>
      <c r="AH193" s="9"/>
      <c r="AI193" s="9"/>
      <c r="AJ193" s="9"/>
    </row>
    <row r="194" spans="2:37" s="2" customFormat="1" ht="20" customHeight="1" x14ac:dyDescent="0.2">
      <c r="E194" s="4" t="s">
        <v>1228</v>
      </c>
      <c r="F194" s="39"/>
      <c r="H194" s="4" t="s">
        <v>1229</v>
      </c>
      <c r="I194" s="8"/>
      <c r="K194" s="4" t="s">
        <v>1230</v>
      </c>
      <c r="L194" s="39" t="str">
        <f>IF(ISBLANK(input_wld_az1_rack2_mgmt_vm_cidr),"Value Missing",VLOOKUP(INT(RIGHT(input_wld_az1_rack2_mgmt_vm_cidr,LEN(input_wld_az1_rack2_mgmt_vm_cidr)-FIND("/",input_wld_az1_rack2_mgmt_vm_cidr))),table_cidr_to_mask,2,FALSE))</f>
        <v>Value Missing</v>
      </c>
      <c r="N194" s="4" t="s">
        <v>1231</v>
      </c>
      <c r="O194" s="39" t="str">
        <f>IF(ISBLANK(input_wld_az1_rack3_mgmt_vm_cidr),"Value Missing",VLOOKUP(INT(RIGHT(input_wld_az1_rack3_mgmt_vm_cidr,LEN(input_wld_az1_rack3_mgmt_vm_cidr)-FIND("/",input_wld_az1_rack3_mgmt_vm_cidr))),table_cidr_to_mask,2,FALSE))</f>
        <v>Value Missing</v>
      </c>
      <c r="P194" s="21"/>
      <c r="Q194" s="4" t="s">
        <v>1232</v>
      </c>
      <c r="R194" s="39" t="str">
        <f>IF(ISBLANK(input_wld_az1_rack4_mgmt_vm_cidr),"Value Missing",VLOOKUP(INT(RIGHT(input_wld_az1_rack4_mgmt_vm_cidr,LEN(input_wld_az1_rack4_mgmt_vm_cidr)-FIND("/",input_wld_az1_rack4_mgmt_vm_cidr))),table_cidr_to_mask,2,FALSE))</f>
        <v>Value Missing</v>
      </c>
      <c r="S194" s="21"/>
      <c r="T194" s="4" t="s">
        <v>1233</v>
      </c>
      <c r="U194" s="39" t="str">
        <f>IF(ISBLANK(input_wld_az1_rack5_mgmt_vm_cidr),"Value Missing",VLOOKUP(INT(RIGHT(input_wld_az1_rack5_mgmt_vm_cidr,LEN(input_wld_az1_rack5_mgmt_vm_cidr)-FIND("/",input_wld_az1_rack5_mgmt_vm_cidr))),table_cidr_to_mask,2,FALSE))</f>
        <v>Value Missing</v>
      </c>
      <c r="V194" s="21"/>
      <c r="W194" s="4" t="s">
        <v>1234</v>
      </c>
      <c r="X194" s="39" t="str">
        <f>IF(ISBLANK(input_wld_az1_rack6_mgmt_vm_cidr),"Value Missing",VLOOKUP(INT(RIGHT(input_wld_az1_rack6_mgmt_vm_cidr,LEN(input_wld_az1_rack6_mgmt_vm_cidr)-FIND("/",input_wld_az1_rack6_mgmt_vm_cidr))),table_cidr_to_mask,2,FALSE))</f>
        <v>Value Missing</v>
      </c>
      <c r="Y194" s="21"/>
      <c r="Z194" s="4" t="s">
        <v>1235</v>
      </c>
      <c r="AA194" s="39" t="str">
        <f>IF(ISBLANK(input_wld_az1_rack7_mgmt_vm_cidr),"Value Missing",VLOOKUP(INT(RIGHT(input_wld_az1_rack7_mgmt_vm_cidr,LEN(input_wld_az1_rack7_mgmt_vm_cidr)-FIND("/",input_wld_az1_rack7_mgmt_vm_cidr))),table_cidr_to_mask,2,FALSE))</f>
        <v>Value Missing</v>
      </c>
      <c r="AB194" s="21"/>
      <c r="AC194" s="4" t="s">
        <v>1236</v>
      </c>
      <c r="AD194" s="39" t="str">
        <f>IF(ISBLANK(input_wld_az1_rack8_mgmt_vm_cidr),"Value Missing",VLOOKUP(INT(RIGHT(input_wld_az1_rack8_mgmt_vm_cidr,LEN(input_wld_az1_rack8_mgmt_vm_cidr)-FIND("/",input_wld_az1_rack8_mgmt_vm_cidr))),table_cidr_to_mask,2,FALSE))</f>
        <v>Value Missing</v>
      </c>
      <c r="AG194" s="9"/>
      <c r="AH194" s="9"/>
      <c r="AI194" s="9"/>
      <c r="AJ194" s="9"/>
    </row>
    <row r="195" spans="2:37" s="2" customFormat="1" ht="20" customHeight="1" x14ac:dyDescent="0.2">
      <c r="B195" s="9"/>
      <c r="C195" s="9"/>
      <c r="E195" s="4" t="s">
        <v>1237</v>
      </c>
      <c r="F195" s="8"/>
      <c r="G195" s="21"/>
      <c r="H195" s="4" t="s">
        <v>1238</v>
      </c>
      <c r="I195" s="8"/>
      <c r="J195" s="21"/>
      <c r="K195" s="4" t="s">
        <v>1239</v>
      </c>
      <c r="L195" s="8" t="str">
        <f>IF(ISBLANK(input_wld_az1_rack2_mgmt_cidr),"Value Missing",VLOOKUP(INT(RIGHT(input_wld_az1_rack2_mgmt_cidr,LEN(input_wld_az1_rack2_mgmt_cidr)-FIND("/",input_wld_az1_rack2_mgmt_cidr))),table_cidr_to_mask,2,FALSE))</f>
        <v>Value Missing</v>
      </c>
      <c r="N195" s="4" t="s">
        <v>1240</v>
      </c>
      <c r="O195" s="8" t="str">
        <f>IF(ISBLANK(input_wld_az1_rack3_mgmt_cidr),"Value Missing",VLOOKUP(INT(RIGHT(input_wld_az1_rack3_mgmt_cidr,LEN(input_wld_az1_rack3_mgmt_cidr)-FIND("/",input_wld_az1_rack3_mgmt_cidr))),table_cidr_to_mask,2,FALSE))</f>
        <v>Value Missing</v>
      </c>
      <c r="Q195" s="4" t="s">
        <v>1241</v>
      </c>
      <c r="R195" s="8" t="str">
        <f>IF(ISBLANK(input_wld_az1_rack4_mgmt_cidr),"Value Missing",VLOOKUP(INT(RIGHT(input_wld_az1_rack4_mgmt_cidr,LEN(input_wld_az1_rack4_mgmt_cidr)-FIND("/",input_wld_az1_rack4_mgmt_cidr))),table_cidr_to_mask,2,FALSE))</f>
        <v>Value Missing</v>
      </c>
      <c r="T195" s="4" t="s">
        <v>1242</v>
      </c>
      <c r="U195" s="8" t="str">
        <f>IF(ISBLANK(input_wld_az1_rack5_mgmt_cidr),"Value Missing",VLOOKUP(INT(RIGHT(input_wld_az1_rack5_mgmt_cidr,LEN(input_wld_az1_rack5_mgmt_cidr)-FIND("/",input_wld_az1_rack5_mgmt_cidr))),table_cidr_to_mask,2,FALSE))</f>
        <v>Value Missing</v>
      </c>
      <c r="W195" s="4" t="s">
        <v>1243</v>
      </c>
      <c r="X195" s="8" t="str">
        <f>IF(ISBLANK(input_wld_az1_rack6_mgmt_cidr),"Value Missing",VLOOKUP(INT(RIGHT(input_wld_az1_rack6_mgmt_cidr,LEN(input_wld_az1_rack6_mgmt_cidr)-FIND("/",input_wld_az1_rack6_mgmt_cidr))),table_cidr_to_mask,2,FALSE))</f>
        <v>Value Missing</v>
      </c>
      <c r="Z195" s="4" t="s">
        <v>1244</v>
      </c>
      <c r="AA195" s="8" t="str">
        <f>IF(ISBLANK(input_wld_az1_rack7_mgmt_cidr),"Value Missing",VLOOKUP(INT(RIGHT(input_wld_az1_rack7_mgmt_cidr,LEN(input_wld_az1_rack7_mgmt_cidr)-FIND("/",input_wld_az1_rack7_mgmt_cidr))),table_cidr_to_mask,2,FALSE))</f>
        <v>Value Missing</v>
      </c>
      <c r="AC195" s="4" t="s">
        <v>1245</v>
      </c>
      <c r="AD195" s="8" t="str">
        <f>IF(ISBLANK(input_wld_az1_rack8_mgmt_cidr),"Value Missing",VLOOKUP(INT(RIGHT(input_wld_az1_rack8_mgmt_cidr,LEN(input_wld_az1_rack8_mgmt_cidr)-FIND("/",input_wld_az1_rack8_mgmt_cidr))),table_cidr_to_mask,2,FALSE))</f>
        <v>Value Missing</v>
      </c>
      <c r="AG195" s="9"/>
      <c r="AH195" s="9"/>
      <c r="AI195" s="9"/>
      <c r="AJ195" s="9"/>
    </row>
    <row r="196" spans="2:37" s="2" customFormat="1" ht="20" customHeight="1" x14ac:dyDescent="0.2">
      <c r="B196" s="9"/>
      <c r="C196" s="9"/>
      <c r="AE196" s="9"/>
      <c r="AF196" s="9"/>
      <c r="AG196" s="9"/>
      <c r="AH196" s="9"/>
      <c r="AI196" s="9"/>
      <c r="AJ196" s="9"/>
      <c r="AK196" s="9"/>
    </row>
    <row r="197" spans="2:37" s="2" customFormat="1" ht="20" customHeight="1" x14ac:dyDescent="0.2">
      <c r="B197" s="9"/>
      <c r="C197" s="9"/>
      <c r="E197" s="27" t="s">
        <v>1246</v>
      </c>
      <c r="F197" s="27"/>
      <c r="H197" s="27" t="s">
        <v>1247</v>
      </c>
      <c r="I197" s="27"/>
      <c r="K197" s="27" t="s">
        <v>1248</v>
      </c>
      <c r="L197" s="27"/>
      <c r="N197" s="27" t="s">
        <v>1249</v>
      </c>
      <c r="O197" s="27"/>
      <c r="P197" s="21"/>
      <c r="Q197" s="27" t="s">
        <v>1250</v>
      </c>
      <c r="R197" s="27"/>
      <c r="S197" s="21"/>
      <c r="T197" s="27" t="s">
        <v>1251</v>
      </c>
      <c r="U197" s="27"/>
      <c r="V197" s="21"/>
      <c r="W197" s="27" t="s">
        <v>1252</v>
      </c>
      <c r="X197" s="27"/>
      <c r="Y197" s="21"/>
      <c r="Z197" s="27" t="s">
        <v>1253</v>
      </c>
      <c r="AA197" s="27"/>
      <c r="AB197" s="21"/>
      <c r="AC197" s="27" t="s">
        <v>1254</v>
      </c>
      <c r="AD197" s="27"/>
      <c r="AE197" s="9"/>
      <c r="AF197" s="9"/>
      <c r="AG197" s="9"/>
      <c r="AH197" s="9"/>
      <c r="AI197" s="9"/>
      <c r="AJ197" s="9"/>
      <c r="AK197" s="9"/>
    </row>
    <row r="198" spans="2:37" s="2" customFormat="1" ht="20" customHeight="1" x14ac:dyDescent="0.2">
      <c r="B198" s="9"/>
      <c r="C198" s="9"/>
      <c r="E198" s="17" t="s">
        <v>254</v>
      </c>
      <c r="F198" s="20" t="s">
        <v>1044</v>
      </c>
      <c r="H198" s="17" t="s">
        <v>254</v>
      </c>
      <c r="I198" s="20" t="s">
        <v>20</v>
      </c>
      <c r="K198" s="19" t="s">
        <v>254</v>
      </c>
      <c r="L198" s="20" t="s">
        <v>20</v>
      </c>
      <c r="N198" s="19" t="s">
        <v>254</v>
      </c>
      <c r="O198" s="20" t="s">
        <v>20</v>
      </c>
      <c r="P198" s="21"/>
      <c r="Q198" s="19" t="s">
        <v>254</v>
      </c>
      <c r="R198" s="20" t="s">
        <v>20</v>
      </c>
      <c r="S198" s="21"/>
      <c r="T198" s="19" t="s">
        <v>254</v>
      </c>
      <c r="U198" s="20" t="s">
        <v>20</v>
      </c>
      <c r="V198" s="21"/>
      <c r="W198" s="19" t="s">
        <v>254</v>
      </c>
      <c r="X198" s="20" t="s">
        <v>20</v>
      </c>
      <c r="Y198" s="21"/>
      <c r="Z198" s="19" t="s">
        <v>254</v>
      </c>
      <c r="AA198" s="20" t="s">
        <v>20</v>
      </c>
      <c r="AB198" s="21"/>
      <c r="AC198" s="19" t="s">
        <v>254</v>
      </c>
      <c r="AD198" s="20" t="s">
        <v>20</v>
      </c>
      <c r="AE198" s="9"/>
      <c r="AF198" s="9"/>
      <c r="AG198" s="9"/>
      <c r="AH198" s="9"/>
      <c r="AI198" s="9"/>
      <c r="AJ198" s="9"/>
      <c r="AK198" s="9"/>
    </row>
    <row r="199" spans="2:37" s="2" customFormat="1" ht="20" customHeight="1" x14ac:dyDescent="0.2">
      <c r="B199" s="9"/>
      <c r="C199" s="9"/>
      <c r="E199" s="4" t="s">
        <v>1255</v>
      </c>
      <c r="F199" s="8" t="str">
        <f>IF(ISBLANK(input_mgmt_az1_host1_mgmt_ip),"Value Missing",input_mgmt_az1_host1_mgmt_ip)</f>
        <v>Value Missing</v>
      </c>
      <c r="H199" s="4" t="s">
        <v>1255</v>
      </c>
      <c r="I199" s="8" t="str">
        <f>IF(ISBLANK(input_wld_az1_host1_mgmt_ip),"Value Missing",input_wld_az1_host1_mgmt_ip)</f>
        <v>Value Missing</v>
      </c>
      <c r="K199" s="4" t="s">
        <v>1255</v>
      </c>
      <c r="L199" s="8" t="str">
        <f>IF(ISBLANK(input_wld_az1_rack2_host1_mgmt_ip),"Value Missing",input_wld_az1_rack2_host1_mgmt_ip)</f>
        <v>Value Missing</v>
      </c>
      <c r="N199" s="4" t="s">
        <v>1255</v>
      </c>
      <c r="O199" s="8" t="str">
        <f>IF(ISBLANK(input_wld_az1_rack3_host1_mgmt_ip),"Value Missing",input_wld_az1_rack3_host1_mgmt_ip)</f>
        <v>Value Missing</v>
      </c>
      <c r="Q199" s="4" t="s">
        <v>1255</v>
      </c>
      <c r="R199" s="8" t="str">
        <f>IF(ISBLANK(input_wld_az1_rack4_host1_mgmt_ip),"Value Missing",input_wld_az1_rack4_host1_mgmt_ip)</f>
        <v>Value Missing</v>
      </c>
      <c r="T199" s="4" t="s">
        <v>1255</v>
      </c>
      <c r="U199" s="8" t="str">
        <f>IF(ISBLANK(input_wld_az1_rack5_host1_mgmt_ip),"Value Missing",input_wld_az1_rack5_host1_mgmt_ip)</f>
        <v>Value Missing</v>
      </c>
      <c r="W199" s="4" t="s">
        <v>1255</v>
      </c>
      <c r="X199" s="8" t="str">
        <f>IF(ISBLANK(input_wld_az1_rack6_host1_mgmt_ip),"Value Missing",input_wld_az1_rack6_host1_mgmt_ip)</f>
        <v>Value Missing</v>
      </c>
      <c r="Z199" s="4" t="s">
        <v>1255</v>
      </c>
      <c r="AA199" s="8" t="str">
        <f>IF(ISBLANK(input_wld_az1_rack7_host1_mgmt_ip),"Value Missing",input_wld_az1_rack7_host1_mgmt_ip)</f>
        <v>Value Missing</v>
      </c>
      <c r="AC199" s="4" t="s">
        <v>1255</v>
      </c>
      <c r="AD199" s="8" t="str">
        <f>IF(ISBLANK(input_wld_az1_rack8_host1_mgmt_ip),"Value Missing",input_wld_az1_rack8_host1_mgmt_ip)</f>
        <v>Value Missing</v>
      </c>
      <c r="AE199" s="9"/>
      <c r="AF199" s="9"/>
      <c r="AG199" s="9"/>
      <c r="AH199" s="9"/>
      <c r="AI199" s="9"/>
      <c r="AJ199" s="9"/>
      <c r="AK199" s="9"/>
    </row>
    <row r="200" spans="2:37" s="2" customFormat="1" ht="20" customHeight="1" x14ac:dyDescent="0.2">
      <c r="B200" s="9"/>
      <c r="C200" s="9"/>
      <c r="E200" s="4" t="s">
        <v>1256</v>
      </c>
      <c r="F200" s="8" t="str">
        <f>IF(ISBLANK(input_mgmt_az1_host2_mgmt_ip),"Value Missing",input_mgmt_az1_host2_mgmt_ip)</f>
        <v>Value Missing</v>
      </c>
      <c r="H200" s="4" t="s">
        <v>1256</v>
      </c>
      <c r="I200" s="8" t="str">
        <f>IF(ISBLANK(input_wld_az1_host2_mgmt_ip),"Value Missing",input_wld_az1_host2_mgmt_ip)</f>
        <v>Value Missing</v>
      </c>
      <c r="K200" s="4" t="s">
        <v>1256</v>
      </c>
      <c r="L200" s="8" t="str">
        <f>IF(ISBLANK(input_wld_az1_rack2_host2_mgmt_ip),"Value Missing",input_wld_az1_rack2_host2_mgmt_ip)</f>
        <v>Value Missing</v>
      </c>
      <c r="N200" s="4" t="s">
        <v>1256</v>
      </c>
      <c r="O200" s="8" t="str">
        <f>IF(ISBLANK(input_wld_az1_rack3_host2_mgmt_ip),"Value Missing",input_wld_az1_rack3_host2_mgmt_ip)</f>
        <v>Value Missing</v>
      </c>
      <c r="Q200" s="4" t="s">
        <v>1256</v>
      </c>
      <c r="R200" s="8" t="str">
        <f>IF(ISBLANK(input_wld_az1_rack4_host2_mgmt_ip),"Value Missing",input_wld_az1_rack4_host2_mgmt_ip)</f>
        <v>Value Missing</v>
      </c>
      <c r="T200" s="4" t="s">
        <v>1256</v>
      </c>
      <c r="U200" s="8" t="str">
        <f>IF(ISBLANK(input_wld_az1_rack5_host2_mgmt_ip),"Value Missing",input_wld_az1_rack5_host2_mgmt_ip)</f>
        <v>Value Missing</v>
      </c>
      <c r="W200" s="4" t="s">
        <v>1256</v>
      </c>
      <c r="X200" s="8" t="str">
        <f>IF(ISBLANK(input_wld_az1_rack6_host2_mgmt_ip),"Value Missing",input_wld_az1_rack6_host2_mgmt_ip)</f>
        <v>Value Missing</v>
      </c>
      <c r="Z200" s="4" t="s">
        <v>1256</v>
      </c>
      <c r="AA200" s="8" t="str">
        <f>IF(ISBLANK(input_wld_az1_rack7_host2_mgmt_ip),"Value Missing",input_wld_az1_rack7_host2_mgmt_ip)</f>
        <v>Value Missing</v>
      </c>
      <c r="AC200" s="4" t="s">
        <v>1256</v>
      </c>
      <c r="AD200" s="8" t="str">
        <f>IF(ISBLANK(input_wld_az1_rack8_host2_mgmt_ip),"Value Missing",input_wld_az1_rack8_host2_mgmt_ip)</f>
        <v>Value Missing</v>
      </c>
      <c r="AE200" s="9"/>
      <c r="AF200" s="9"/>
      <c r="AG200" s="9"/>
      <c r="AH200" s="9"/>
      <c r="AI200" s="9"/>
      <c r="AJ200" s="9"/>
      <c r="AK200" s="9"/>
    </row>
    <row r="201" spans="2:37" s="2" customFormat="1" ht="20" customHeight="1" x14ac:dyDescent="0.2">
      <c r="B201" s="9"/>
      <c r="C201" s="9"/>
      <c r="E201" s="4" t="s">
        <v>1257</v>
      </c>
      <c r="F201" s="8" t="str">
        <f>IF(ISBLANK(input_mgmt_az1_host3_mgmt_ip),"Value Missing",input_mgmt_az1_host3_mgmt_ip)</f>
        <v>Value Missing</v>
      </c>
      <c r="H201" s="4" t="s">
        <v>1257</v>
      </c>
      <c r="I201" s="8" t="str">
        <f>IF(ISBLANK(input_wld_az1_host3_mgmt_ip),"Value Missing",input_wld_az1_host3_mgmt_ip)</f>
        <v>Value Missing</v>
      </c>
      <c r="K201" s="4" t="s">
        <v>1257</v>
      </c>
      <c r="L201" s="8" t="str">
        <f>IF(ISBLANK(input_wld_az1_rack2_host3_mgmt_ip),"Value Missing",input_wld_az1_rack2_host3_mgmt_ip)</f>
        <v>Value Missing</v>
      </c>
      <c r="N201" s="4" t="s">
        <v>1257</v>
      </c>
      <c r="O201" s="8" t="str">
        <f>IF(ISBLANK(input_wld_az1_rack3_host3_mgmt_ip),"Value Missing",input_wld_az1_rack3_host3_mgmt_ip)</f>
        <v>Value Missing</v>
      </c>
      <c r="Q201" s="4" t="s">
        <v>1257</v>
      </c>
      <c r="R201" s="8" t="str">
        <f>IF(ISBLANK(input_wld_az1_rack4_host3_mgmt_ip),"Value Missing",input_wld_az1_rack4_host3_mgmt_ip)</f>
        <v>Value Missing</v>
      </c>
      <c r="T201" s="4" t="s">
        <v>1257</v>
      </c>
      <c r="U201" s="8" t="str">
        <f>IF(ISBLANK(input_wld_az1_rack5_host3_mgmt_ip),"Value Missing",input_wld_az1_rack5_host3_mgmt_ip)</f>
        <v>Value Missing</v>
      </c>
      <c r="W201" s="4" t="s">
        <v>1257</v>
      </c>
      <c r="X201" s="8" t="str">
        <f>IF(ISBLANK(input_wld_az1_rack6_host3_mgmt_ip),"Value Missing",input_wld_az1_rack6_host3_mgmt_ip)</f>
        <v>Value Missing</v>
      </c>
      <c r="Z201" s="4" t="s">
        <v>1257</v>
      </c>
      <c r="AA201" s="8" t="str">
        <f>IF(ISBLANK(input_wld_az1_rack7_host3_mgmt_ip),"Value Missing",input_wld_az1_rack7_host3_mgmt_ip)</f>
        <v>Value Missing</v>
      </c>
      <c r="AC201" s="4" t="s">
        <v>1257</v>
      </c>
      <c r="AD201" s="8" t="str">
        <f>IF(ISBLANK(input_wld_az1_rack8_host3_mgmt_ip),"Value Missing",input_wld_az1_rack8_host3_mgmt_ip)</f>
        <v>Value Missing</v>
      </c>
      <c r="AE201" s="9"/>
      <c r="AF201" s="9"/>
      <c r="AG201" s="9"/>
      <c r="AH201" s="9"/>
      <c r="AI201" s="9"/>
      <c r="AJ201" s="9"/>
      <c r="AK201" s="9"/>
    </row>
    <row r="202" spans="2:37" s="2" customFormat="1" ht="20" customHeight="1" x14ac:dyDescent="0.2">
      <c r="B202" s="9"/>
      <c r="C202" s="9"/>
      <c r="E202" s="4" t="s">
        <v>1258</v>
      </c>
      <c r="F202" s="8" t="str">
        <f>IF(ISBLANK(input_mgmt_az1_host4_mgmt_ip),"Value Missing",input_mgmt_az1_host4_mgmt_ip)</f>
        <v>Value Missing</v>
      </c>
      <c r="H202" s="4" t="s">
        <v>1258</v>
      </c>
      <c r="I202" s="8" t="str">
        <f>IF(ISBLANK(input_wld_az1_host4_mgmt_ip),"Value Missing",input_wld_az1_host4_mgmt_ip)</f>
        <v>Value Missing</v>
      </c>
      <c r="K202" s="4" t="s">
        <v>1258</v>
      </c>
      <c r="L202" s="8" t="str">
        <f>IF(ISBLANK(input_wld_az1_rack2_host4_mgmt_ip),"Value Missing",input_wld_az1_rack2_host4_mgmt_ip)</f>
        <v>Value Missing</v>
      </c>
      <c r="N202" s="4" t="s">
        <v>1258</v>
      </c>
      <c r="O202" s="8" t="str">
        <f>IF(ISBLANK(input_wld_az1_rack3_host4_mgmt_ip),"Value Missing",input_wld_az1_rack3_host4_mgmt_ip)</f>
        <v>Value Missing</v>
      </c>
      <c r="Q202" s="4" t="s">
        <v>1258</v>
      </c>
      <c r="R202" s="8" t="str">
        <f>IF(ISBLANK(input_wld_az1_rack4_host4_mgmt_ip),"Value Missing",input_wld_az1_rack4_host4_mgmt_ip)</f>
        <v>Value Missing</v>
      </c>
      <c r="T202" s="4" t="s">
        <v>1258</v>
      </c>
      <c r="U202" s="8" t="str">
        <f>IF(ISBLANK(input_wld_az1_rack5_host4_mgmt_ip),"Value Missing",input_wld_az1_rack5_host4_mgmt_ip)</f>
        <v>Value Missing</v>
      </c>
      <c r="W202" s="4" t="s">
        <v>1258</v>
      </c>
      <c r="X202" s="8" t="str">
        <f>IF(ISBLANK(input_wld_az1_rack6_host4_mgmt_ip),"Value Missing",input_wld_az1_rack6_host4_mgmt_ip)</f>
        <v>Value Missing</v>
      </c>
      <c r="Z202" s="4" t="s">
        <v>1258</v>
      </c>
      <c r="AA202" s="8" t="str">
        <f>IF(ISBLANK(input_wld_az1_rack7_host4_mgmt_ip),"Value Missing",input_wld_az1_rack7_host4_mgmt_ip)</f>
        <v>Value Missing</v>
      </c>
      <c r="AC202" s="4" t="s">
        <v>1258</v>
      </c>
      <c r="AD202" s="8" t="str">
        <f>IF(ISBLANK(input_wld_az1_rack8_host4_mgmt_ip),"Value Missing",input_wld_az1_rack8_host4_mgmt_ip)</f>
        <v>Value Missing</v>
      </c>
      <c r="AE202" s="9"/>
      <c r="AF202" s="9"/>
      <c r="AG202" s="9"/>
      <c r="AH202" s="9"/>
      <c r="AI202" s="9"/>
      <c r="AJ202" s="9"/>
      <c r="AK202" s="9"/>
    </row>
    <row r="203" spans="2:37" s="2" customFormat="1" ht="20" customHeight="1" x14ac:dyDescent="0.2">
      <c r="B203" s="9"/>
      <c r="C203" s="9"/>
      <c r="E203" s="4" t="s">
        <v>1259</v>
      </c>
      <c r="F203" s="8" t="str">
        <f>IF(ISBLANK(input_mgmt_az1_host5_mgmt_ip),"Value Missing",input_mgmt_az1_host5_mgmt_ip)</f>
        <v>Value Missing</v>
      </c>
      <c r="H203" s="4" t="s">
        <v>1259</v>
      </c>
      <c r="I203" s="8" t="str">
        <f>IF(ISBLANK(input_wld_az1_host5_mgmt_ip),"Value Missing",input_wld_az1_host5_mgmt_ip)</f>
        <v>Value Missing</v>
      </c>
      <c r="K203" s="4" t="s">
        <v>1259</v>
      </c>
      <c r="L203" s="8" t="str">
        <f>IF(ISBLANK(input_wld_az1_rack2_host5_mgmt_ip),"Value Missing",input_wld_az1_rack2_host5_mgmt_ip)</f>
        <v>Value Missing</v>
      </c>
      <c r="N203" s="4" t="s">
        <v>1259</v>
      </c>
      <c r="O203" s="8" t="str">
        <f>IF(ISBLANK(input_wld_az1_rack3_host5_mgmt_ip),"Value Missing",input_wld_az1_rack3_host5_mgmt_ip)</f>
        <v>Value Missing</v>
      </c>
      <c r="Q203" s="4" t="s">
        <v>1259</v>
      </c>
      <c r="R203" s="8" t="str">
        <f>IF(ISBLANK(input_wld_az1_rack4_host5_mgmt_ip),"Value Missing",input_wld_az1_rack4_host5_mgmt_ip)</f>
        <v>Value Missing</v>
      </c>
      <c r="T203" s="4" t="s">
        <v>1259</v>
      </c>
      <c r="U203" s="8" t="str">
        <f>IF(ISBLANK(input_wld_az1_rack5_host5_mgmt_ip),"Value Missing",input_wld_az1_rack5_host5_mgmt_ip)</f>
        <v>Value Missing</v>
      </c>
      <c r="W203" s="4" t="s">
        <v>1259</v>
      </c>
      <c r="X203" s="8" t="str">
        <f>IF(ISBLANK(input_wld_az1_rack6_host5_mgmt_ip),"Value Missing",input_wld_az1_rack6_host5_mgmt_ip)</f>
        <v>Value Missing</v>
      </c>
      <c r="Z203" s="4" t="s">
        <v>1259</v>
      </c>
      <c r="AA203" s="8" t="str">
        <f>IF(ISBLANK(input_wld_az1_rack7_host5_mgmt_ip),"Value Missing",input_wld_az1_rack7_host5_mgmt_ip)</f>
        <v>Value Missing</v>
      </c>
      <c r="AC203" s="4" t="s">
        <v>1259</v>
      </c>
      <c r="AD203" s="8" t="str">
        <f>IF(ISBLANK(input_wld_az1_rack8_host5_mgmt_ip),"Value Missing",input_wld_az1_rack8_host5_mgmt_ip)</f>
        <v>Value Missing</v>
      </c>
      <c r="AE203" s="9"/>
      <c r="AF203" s="9"/>
      <c r="AG203" s="9"/>
      <c r="AH203" s="9"/>
      <c r="AI203" s="9"/>
      <c r="AJ203" s="9"/>
      <c r="AK203" s="9"/>
    </row>
    <row r="204" spans="2:37" s="2" customFormat="1" ht="20" customHeight="1" x14ac:dyDescent="0.2">
      <c r="B204" s="9"/>
      <c r="C204" s="9"/>
      <c r="E204" s="4" t="s">
        <v>1260</v>
      </c>
      <c r="F204" s="8" t="str">
        <f>IF(ISBLANK(input_mgmt_az1_host6_mgmt_ip),"Value Missing",input_mgmt_az1_host6_mgmt_ip)</f>
        <v>Value Missing</v>
      </c>
      <c r="H204" s="4" t="s">
        <v>1260</v>
      </c>
      <c r="I204" s="8" t="str">
        <f>IF(ISBLANK(input_wld_az1_host6_mgmt_ip),"Value Missing",input_wld_az1_host6_mgmt_ip)</f>
        <v>Value Missing</v>
      </c>
      <c r="K204" s="4" t="s">
        <v>1260</v>
      </c>
      <c r="L204" s="8" t="str">
        <f>IF(ISBLANK(input_wld_az1_rack2_host6_mgmt_ip),"Value Missing",input_wld_az1_rack2_host6_mgmt_ip)</f>
        <v>Value Missing</v>
      </c>
      <c r="N204" s="4" t="s">
        <v>1260</v>
      </c>
      <c r="O204" s="8" t="str">
        <f>IF(ISBLANK(input_wld_az1_rack3_host6_mgmt_ip),"Value Missing",input_wld_az1_rack3_host6_mgmt_ip)</f>
        <v>Value Missing</v>
      </c>
      <c r="Q204" s="4" t="s">
        <v>1260</v>
      </c>
      <c r="R204" s="8" t="str">
        <f>IF(ISBLANK(input_wld_az1_rack4_host6_mgmt_ip),"Value Missing",input_wld_az1_rack4_host6_mgmt_ip)</f>
        <v>Value Missing</v>
      </c>
      <c r="T204" s="4" t="s">
        <v>1260</v>
      </c>
      <c r="U204" s="8" t="str">
        <f>IF(ISBLANK(input_wld_az1_rack5_host6_mgmt_ip),"Value Missing",input_wld_az1_rack5_host6_mgmt_ip)</f>
        <v>Value Missing</v>
      </c>
      <c r="W204" s="4" t="s">
        <v>1260</v>
      </c>
      <c r="X204" s="8" t="str">
        <f>IF(ISBLANK(input_wld_az1_rack6_host6_mgmt_ip),"Value Missing",input_wld_az1_rack6_host6_mgmt_ip)</f>
        <v>Value Missing</v>
      </c>
      <c r="Z204" s="4" t="s">
        <v>1260</v>
      </c>
      <c r="AA204" s="8" t="str">
        <f>IF(ISBLANK(input_wld_az1_rack7_host6_mgmt_ip),"Value Missing",input_wld_az1_rack7_host6_mgmt_ip)</f>
        <v>Value Missing</v>
      </c>
      <c r="AC204" s="4" t="s">
        <v>1260</v>
      </c>
      <c r="AD204" s="8" t="str">
        <f>IF(ISBLANK(input_wld_az1_rack8_host6_mgmt_ip),"Value Missing",input_wld_az1_rack8_host6_mgmt_ip)</f>
        <v>Value Missing</v>
      </c>
      <c r="AE204" s="9"/>
      <c r="AF204" s="9"/>
      <c r="AG204" s="9"/>
      <c r="AH204" s="9"/>
      <c r="AI204" s="9"/>
      <c r="AJ204" s="9"/>
      <c r="AK204" s="9"/>
    </row>
    <row r="205" spans="2:37" s="2" customFormat="1" ht="20" customHeight="1" x14ac:dyDescent="0.2">
      <c r="B205" s="9"/>
      <c r="C205" s="9"/>
      <c r="E205" s="4" t="s">
        <v>1261</v>
      </c>
      <c r="F205" s="8" t="str">
        <f>IF(ISBLANK(input_mgmt_az1_host7_mgmt_ip),"Value Missing",input_mgmt_az1_host7_mgmt_ip)</f>
        <v>Value Missing</v>
      </c>
      <c r="H205" s="4" t="s">
        <v>1261</v>
      </c>
      <c r="I205" s="8" t="str">
        <f>IF(ISBLANK(input_wld_az1_host7_mgmt_ip),"Value Missing",input_wld_az1_host7_mgmt_ip)</f>
        <v>Value Missing</v>
      </c>
      <c r="K205" s="4" t="s">
        <v>1261</v>
      </c>
      <c r="L205" s="8" t="str">
        <f>IF(ISBLANK(input_wld_az1_rack2_host7_mgmt_ip),"Value Missing",input_wld_az1_rack2_host7_mgmt_ip)</f>
        <v>Value Missing</v>
      </c>
      <c r="N205" s="4" t="s">
        <v>1261</v>
      </c>
      <c r="O205" s="8" t="str">
        <f>IF(ISBLANK(input_wld_az1_rack3_host7_mgmt_ip),"Value Missing",input_wld_az1_rack3_host7_mgmt_ip)</f>
        <v>Value Missing</v>
      </c>
      <c r="Q205" s="4" t="s">
        <v>1261</v>
      </c>
      <c r="R205" s="8" t="str">
        <f>IF(ISBLANK(input_wld_az1_rack4_host7_mgmt_ip),"Value Missing",input_wld_az1_rack4_host7_mgmt_ip)</f>
        <v>Value Missing</v>
      </c>
      <c r="T205" s="4" t="s">
        <v>1261</v>
      </c>
      <c r="U205" s="8" t="str">
        <f>IF(ISBLANK(input_wld_az1_rack5_host7_mgmt_ip),"Value Missing",input_wld_az1_rack5_host7_mgmt_ip)</f>
        <v>Value Missing</v>
      </c>
      <c r="W205" s="4" t="s">
        <v>1261</v>
      </c>
      <c r="X205" s="8" t="str">
        <f>IF(ISBLANK(input_wld_az1_rack6_host7_mgmt_ip),"Value Missing",input_wld_az1_rack6_host7_mgmt_ip)</f>
        <v>Value Missing</v>
      </c>
      <c r="Z205" s="4" t="s">
        <v>1261</v>
      </c>
      <c r="AA205" s="8" t="str">
        <f>IF(ISBLANK(input_wld_az1_rack7_host7_mgmt_ip),"Value Missing",input_wld_az1_rack7_host7_mgmt_ip)</f>
        <v>Value Missing</v>
      </c>
      <c r="AC205" s="4" t="s">
        <v>1261</v>
      </c>
      <c r="AD205" s="8" t="str">
        <f>IF(ISBLANK(input_wld_az1_rack8_host7_mgmt_ip),"Value Missing",input_wld_az1_rack8_host7_mgmt_ip)</f>
        <v>Value Missing</v>
      </c>
      <c r="AE205" s="9"/>
      <c r="AF205" s="9"/>
      <c r="AG205" s="9"/>
      <c r="AH205" s="9"/>
      <c r="AI205" s="9"/>
      <c r="AJ205" s="9"/>
      <c r="AK205" s="9"/>
    </row>
    <row r="206" spans="2:37" s="2" customFormat="1" ht="20" customHeight="1" x14ac:dyDescent="0.2">
      <c r="B206" s="9"/>
      <c r="C206" s="9"/>
      <c r="E206" s="4" t="s">
        <v>1262</v>
      </c>
      <c r="F206" s="8" t="str">
        <f>IF(ISBLANK(input_mgmt_az1_host8_mgmt_ip),"Value Missing",input_mgmt_az1_host8_mgmt_ip)</f>
        <v>Value Missing</v>
      </c>
      <c r="H206" s="4" t="s">
        <v>1262</v>
      </c>
      <c r="I206" s="8" t="str">
        <f>IF(ISBLANK(input_wld_az1_host8_mgmt_ip),"Value Missing",input_wld_az1_host8_mgmt_ip)</f>
        <v>Value Missing</v>
      </c>
      <c r="K206" s="4" t="s">
        <v>1262</v>
      </c>
      <c r="L206" s="8" t="str">
        <f>IF(ISBLANK(input_wld_az1_rack2_host8_mgmt_ip),"Value Missing",input_wld_az1_rack2_host8_mgmt_ip)</f>
        <v>Value Missing</v>
      </c>
      <c r="N206" s="4" t="s">
        <v>1262</v>
      </c>
      <c r="O206" s="8" t="str">
        <f>IF(ISBLANK(input_wld_az1_rack3_host8_mgmt_ip),"Value Missing",input_wld_az1_rack3_host8_mgmt_ip)</f>
        <v>Value Missing</v>
      </c>
      <c r="Q206" s="4" t="s">
        <v>1262</v>
      </c>
      <c r="R206" s="8" t="str">
        <f>IF(ISBLANK(input_wld_az1_rack4_host8_mgmt_ip),"Value Missing",input_wld_az1_rack4_host8_mgmt_ip)</f>
        <v>Value Missing</v>
      </c>
      <c r="T206" s="4" t="s">
        <v>1262</v>
      </c>
      <c r="U206" s="8" t="str">
        <f>IF(ISBLANK(input_wld_az1_rack5_host8_mgmt_ip),"Value Missing",input_wld_az1_rack5_host8_mgmt_ip)</f>
        <v>Value Missing</v>
      </c>
      <c r="W206" s="4" t="s">
        <v>1262</v>
      </c>
      <c r="X206" s="8" t="str">
        <f>IF(ISBLANK(input_wld_az1_rack6_host8_mgmt_ip),"Value Missing",input_wld_az1_rack6_host8_mgmt_ip)</f>
        <v>Value Missing</v>
      </c>
      <c r="Z206" s="4" t="s">
        <v>1262</v>
      </c>
      <c r="AA206" s="8" t="str">
        <f>IF(ISBLANK(input_wld_az1_rack7_host8_mgmt_ip),"Value Missing",input_wld_az1_rack7_host8_mgmt_ip)</f>
        <v>Value Missing</v>
      </c>
      <c r="AC206" s="4" t="s">
        <v>1262</v>
      </c>
      <c r="AD206" s="8" t="str">
        <f>IF(ISBLANK(input_wld_az1_rack8_host8_mgmt_ip),"Value Missing",input_wld_az1_rack8_host8_mgmt_ip)</f>
        <v>Value Missing</v>
      </c>
      <c r="AE206" s="9"/>
      <c r="AF206" s="9"/>
      <c r="AG206" s="9"/>
      <c r="AH206" s="9"/>
      <c r="AI206" s="9"/>
      <c r="AJ206" s="9"/>
      <c r="AK206" s="9"/>
    </row>
    <row r="207" spans="2:37" ht="20" customHeight="1" x14ac:dyDescent="0.2">
      <c r="E207" s="4" t="s">
        <v>1263</v>
      </c>
      <c r="F207" s="8" t="str">
        <f>IF(ISBLANK(input_mgmt_az1_host9_mgmt_ip),"Value Missing",input_mgmt_az1_host9_mgmt_ip)</f>
        <v>Value Missing</v>
      </c>
      <c r="G207" s="2"/>
      <c r="H207" s="4" t="s">
        <v>1263</v>
      </c>
      <c r="I207" s="8" t="str">
        <f>IF(ISBLANK(input_wld_az1_host9_mgmt_ip),"Value Missing",input_wld_az1_host9_mgmt_ip)</f>
        <v>Value Missing</v>
      </c>
      <c r="J207" s="2"/>
      <c r="K207" s="4" t="s">
        <v>1263</v>
      </c>
      <c r="L207" s="8" t="str">
        <f>IF(ISBLANK(input_wld_az1_rack2_host9_mgmt_ip),"Value Missing",input_wld_az1_rack2_host9_mgmt_ip)</f>
        <v>Value Missing</v>
      </c>
      <c r="M207" s="2"/>
      <c r="N207" s="4" t="s">
        <v>1263</v>
      </c>
      <c r="O207" s="8" t="str">
        <f>IF(ISBLANK(input_wld_az1_rack3_host9_mgmt_ip),"Value Missing",input_wld_az1_rack3_host9_mgmt_ip)</f>
        <v>Value Missing</v>
      </c>
      <c r="P207" s="2"/>
      <c r="Q207" s="4" t="s">
        <v>1263</v>
      </c>
      <c r="R207" s="8" t="str">
        <f>IF(ISBLANK(input_wld_az1_rack4_host9_mgmt_ip),"Value Missing",input_wld_az1_rack4_host9_mgmt_ip)</f>
        <v>Value Missing</v>
      </c>
      <c r="S207" s="2"/>
      <c r="T207" s="4" t="s">
        <v>1263</v>
      </c>
      <c r="U207" s="8" t="str">
        <f>IF(ISBLANK(input_wld_az1_rack5_host9_mgmt_ip),"Value Missing",input_wld_az1_rack5_host9_mgmt_ip)</f>
        <v>Value Missing</v>
      </c>
      <c r="V207" s="2"/>
      <c r="W207" s="4" t="s">
        <v>1263</v>
      </c>
      <c r="X207" s="8" t="str">
        <f>IF(ISBLANK(input_wld_az1_rack6_host9_mgmt_ip),"Value Missing",input_wld_az1_rack6_host9_mgmt_ip)</f>
        <v>Value Missing</v>
      </c>
      <c r="Y207" s="2"/>
      <c r="Z207" s="4" t="s">
        <v>1263</v>
      </c>
      <c r="AA207" s="8" t="str">
        <f>IF(ISBLANK(input_wld_az1_rack7_host9_mgmt_ip),"Value Missing",input_wld_az1_rack7_host9_mgmt_ip)</f>
        <v>Value Missing</v>
      </c>
      <c r="AB207" s="2"/>
      <c r="AC207" s="4" t="s">
        <v>1263</v>
      </c>
      <c r="AD207" s="8" t="str">
        <f>IF(ISBLANK(input_wld_az1_rack8_host9_mgmt_ip),"Value Missing",input_wld_az1_rack8_host9_mgmt_ip)</f>
        <v>Value Missing</v>
      </c>
    </row>
    <row r="208" spans="2:37" ht="20" customHeight="1" x14ac:dyDescent="0.2">
      <c r="E208" s="4" t="s">
        <v>1264</v>
      </c>
      <c r="F208" s="8" t="str">
        <f>IF(ISBLANK(input_mgmt_az1_host10_mgmt_ip),"Value Missing",input_mgmt_az1_host10_mgmt_ip)</f>
        <v>Value Missing</v>
      </c>
      <c r="G208" s="2"/>
      <c r="H208" s="4" t="s">
        <v>1264</v>
      </c>
      <c r="I208" s="8" t="str">
        <f>IF(ISBLANK(input_wld_az1_host10_mgmt_ip),"Value Missing",input_wld_az1_host10_mgmt_ip)</f>
        <v>Value Missing</v>
      </c>
      <c r="J208" s="2"/>
      <c r="K208" s="4" t="s">
        <v>1264</v>
      </c>
      <c r="L208" s="8" t="str">
        <f>IF(ISBLANK(input_wld_az1_rack2_host10_mgmt_ip),"Value Missing",input_wld_az1_rack2_host10_mgmt_ip)</f>
        <v>Value Missing</v>
      </c>
      <c r="M208" s="2"/>
      <c r="N208" s="4" t="s">
        <v>1264</v>
      </c>
      <c r="O208" s="8" t="str">
        <f>IF(ISBLANK(input_wld_az1_rack3_host10_mgmt_ip),"Value Missing",input_wld_az1_rack3_host10_mgmt_ip)</f>
        <v>Value Missing</v>
      </c>
      <c r="P208" s="2"/>
      <c r="Q208" s="4" t="s">
        <v>1264</v>
      </c>
      <c r="R208" s="8" t="str">
        <f>IF(ISBLANK(input_wld_az1_rack4_host10_mgmt_ip),"Value Missing",input_wld_az1_rack4_host10_mgmt_ip)</f>
        <v>Value Missing</v>
      </c>
      <c r="S208" s="2"/>
      <c r="T208" s="4" t="s">
        <v>1264</v>
      </c>
      <c r="U208" s="8" t="str">
        <f>IF(ISBLANK(input_wld_az1_rack5_host10_mgmt_ip),"Value Missing",input_wld_az1_rack5_host10_mgmt_ip)</f>
        <v>Value Missing</v>
      </c>
      <c r="V208" s="2"/>
      <c r="W208" s="4" t="s">
        <v>1264</v>
      </c>
      <c r="X208" s="8" t="str">
        <f>IF(ISBLANK(input_wld_az1_rack6_host10_mgmt_ip),"Value Missing",input_wld_az1_rack6_host10_mgmt_ip)</f>
        <v>Value Missing</v>
      </c>
      <c r="Y208" s="2"/>
      <c r="Z208" s="4" t="s">
        <v>1264</v>
      </c>
      <c r="AA208" s="8" t="str">
        <f>IF(ISBLANK(input_wld_az1_rack7_host10_mgmt_ip),"Value Missing",input_wld_az1_rack7_host10_mgmt_ip)</f>
        <v>Value Missing</v>
      </c>
      <c r="AB208" s="2"/>
      <c r="AC208" s="4" t="s">
        <v>1264</v>
      </c>
      <c r="AD208" s="8" t="str">
        <f>IF(ISBLANK(input_wld_az1_rack8_host10_mgmt_ip),"Value Missing",input_wld_az1_rack8_host10_mgmt_ip)</f>
        <v>Value Missing</v>
      </c>
    </row>
    <row r="209" spans="5:30" ht="20" customHeight="1" x14ac:dyDescent="0.2">
      <c r="E209" s="4" t="s">
        <v>1265</v>
      </c>
      <c r="F209" s="8" t="str">
        <f>IF(ISBLANK(input_mgmt_az1_host11_mgmt_ip),"Value Missing",input_mgmt_az1_host11_mgmt_ip)</f>
        <v>Value Missing</v>
      </c>
      <c r="G209" s="21"/>
      <c r="H209" s="4" t="s">
        <v>1265</v>
      </c>
      <c r="I209" s="8" t="str">
        <f>IF(ISBLANK(input_wld_az1_host11_mgmt_ip),"Value Missing",input_wld_az1_host11_mgmt_ip)</f>
        <v>Value Missing</v>
      </c>
      <c r="J209" s="21"/>
      <c r="K209" s="4" t="s">
        <v>1265</v>
      </c>
      <c r="L209" s="8" t="str">
        <f>IF(ISBLANK(input_wld_az1_rack2_host11_mgmt_ip),"Value Missing",input_wld_az1_rack2_host11_mgmt_ip)</f>
        <v>Value Missing</v>
      </c>
      <c r="M209" s="2"/>
      <c r="N209" s="4" t="s">
        <v>1265</v>
      </c>
      <c r="O209" s="8" t="str">
        <f>IF(ISBLANK(input_wld_az1_rack3_host11_mgmt_ip),"Value Missing",input_wld_az1_rack3_host11_mgmt_ip)</f>
        <v>Value Missing</v>
      </c>
      <c r="P209" s="2"/>
      <c r="Q209" s="4" t="s">
        <v>1265</v>
      </c>
      <c r="R209" s="8" t="str">
        <f>IF(ISBLANK(input_wld_az1_rack4_host11_mgmt_ip),"Value Missing",input_wld_az1_rack4_host11_mgmt_ip)</f>
        <v>Value Missing</v>
      </c>
      <c r="S209" s="2"/>
      <c r="T209" s="4" t="s">
        <v>1265</v>
      </c>
      <c r="U209" s="8" t="str">
        <f>IF(ISBLANK(input_wld_az1_rack5_host11_mgmt_ip),"Value Missing",input_wld_az1_rack5_host11_mgmt_ip)</f>
        <v>Value Missing</v>
      </c>
      <c r="V209" s="2"/>
      <c r="W209" s="4" t="s">
        <v>1265</v>
      </c>
      <c r="X209" s="8" t="str">
        <f>IF(ISBLANK(input_wld_az1_rack6_host11_mgmt_ip),"Value Missing",input_wld_az1_rack6_host11_mgmt_ip)</f>
        <v>Value Missing</v>
      </c>
      <c r="Y209" s="2"/>
      <c r="Z209" s="4" t="s">
        <v>1265</v>
      </c>
      <c r="AA209" s="8" t="str">
        <f>IF(ISBLANK(input_wld_az1_rack7_host11_mgmt_ip),"Value Missing",input_wld_az1_rack7_host11_mgmt_ip)</f>
        <v>Value Missing</v>
      </c>
      <c r="AB209" s="2"/>
      <c r="AC209" s="4" t="s">
        <v>1265</v>
      </c>
      <c r="AD209" s="8" t="str">
        <f>IF(ISBLANK(input_wld_az1_rack8_host11_mgmt_ip),"Value Missing",input_wld_az1_rack8_host11_mgmt_ip)</f>
        <v>Value Missing</v>
      </c>
    </row>
    <row r="210" spans="5:30" ht="20" customHeight="1" x14ac:dyDescent="0.2">
      <c r="E210" s="4" t="s">
        <v>1266</v>
      </c>
      <c r="F210" s="8" t="str">
        <f>IF(ISBLANK(input_mgmt_az1_host12_mgmt_ip),"Value Missing",input_mgmt_az1_host12_mgmt_ip)</f>
        <v>Value Missing</v>
      </c>
      <c r="G210" s="2"/>
      <c r="H210" s="4" t="s">
        <v>1266</v>
      </c>
      <c r="I210" s="8" t="str">
        <f>IF(ISBLANK(input_wld_az1_host12_mgmt_ip),"Value Missing",input_wld_az1_host12_mgmt_ip)</f>
        <v>Value Missing</v>
      </c>
      <c r="J210" s="2"/>
      <c r="K210" s="4" t="s">
        <v>1266</v>
      </c>
      <c r="L210" s="8" t="str">
        <f>IF(ISBLANK(input_wld_az1_rack2_host12_mgmt_ip),"Value Missing",input_wld_az1_rack2_host12_mgmt_ip)</f>
        <v>Value Missing</v>
      </c>
      <c r="M210" s="2"/>
      <c r="N210" s="4" t="s">
        <v>1266</v>
      </c>
      <c r="O210" s="8" t="str">
        <f>IF(ISBLANK(input_wld_az1_rack3_host12_mgmt_ip),"Value Missing",input_wld_az1_rack3_host12_mgmt_ip)</f>
        <v>Value Missing</v>
      </c>
      <c r="P210" s="2"/>
      <c r="Q210" s="4" t="s">
        <v>1266</v>
      </c>
      <c r="R210" s="8" t="str">
        <f>IF(ISBLANK(input_wld_az1_rack4_host12_mgmt_ip),"Value Missing",input_wld_az1_rack4_host12_mgmt_ip)</f>
        <v>Value Missing</v>
      </c>
      <c r="S210" s="2"/>
      <c r="T210" s="4" t="s">
        <v>1266</v>
      </c>
      <c r="U210" s="8" t="str">
        <f>IF(ISBLANK(input_wld_az1_rack5_host12_mgmt_ip),"Value Missing",input_wld_az1_rack5_host12_mgmt_ip)</f>
        <v>Value Missing</v>
      </c>
      <c r="V210" s="2"/>
      <c r="W210" s="4" t="s">
        <v>1266</v>
      </c>
      <c r="X210" s="8" t="str">
        <f>IF(ISBLANK(input_wld_az1_rack6_host12_mgmt_ip),"Value Missing",input_wld_az1_rack6_host12_mgmt_ip)</f>
        <v>Value Missing</v>
      </c>
      <c r="Y210" s="2"/>
      <c r="Z210" s="4" t="s">
        <v>1266</v>
      </c>
      <c r="AA210" s="8" t="str">
        <f>IF(ISBLANK(input_wld_az1_rack7_host12_mgmt_ip),"Value Missing",input_wld_az1_rack7_host12_mgmt_ip)</f>
        <v>Value Missing</v>
      </c>
      <c r="AB210" s="2"/>
      <c r="AC210" s="4" t="s">
        <v>1266</v>
      </c>
      <c r="AD210" s="8" t="str">
        <f>IF(ISBLANK(input_wld_az1_rack8_host12_mgmt_ip),"Value Missing",input_wld_az1_rack8_host12_mgmt_ip)</f>
        <v>Value Missing</v>
      </c>
    </row>
    <row r="211" spans="5:30" ht="20" customHeight="1" x14ac:dyDescent="0.2">
      <c r="E211" s="4" t="s">
        <v>1267</v>
      </c>
      <c r="F211" s="8" t="str">
        <f>IF(ISBLANK(input_mgmt_az1_host13_mgmt_ip),"Value Missing",input_mgmt_az1_host13_mgmt_ip)</f>
        <v>Value Missing</v>
      </c>
      <c r="G211" s="2"/>
      <c r="H211" s="4" t="s">
        <v>1267</v>
      </c>
      <c r="I211" s="8" t="str">
        <f>IF(ISBLANK(input_wld_az1_host13_mgmt_ip),"Value Missing",input_wld_az1_host13_mgmt_ip)</f>
        <v>Value Missing</v>
      </c>
      <c r="J211" s="2"/>
      <c r="K211" s="4" t="s">
        <v>1267</v>
      </c>
      <c r="L211" s="8" t="str">
        <f>IF(ISBLANK(input_wld_az1_rack2_host13_mgmt_ip),"Value Missing",input_wld_az1_rack2_host13_mgmt_ip)</f>
        <v>Value Missing</v>
      </c>
      <c r="M211" s="2"/>
      <c r="N211" s="4" t="s">
        <v>1267</v>
      </c>
      <c r="O211" s="8" t="str">
        <f>IF(ISBLANK(input_wld_az1_rack3_host13_mgmt_ip),"Value Missing",input_wld_az1_rack3_host13_mgmt_ip)</f>
        <v>Value Missing</v>
      </c>
      <c r="P211" s="2"/>
      <c r="Q211" s="4" t="s">
        <v>1267</v>
      </c>
      <c r="R211" s="8" t="str">
        <f>IF(ISBLANK(input_wld_az1_rack4_host13_mgmt_ip),"Value Missing",input_wld_az1_rack4_host13_mgmt_ip)</f>
        <v>Value Missing</v>
      </c>
      <c r="S211" s="2"/>
      <c r="T211" s="4" t="s">
        <v>1267</v>
      </c>
      <c r="U211" s="8" t="str">
        <f>IF(ISBLANK(input_wld_az1_rack5_host13_mgmt_ip),"Value Missing",input_wld_az1_rack5_host13_mgmt_ip)</f>
        <v>Value Missing</v>
      </c>
      <c r="V211" s="2"/>
      <c r="W211" s="4" t="s">
        <v>1267</v>
      </c>
      <c r="X211" s="8" t="str">
        <f>IF(ISBLANK(input_wld_az1_rack6_host13_mgmt_ip),"Value Missing",input_wld_az1_rack6_host13_mgmt_ip)</f>
        <v>Value Missing</v>
      </c>
      <c r="Y211" s="2"/>
      <c r="Z211" s="4" t="s">
        <v>1267</v>
      </c>
      <c r="AA211" s="8" t="str">
        <f>IF(ISBLANK(input_wld_az1_rack7_host13_mgmt_ip),"Value Missing",input_wld_az1_rack7_host13_mgmt_ip)</f>
        <v>Value Missing</v>
      </c>
      <c r="AB211" s="2"/>
      <c r="AC211" s="4" t="s">
        <v>1267</v>
      </c>
      <c r="AD211" s="8" t="str">
        <f>IF(ISBLANK(input_wld_az1_rack8_host13_mgmt_ip),"Value Missing",input_wld_az1_rack8_host13_mgmt_ip)</f>
        <v>Value Missing</v>
      </c>
    </row>
    <row r="212" spans="5:30" ht="20" customHeight="1" x14ac:dyDescent="0.2">
      <c r="E212" s="4" t="s">
        <v>1268</v>
      </c>
      <c r="F212" s="8" t="str">
        <f>IF(ISBLANK(input_mgmt_az1_host14_mgmt_ip),"Value Missing",input_mgmt_az1_host14_mgmt_ip)</f>
        <v>Value Missing</v>
      </c>
      <c r="G212" s="2"/>
      <c r="H212" s="4" t="s">
        <v>1268</v>
      </c>
      <c r="I212" s="8" t="str">
        <f>IF(ISBLANK(input_wld_az1_host14_mgmt_ip),"Value Missing",input_wld_az1_host14_mgmt_ip)</f>
        <v>Value Missing</v>
      </c>
      <c r="J212" s="2"/>
      <c r="K212" s="4" t="s">
        <v>1268</v>
      </c>
      <c r="L212" s="8" t="str">
        <f>IF(ISBLANK(input_wld_az1_rack2_host14_mgmt_ip),"Value Missing",input_wld_az1_rack2_host14_mgmt_ip)</f>
        <v>Value Missing</v>
      </c>
      <c r="M212" s="21"/>
      <c r="N212" s="4" t="s">
        <v>1268</v>
      </c>
      <c r="O212" s="8" t="str">
        <f>IF(ISBLANK(input_wld_az1_rack3_host14_mgmt_ip),"Value Missing",input_wld_az1_rack3_host14_mgmt_ip)</f>
        <v>Value Missing</v>
      </c>
      <c r="P212" s="2"/>
      <c r="Q212" s="4" t="s">
        <v>1268</v>
      </c>
      <c r="R212" s="8" t="str">
        <f>IF(ISBLANK(input_wld_az1_rack4_host14_mgmt_ip),"Value Missing",input_wld_az1_rack4_host14_mgmt_ip)</f>
        <v>Value Missing</v>
      </c>
      <c r="S212" s="2"/>
      <c r="T212" s="4" t="s">
        <v>1268</v>
      </c>
      <c r="U212" s="8" t="str">
        <f>IF(ISBLANK(input_wld_az1_rack5_host14_mgmt_ip),"Value Missing",input_wld_az1_rack5_host14_mgmt_ip)</f>
        <v>Value Missing</v>
      </c>
      <c r="V212" s="2"/>
      <c r="W212" s="4" t="s">
        <v>1268</v>
      </c>
      <c r="X212" s="8" t="str">
        <f>IF(ISBLANK(input_wld_az1_rack6_host14_mgmt_ip),"Value Missing",input_wld_az1_rack6_host14_mgmt_ip)</f>
        <v>Value Missing</v>
      </c>
      <c r="Y212" s="2"/>
      <c r="Z212" s="4" t="s">
        <v>1268</v>
      </c>
      <c r="AA212" s="8" t="str">
        <f>IF(ISBLANK(input_wld_az1_rack7_host14_mgmt_ip),"Value Missing",input_wld_az1_rack7_host14_mgmt_ip)</f>
        <v>Value Missing</v>
      </c>
      <c r="AB212" s="2"/>
      <c r="AC212" s="4" t="s">
        <v>1268</v>
      </c>
      <c r="AD212" s="8" t="str">
        <f>IF(ISBLANK(input_wld_az1_rack8_host14_mgmt_ip),"Value Missing",input_wld_az1_rack8_host14_mgmt_ip)</f>
        <v>Value Missing</v>
      </c>
    </row>
    <row r="213" spans="5:30" ht="20" customHeight="1" x14ac:dyDescent="0.2">
      <c r="E213" s="4" t="s">
        <v>1269</v>
      </c>
      <c r="F213" s="8" t="str">
        <f>IF(ISBLANK(input_mgmt_az1_host15_mgmt_ip),"Value Missing",input_mgmt_az1_host15_mgmt_ip)</f>
        <v>Value Missing</v>
      </c>
      <c r="G213" s="2"/>
      <c r="H213" s="4" t="s">
        <v>1269</v>
      </c>
      <c r="I213" s="8" t="str">
        <f>IF(ISBLANK(input_wld_az1_host15_mgmt_ip),"Value Missing",input_wld_az1_host15_mgmt_ip)</f>
        <v>Value Missing</v>
      </c>
      <c r="J213" s="2"/>
      <c r="K213" s="4" t="s">
        <v>1269</v>
      </c>
      <c r="L213" s="8" t="str">
        <f>IF(ISBLANK(input_wld_az1_rack2_host15_mgmt_ip),"Value Missing",input_wld_az1_rack2_host15_mgmt_ip)</f>
        <v>Value Missing</v>
      </c>
      <c r="M213" s="2"/>
      <c r="N213" s="4" t="s">
        <v>1269</v>
      </c>
      <c r="O213" s="8" t="str">
        <f>IF(ISBLANK(input_wld_az1_rack3_host15_mgmt_ip),"Value Missing",input_wld_az1_rack3_host15_mgmt_ip)</f>
        <v>Value Missing</v>
      </c>
      <c r="P213" s="2"/>
      <c r="Q213" s="4" t="s">
        <v>1269</v>
      </c>
      <c r="R213" s="8" t="str">
        <f>IF(ISBLANK(input_wld_az1_rack4_host15_mgmt_ip),"Value Missing",input_wld_az1_rack4_host15_mgmt_ip)</f>
        <v>Value Missing</v>
      </c>
      <c r="S213" s="2"/>
      <c r="T213" s="4" t="s">
        <v>1269</v>
      </c>
      <c r="U213" s="8" t="str">
        <f>IF(ISBLANK(input_wld_az1_rack5_host15_mgmt_ip),"Value Missing",input_wld_az1_rack5_host15_mgmt_ip)</f>
        <v>Value Missing</v>
      </c>
      <c r="V213" s="2"/>
      <c r="W213" s="4" t="s">
        <v>1269</v>
      </c>
      <c r="X213" s="8" t="str">
        <f>IF(ISBLANK(input_wld_az1_rack6_host15_mgmt_ip),"Value Missing",input_wld_az1_rack6_host15_mgmt_ip)</f>
        <v>Value Missing</v>
      </c>
      <c r="Y213" s="2"/>
      <c r="Z213" s="4" t="s">
        <v>1269</v>
      </c>
      <c r="AA213" s="8" t="str">
        <f>IF(ISBLANK(input_wld_az1_rack7_host15_mgmt_ip),"Value Missing",input_wld_az1_rack7_host15_mgmt_ip)</f>
        <v>Value Missing</v>
      </c>
      <c r="AB213" s="2"/>
      <c r="AC213" s="4" t="s">
        <v>1269</v>
      </c>
      <c r="AD213" s="8" t="str">
        <f>IF(ISBLANK(input_wld_az1_rack8_host15_mgmt_ip),"Value Missing",input_wld_az1_rack8_host15_mgmt_ip)</f>
        <v>Value Missing</v>
      </c>
    </row>
    <row r="214" spans="5:30" ht="20" customHeight="1" x14ac:dyDescent="0.2">
      <c r="E214" s="4" t="s">
        <v>1270</v>
      </c>
      <c r="F214" s="8" t="str">
        <f>IF(ISBLANK(input_mgmt_az1_host16_mgmt_ip),"Value Missing",input_mgmt_az1_host16_mgmt_ip)</f>
        <v>Value Missing</v>
      </c>
      <c r="G214" s="2"/>
      <c r="H214" s="4" t="s">
        <v>1270</v>
      </c>
      <c r="I214" s="8" t="str">
        <f>IF(ISBLANK(input_wld_az1_host16_mgmt_ip),"Value Missing",input_wld_az1_host16_mgmt_ip)</f>
        <v>Value Missing</v>
      </c>
      <c r="J214" s="2"/>
      <c r="K214" s="4" t="s">
        <v>1270</v>
      </c>
      <c r="L214" s="8" t="str">
        <f>IF(ISBLANK(input_wld_az1_rack2_host16_mgmt_ip),"Value Missing",input_wld_az1_rack2_host16_mgmt_ip)</f>
        <v>Value Missing</v>
      </c>
      <c r="M214" s="2"/>
      <c r="N214" s="4" t="s">
        <v>1270</v>
      </c>
      <c r="O214" s="8" t="str">
        <f>IF(ISBLANK(input_wld_az1_rack3_host16_mgmt_ip),"Value Missing",input_wld_az1_rack3_host16_mgmt_ip)</f>
        <v>Value Missing</v>
      </c>
      <c r="P214" s="2"/>
      <c r="Q214" s="4" t="s">
        <v>1270</v>
      </c>
      <c r="R214" s="8" t="str">
        <f>IF(ISBLANK(input_wld_az1_rack4_host16_mgmt_ip),"Value Missing",input_wld_az1_rack4_host16_mgmt_ip)</f>
        <v>Value Missing</v>
      </c>
      <c r="S214" s="2"/>
      <c r="T214" s="4" t="s">
        <v>1270</v>
      </c>
      <c r="U214" s="8" t="str">
        <f>IF(ISBLANK(input_wld_az1_rack5_host16_mgmt_ip),"Value Missing",input_wld_az1_rack5_host16_mgmt_ip)</f>
        <v>Value Missing</v>
      </c>
      <c r="V214" s="2"/>
      <c r="W214" s="4" t="s">
        <v>1270</v>
      </c>
      <c r="X214" s="8" t="str">
        <f>IF(ISBLANK(input_wld_az1_rack6_host16_mgmt_ip),"Value Missing",input_wld_az1_rack6_host16_mgmt_ip)</f>
        <v>Value Missing</v>
      </c>
      <c r="Y214" s="2"/>
      <c r="Z214" s="4" t="s">
        <v>1270</v>
      </c>
      <c r="AA214" s="8" t="str">
        <f>IF(ISBLANK(input_wld_az1_rack7_host16_mgmt_ip),"Value Missing",input_wld_az1_rack7_host16_mgmt_ip)</f>
        <v>Value Missing</v>
      </c>
      <c r="AB214" s="2"/>
      <c r="AC214" s="4" t="s">
        <v>1270</v>
      </c>
      <c r="AD214" s="8" t="str">
        <f>IF(ISBLANK(input_wld_az1_rack8_host16_mgmt_ip),"Value Missing",input_wld_az1_rack8_host16_mgmt_ip)</f>
        <v>Value Missing</v>
      </c>
    </row>
    <row r="215" spans="5:30" ht="20" customHeight="1" x14ac:dyDescent="0.2">
      <c r="E215" s="4" t="s">
        <v>1271</v>
      </c>
      <c r="F215" s="8" t="str">
        <f>IF(ISBLANK(input_mgmt_az1_host1_vrms_ip),"Value Missing",input_mgmt_az1_host1_vrms_ip)</f>
        <v>Value Missing</v>
      </c>
      <c r="G215" s="2"/>
      <c r="H215" s="4" t="s">
        <v>1271</v>
      </c>
      <c r="I215" s="8" t="str">
        <f>IF(ISBLANK(input_wld_az1_host1_vrms_ip),"Value Missing",input_wld_az1_host1_vrms_ip)</f>
        <v>Value Missing</v>
      </c>
      <c r="J215" s="2"/>
      <c r="K215" s="2"/>
      <c r="L215" s="2"/>
      <c r="M215" s="2"/>
      <c r="N215" s="2"/>
      <c r="O215" s="2"/>
      <c r="P215" s="2"/>
      <c r="Q215" s="2"/>
      <c r="R215" s="2"/>
      <c r="S215" s="2"/>
      <c r="T215" s="2"/>
      <c r="U215" s="2"/>
      <c r="V215" s="2"/>
      <c r="W215" s="2"/>
      <c r="X215" s="2"/>
      <c r="Y215" s="2"/>
      <c r="Z215" s="2"/>
      <c r="AA215" s="2"/>
      <c r="AB215" s="2"/>
      <c r="AC215" s="2"/>
      <c r="AD215" s="2"/>
    </row>
    <row r="216" spans="5:30" ht="20" customHeight="1" x14ac:dyDescent="0.2">
      <c r="E216" s="4" t="s">
        <v>1272</v>
      </c>
      <c r="F216" s="8" t="str">
        <f>IF(ISBLANK(input_mgmt_az1_host2_vrms_ip),"Value Missing",input_mgmt_az1_host2_vrms_ip)</f>
        <v>Value Missing</v>
      </c>
      <c r="G216" s="2"/>
      <c r="H216" s="4" t="s">
        <v>1272</v>
      </c>
      <c r="I216" s="8" t="str">
        <f>IF(ISBLANK(input_wld_az1_host2_vrms_ip),"Value Missing",input_wld_az1_host2_vrms_ip)</f>
        <v>Value Missing</v>
      </c>
      <c r="J216" s="2"/>
      <c r="K216" s="627" t="s">
        <v>1273</v>
      </c>
      <c r="L216" s="628"/>
      <c r="M216" s="2"/>
      <c r="N216" s="627" t="s">
        <v>1274</v>
      </c>
      <c r="O216" s="628"/>
      <c r="P216" s="2"/>
      <c r="Q216" s="627" t="s">
        <v>1275</v>
      </c>
      <c r="R216" s="628"/>
      <c r="S216" s="2"/>
      <c r="T216" s="627" t="s">
        <v>1276</v>
      </c>
      <c r="U216" s="628"/>
      <c r="V216" s="2"/>
      <c r="W216" s="627" t="s">
        <v>1277</v>
      </c>
      <c r="X216" s="628"/>
      <c r="Y216" s="2"/>
      <c r="Z216" s="627" t="s">
        <v>1278</v>
      </c>
      <c r="AA216" s="628"/>
      <c r="AB216" s="2"/>
      <c r="AC216" s="627" t="s">
        <v>1279</v>
      </c>
      <c r="AD216" s="628"/>
    </row>
    <row r="217" spans="5:30" ht="20" customHeight="1" x14ac:dyDescent="0.2">
      <c r="E217" s="4" t="s">
        <v>1280</v>
      </c>
      <c r="F217" s="8" t="str">
        <f>IF(ISBLANK(input_mgmt_az1_host3_vrms_ip),"Value Missing",input_mgmt_az1_host3_vrms_ip)</f>
        <v>Value Missing</v>
      </c>
      <c r="G217" s="2"/>
      <c r="H217" s="4" t="s">
        <v>1280</v>
      </c>
      <c r="I217" s="8" t="str">
        <f>IF(ISBLANK(input_wld_az1_host3_vrms_ip),"Value Missing",input_wld_az1_host3_vrms_ip)</f>
        <v>Value Missing</v>
      </c>
      <c r="J217" s="2"/>
      <c r="K217" s="19" t="s">
        <v>254</v>
      </c>
      <c r="L217" s="20" t="s">
        <v>20</v>
      </c>
      <c r="M217" s="2"/>
      <c r="N217" s="19" t="s">
        <v>254</v>
      </c>
      <c r="O217" s="20" t="s">
        <v>20</v>
      </c>
      <c r="P217" s="21"/>
      <c r="Q217" s="19" t="s">
        <v>254</v>
      </c>
      <c r="R217" s="20" t="s">
        <v>20</v>
      </c>
      <c r="S217" s="21"/>
      <c r="T217" s="19" t="s">
        <v>254</v>
      </c>
      <c r="U217" s="20" t="s">
        <v>20</v>
      </c>
      <c r="V217" s="21"/>
      <c r="W217" s="17" t="s">
        <v>254</v>
      </c>
      <c r="X217" s="20" t="s">
        <v>20</v>
      </c>
      <c r="Y217" s="21"/>
      <c r="Z217" s="19" t="s">
        <v>254</v>
      </c>
      <c r="AA217" s="20" t="s">
        <v>20</v>
      </c>
      <c r="AB217" s="21"/>
      <c r="AC217" s="19" t="s">
        <v>254</v>
      </c>
      <c r="AD217" s="20" t="s">
        <v>20</v>
      </c>
    </row>
    <row r="218" spans="5:30" ht="20" customHeight="1" x14ac:dyDescent="0.2">
      <c r="E218" s="4" t="s">
        <v>1281</v>
      </c>
      <c r="F218" s="8" t="str">
        <f>IF(ISBLANK(input_mgmt_az1_host4_vrms_ip),"Value Missing",input_mgmt_az1_host4_vrms_ip)</f>
        <v>Value Missing</v>
      </c>
      <c r="G218" s="2"/>
      <c r="H218" s="4" t="s">
        <v>1281</v>
      </c>
      <c r="I218" s="8" t="str">
        <f>IF(ISBLANK(input_wld_az1_host4_vrms_ip),"Value Missing",input_wld_az1_host4_vrms_ip)</f>
        <v>Value Missing</v>
      </c>
      <c r="J218" s="2"/>
      <c r="K218" s="4" t="s">
        <v>1282</v>
      </c>
      <c r="L218" s="8" t="str">
        <f>IF(wld_az1_rack2_host1_fqdn="Value Missing",wld_az1_rack2_host1_fqdn,LEFT(wld_az1_rack2_host1_fqdn,FIND(".",wld_az1_rack2_host1_fqdn)-1))</f>
        <v>Value Missing</v>
      </c>
      <c r="M218" s="2"/>
      <c r="N218" s="4" t="s">
        <v>1282</v>
      </c>
      <c r="O218" s="8" t="str">
        <f>IF(wld_az1_rack3_host1_fqdn="Value Missing",wld_az1_rack3_host1_fqdn,LEFT(wld_az1_rack3_host1_fqdn,FIND(".",wld_az1_rack3_host1_fqdn)-1))</f>
        <v>Value Missing</v>
      </c>
      <c r="P218" s="2"/>
      <c r="Q218" s="4" t="s">
        <v>1282</v>
      </c>
      <c r="R218" s="8" t="str">
        <f>IF(wld_az1_rack4_host1_fqdn="Value Missing",wld_az1_rack4_host1_fqdn,LEFT(wld_az1_rack4_host1_fqdn,FIND(".",wld_az1_rack4_host1_fqdn)-1))</f>
        <v>Value Missing</v>
      </c>
      <c r="S218" s="2"/>
      <c r="T218" s="4" t="s">
        <v>1282</v>
      </c>
      <c r="U218" s="8" t="str">
        <f>IF(wld_az1_rack5_host1_fqdn="Value Missing",wld_az1_rack5_host1_fqdn,LEFT(wld_az1_rack5_host1_fqdn,FIND(".",wld_az1_rack5_host1_fqdn)-1))</f>
        <v>Value Missing</v>
      </c>
      <c r="V218" s="2"/>
      <c r="W218" s="4" t="s">
        <v>1282</v>
      </c>
      <c r="X218" s="8" t="str">
        <f>IF(wld_az1_rack6_host1_fqdn="Value Missing",wld_az1_rack6_host1_fqdn,LEFT(wld_az1_rack6_host1_fqdn,FIND(".",wld_az1_rack6_host1_fqdn)-1))</f>
        <v>Value Missing</v>
      </c>
      <c r="Y218" s="2"/>
      <c r="Z218" s="4" t="s">
        <v>1282</v>
      </c>
      <c r="AA218" s="8" t="str">
        <f>IF(wld_az1_rack7_host1_fqdn="Value Missing",wld_az1_rack7_host1_fqdn,LEFT(wld_az1_rack7_host1_fqdn,FIND(".",wld_az1_rack7_host1_fqdn)-1))</f>
        <v>Value Missing</v>
      </c>
      <c r="AB218" s="2"/>
      <c r="AC218" s="4" t="s">
        <v>1282</v>
      </c>
      <c r="AD218" s="8" t="str">
        <f>IF(wld_az1_rack8_host1_fqdn="Value Missing",wld_az1_rack8_host1_fqdn,LEFT(wld_az1_rack8_host1_fqdn,FIND(".",wld_az1_rack8_host1_fqdn)-1))</f>
        <v>Value Missing</v>
      </c>
    </row>
    <row r="219" spans="5:30" ht="20" customHeight="1" x14ac:dyDescent="0.2">
      <c r="E219" s="4" t="s">
        <v>1283</v>
      </c>
      <c r="F219" s="8" t="str">
        <f>IF(ISBLANK(input_mgmt_az1_host5_vrms_ip),"Value Missing",input_mgmt_az1_host5_vrms_ip)</f>
        <v>Value Missing</v>
      </c>
      <c r="G219" s="2"/>
      <c r="H219" s="4" t="s">
        <v>1283</v>
      </c>
      <c r="I219" s="8" t="str">
        <f>IF(ISBLANK(input_wld_az1_host5_vrms_ip),"Value Missing",input_wld_az1_host5_vrms_ip)</f>
        <v>Value Missing</v>
      </c>
      <c r="J219" s="2"/>
      <c r="K219" s="4" t="s">
        <v>1284</v>
      </c>
      <c r="L219" s="8" t="str">
        <f>IF(wld_az1_rack2_host2_fqdn="Value Missing",wld_az1_rack2_host2_fqdn,LEFT(wld_az1_rack2_host2_fqdn,FIND(".",wld_az1_rack2_host2_fqdn)-1))</f>
        <v>Value Missing</v>
      </c>
      <c r="M219" s="2"/>
      <c r="N219" s="4" t="s">
        <v>1284</v>
      </c>
      <c r="O219" s="8" t="str">
        <f>IF(wld_az1_rack3_host2_fqdn="Value Missing",wld_az1_rack3_host2_fqdn,LEFT(wld_az1_rack3_host2_fqdn,FIND(".",wld_az1_rack3_host2_fqdn)-1))</f>
        <v>Value Missing</v>
      </c>
      <c r="P219" s="2"/>
      <c r="Q219" s="4" t="s">
        <v>1284</v>
      </c>
      <c r="R219" s="8" t="str">
        <f>IF(wld_az1_rack4_host2_fqdn="Value Missing",wld_az1_rack4_host2_fqdn,LEFT(wld_az1_rack4_host2_fqdn,FIND(".",wld_az1_rack4_host2_fqdn)-1))</f>
        <v>Value Missing</v>
      </c>
      <c r="S219" s="2"/>
      <c r="T219" s="4" t="s">
        <v>1284</v>
      </c>
      <c r="U219" s="8" t="str">
        <f>IF(wld_az1_rack5_host2_fqdn="Value Missing",wld_az1_rack5_host2_fqdn,LEFT(wld_az1_rack5_host2_fqdn,FIND(".",wld_az1_rack5_host2_fqdn)-1))</f>
        <v>Value Missing</v>
      </c>
      <c r="V219" s="2"/>
      <c r="W219" s="4" t="s">
        <v>1284</v>
      </c>
      <c r="X219" s="8" t="str">
        <f>IF(wld_az1_rack6_host2_fqdn="Value Missing",wld_az1_rack6_host2_fqdn,LEFT(wld_az1_rack6_host2_fqdn,FIND(".",wld_az1_rack6_host2_fqdn)-1))</f>
        <v>Value Missing</v>
      </c>
      <c r="Y219" s="2"/>
      <c r="Z219" s="4" t="s">
        <v>1284</v>
      </c>
      <c r="AA219" s="8" t="str">
        <f>IF(wld_az1_rack7_host2_fqdn="Value Missing",wld_az1_rack7_host2_fqdn,LEFT(wld_az1_rack7_host2_fqdn,FIND(".",wld_az1_rack7_host2_fqdn)-1))</f>
        <v>Value Missing</v>
      </c>
      <c r="AB219" s="2"/>
      <c r="AC219" s="4" t="s">
        <v>1284</v>
      </c>
      <c r="AD219" s="8" t="str">
        <f>IF(wld_az1_rack8_host2_fqdn="Value Missing",wld_az1_rack8_host2_fqdn,LEFT(wld_az1_rack8_host2_fqdn,FIND(".",wld_az1_rack8_host2_fqdn)-1))</f>
        <v>Value Missing</v>
      </c>
    </row>
    <row r="220" spans="5:30" ht="20" customHeight="1" x14ac:dyDescent="0.2">
      <c r="E220" s="4" t="s">
        <v>1285</v>
      </c>
      <c r="F220" s="8" t="str">
        <f>IF(ISBLANK(input_mgmt_az1_host6_vrms_ip),"Value Missing",input_mgmt_az1_host6_vrms_ip)</f>
        <v>Value Missing</v>
      </c>
      <c r="G220" s="2"/>
      <c r="H220" s="4" t="s">
        <v>1285</v>
      </c>
      <c r="I220" s="8" t="str">
        <f>IF(ISBLANK(input_wld_az1_host6_vrms_ip),"Value Missing",input_wld_az1_host6_vrms_ip)</f>
        <v>Value Missing</v>
      </c>
      <c r="J220" s="2"/>
      <c r="K220" s="4" t="s">
        <v>1286</v>
      </c>
      <c r="L220" s="8" t="str">
        <f>IF(wld_az1_rack2_host3_fqdn="Value Missing",wld_az1_rack2_host3_fqdn,LEFT(wld_az1_rack2_host3_fqdn,FIND(".",wld_az1_rack2_host3_fqdn)-1))</f>
        <v>Value Missing</v>
      </c>
      <c r="M220" s="2"/>
      <c r="N220" s="4" t="s">
        <v>1286</v>
      </c>
      <c r="O220" s="8" t="str">
        <f>IF(wld_az1_rack3_host3_fqdn="Value Missing",wld_az1_rack3_host3_fqdn,LEFT(wld_az1_rack3_host3_fqdn,FIND(".",wld_az1_rack3_host3_fqdn)-1))</f>
        <v>Value Missing</v>
      </c>
      <c r="P220" s="2"/>
      <c r="Q220" s="4" t="s">
        <v>1286</v>
      </c>
      <c r="R220" s="8" t="str">
        <f>IF(wld_az1_rack4_host3_fqdn="Value Missing",wld_az1_rack4_host3_fqdn,LEFT(wld_az1_rack4_host3_fqdn,FIND(".",wld_az1_rack4_host3_fqdn)-1))</f>
        <v>Value Missing</v>
      </c>
      <c r="S220" s="2"/>
      <c r="T220" s="4" t="s">
        <v>1286</v>
      </c>
      <c r="U220" s="8" t="str">
        <f>IF(wld_az1_rack5_host3_fqdn="Value Missing",wld_az1_rack5_host3_fqdn,LEFT(wld_az1_rack5_host3_fqdn,FIND(".",wld_az1_rack5_host3_fqdn)-1))</f>
        <v>Value Missing</v>
      </c>
      <c r="V220" s="2"/>
      <c r="W220" s="4" t="s">
        <v>1286</v>
      </c>
      <c r="X220" s="8" t="str">
        <f>IF(wld_az1_rack6_host3_fqdn="Value Missing",wld_az1_rack6_host3_fqdn,LEFT(wld_az1_rack6_host3_fqdn,FIND(".",wld_az1_rack6_host3_fqdn)-1))</f>
        <v>Value Missing</v>
      </c>
      <c r="Y220" s="2"/>
      <c r="Z220" s="4" t="s">
        <v>1286</v>
      </c>
      <c r="AA220" s="8" t="str">
        <f>IF(wld_az1_rack7_host3_fqdn="Value Missing",wld_az1_rack7_host3_fqdn,LEFT(wld_az1_rack7_host3_fqdn,FIND(".",wld_az1_rack7_host3_fqdn)-1))</f>
        <v>Value Missing</v>
      </c>
      <c r="AB220" s="2"/>
      <c r="AC220" s="4" t="s">
        <v>1286</v>
      </c>
      <c r="AD220" s="8" t="str">
        <f>IF(wld_az1_rack8_host3_fqdn="Value Missing",wld_az1_rack8_host3_fqdn,LEFT(wld_az1_rack8_host3_fqdn,FIND(".",wld_az1_rack8_host3_fqdn)-1))</f>
        <v>Value Missing</v>
      </c>
    </row>
    <row r="221" spans="5:30" ht="20" customHeight="1" x14ac:dyDescent="0.2">
      <c r="E221" s="4" t="s">
        <v>1287</v>
      </c>
      <c r="F221" s="8" t="str">
        <f>IF(ISBLANK(input_mgmt_az1_host7_vrms_ip),"Value Missing",input_mgmt_az1_host7_vrms_ip)</f>
        <v>Value Missing</v>
      </c>
      <c r="G221" s="2"/>
      <c r="H221" s="4" t="s">
        <v>1287</v>
      </c>
      <c r="I221" s="8" t="str">
        <f>IF(ISBLANK(input_wld_az1_host7_vrms_ip),"Value Missing",input_wld_az1_host7_vrms_ip)</f>
        <v>Value Missing</v>
      </c>
      <c r="J221" s="2"/>
      <c r="K221" s="4" t="s">
        <v>1288</v>
      </c>
      <c r="L221" s="8" t="str">
        <f>IF(wld_az1_rack2_host4_fqdn="Value Missing",wld_az1_rack2_host4_fqdn,LEFT(wld_az1_rack2_host4_fqdn,FIND(".",wld_az1_rack2_host4_fqdn)-1))</f>
        <v>Value Missing</v>
      </c>
      <c r="M221" s="2"/>
      <c r="N221" s="4" t="s">
        <v>1288</v>
      </c>
      <c r="O221" s="8" t="str">
        <f>IF(wld_az1_rack3_host4_fqdn="Value Missing",wld_az1_rack3_host4_fqdn,LEFT(wld_az1_rack3_host4_fqdn,FIND(".",wld_az1_rack3_host4_fqdn)-1))</f>
        <v>Value Missing</v>
      </c>
      <c r="P221" s="2"/>
      <c r="Q221" s="4" t="s">
        <v>1288</v>
      </c>
      <c r="R221" s="8" t="str">
        <f>IF(wld_az1_rack4_host4_fqdn="Value Missing",wld_az1_rack4_host4_fqdn,LEFT(wld_az1_rack4_host4_fqdn,FIND(".",wld_az1_rack4_host4_fqdn)-1))</f>
        <v>Value Missing</v>
      </c>
      <c r="S221" s="2"/>
      <c r="T221" s="4" t="s">
        <v>1288</v>
      </c>
      <c r="U221" s="8" t="str">
        <f>IF(wld_az1_rack5_host4_fqdn="Value Missing",wld_az1_rack5_host4_fqdn,LEFT(wld_az1_rack5_host4_fqdn,FIND(".",wld_az1_rack5_host4_fqdn)-1))</f>
        <v>Value Missing</v>
      </c>
      <c r="V221" s="2"/>
      <c r="W221" s="4" t="s">
        <v>1288</v>
      </c>
      <c r="X221" s="8" t="str">
        <f>IF(wld_az1_rack6_host4_fqdn="Value Missing",wld_az1_rack6_host4_fqdn,LEFT(wld_az1_rack6_host4_fqdn,FIND(".",wld_az1_rack6_host4_fqdn)-1))</f>
        <v>Value Missing</v>
      </c>
      <c r="Y221" s="2"/>
      <c r="Z221" s="4" t="s">
        <v>1288</v>
      </c>
      <c r="AA221" s="8" t="str">
        <f>IF(wld_az1_rack7_host4_fqdn="Value Missing",wld_az1_rack7_host4_fqdn,LEFT(wld_az1_rack7_host4_fqdn,FIND(".",wld_az1_rack7_host4_fqdn)-1))</f>
        <v>Value Missing</v>
      </c>
      <c r="AB221" s="2"/>
      <c r="AC221" s="4" t="s">
        <v>1288</v>
      </c>
      <c r="AD221" s="8" t="str">
        <f>IF(wld_az1_rack8_host4_fqdn="Value Missing",wld_az1_rack8_host4_fqdn,LEFT(wld_az1_rack8_host4_fqdn,FIND(".",wld_az1_rack8_host4_fqdn)-1))</f>
        <v>Value Missing</v>
      </c>
    </row>
    <row r="222" spans="5:30" ht="20" customHeight="1" x14ac:dyDescent="0.2">
      <c r="E222" s="4" t="s">
        <v>1289</v>
      </c>
      <c r="F222" s="8" t="str">
        <f>IF(ISBLANK(input_mgmt_az1_host8_vrms_ip),"Value Missing",input_mgmt_az1_host8_vrms_ip)</f>
        <v>Value Missing</v>
      </c>
      <c r="G222" s="2"/>
      <c r="H222" s="4" t="s">
        <v>1289</v>
      </c>
      <c r="I222" s="8" t="str">
        <f>IF(ISBLANK(input_wld_az1_host8_vrms_ip),"Value Missing",input_wld_az1_host8_vrms_ip)</f>
        <v>Value Missing</v>
      </c>
      <c r="J222" s="2"/>
      <c r="K222" s="4" t="s">
        <v>1290</v>
      </c>
      <c r="L222" s="8" t="str">
        <f>IF(wld_az1_rack2_host5_fqdn="Value Missing",wld_az1_rack2_host5_fqdn,LEFT(wld_az1_rack2_host5_fqdn,FIND(".",wld_az1_rack2_host5_fqdn)-1))</f>
        <v>Value Missing</v>
      </c>
      <c r="M222" s="2"/>
      <c r="N222" s="4" t="s">
        <v>1290</v>
      </c>
      <c r="O222" s="8" t="str">
        <f>IF(wld_az1_rack3_host5_fqdn="Value Missing",wld_az1_rack3_host5_fqdn,LEFT(wld_az1_rack3_host5_fqdn,FIND(".",wld_az1_rack3_host5_fqdn)-1))</f>
        <v>Value Missing</v>
      </c>
      <c r="P222" s="2"/>
      <c r="Q222" s="4" t="s">
        <v>1290</v>
      </c>
      <c r="R222" s="8" t="str">
        <f>IF(wld_az1_rack4_host5_fqdn="Value Missing",wld_az1_rack4_host5_fqdn,LEFT(wld_az1_rack4_host5_fqdn,FIND(".",wld_az1_rack4_host5_fqdn)-1))</f>
        <v>Value Missing</v>
      </c>
      <c r="S222" s="2"/>
      <c r="T222" s="4" t="s">
        <v>1290</v>
      </c>
      <c r="U222" s="8" t="str">
        <f>IF(wld_az1_rack5_host5_fqdn="Value Missing",wld_az1_rack5_host5_fqdn,LEFT(wld_az1_rack5_host5_fqdn,FIND(".",wld_az1_rack5_host5_fqdn)-1))</f>
        <v>Value Missing</v>
      </c>
      <c r="V222" s="2"/>
      <c r="W222" s="4" t="s">
        <v>1290</v>
      </c>
      <c r="X222" s="8" t="str">
        <f>IF(wld_az1_rack6_host5_fqdn="Value Missing",wld_az1_rack6_host5_fqdn,LEFT(wld_az1_rack6_host5_fqdn,FIND(".",wld_az1_rack6_host5_fqdn)-1))</f>
        <v>Value Missing</v>
      </c>
      <c r="Y222" s="2"/>
      <c r="Z222" s="4" t="s">
        <v>1290</v>
      </c>
      <c r="AA222" s="8" t="str">
        <f>IF(wld_az1_rack7_host5_fqdn="Value Missing",wld_az1_rack7_host5_fqdn,LEFT(wld_az1_rack7_host5_fqdn,FIND(".",wld_az1_rack7_host5_fqdn)-1))</f>
        <v>Value Missing</v>
      </c>
      <c r="AB222" s="2"/>
      <c r="AC222" s="4" t="s">
        <v>1290</v>
      </c>
      <c r="AD222" s="8" t="str">
        <f>IF(wld_az1_rack8_host5_fqdn="Value Missing",wld_az1_rack8_host5_fqdn,LEFT(wld_az1_rack8_host5_fqdn,FIND(".",wld_az1_rack8_host5_fqdn)-1))</f>
        <v>Value Missing</v>
      </c>
    </row>
    <row r="223" spans="5:30" ht="20" customHeight="1" x14ac:dyDescent="0.2">
      <c r="E223" s="4" t="s">
        <v>1291</v>
      </c>
      <c r="F223" s="8" t="str">
        <f>IF(ISBLANK(input_mgmt_az1_host9_vrms_ip),"Value Missing",input_mgmt_az1_host9_vrms_ip)</f>
        <v>Value Missing</v>
      </c>
      <c r="G223" s="2"/>
      <c r="H223" s="4" t="s">
        <v>1291</v>
      </c>
      <c r="I223" s="8" t="str">
        <f>IF(ISBLANK(input_wld_az1_host9_vrms_ip),"Value Missing",input_wld_az1_host9_vrms_ip)</f>
        <v>Value Missing</v>
      </c>
      <c r="J223" s="2"/>
      <c r="K223" s="4" t="s">
        <v>1292</v>
      </c>
      <c r="L223" s="8" t="str">
        <f>IF(wld_az1_rack2_host6_fqdn="Value Missing",wld_az1_rack2_host6_fqdn,LEFT(wld_az1_rack2_host6_fqdn,FIND(".",wld_az1_rack2_host6_fqdn)-1))</f>
        <v>Value Missing</v>
      </c>
      <c r="M223" s="2"/>
      <c r="N223" s="4" t="s">
        <v>1292</v>
      </c>
      <c r="O223" s="8" t="str">
        <f>IF(wld_az1_rack3_host6_fqdn="Value Missing",wld_az1_rack3_host6_fqdn,LEFT(wld_az1_rack3_host6_fqdn,FIND(".",wld_az1_rack3_host6_fqdn)-1))</f>
        <v>Value Missing</v>
      </c>
      <c r="P223" s="2"/>
      <c r="Q223" s="4" t="s">
        <v>1292</v>
      </c>
      <c r="R223" s="8" t="str">
        <f>IF(wld_az1_rack4_host6_fqdn="Value Missing",wld_az1_rack4_host6_fqdn,LEFT(wld_az1_rack4_host6_fqdn,FIND(".",wld_az1_rack4_host6_fqdn)-1))</f>
        <v>Value Missing</v>
      </c>
      <c r="S223" s="2"/>
      <c r="T223" s="4" t="s">
        <v>1292</v>
      </c>
      <c r="U223" s="8" t="str">
        <f>IF(wld_az1_rack5_host6_fqdn="Value Missing",wld_az1_rack5_host6_fqdn,LEFT(wld_az1_rack5_host6_fqdn,FIND(".",wld_az1_rack5_host6_fqdn)-1))</f>
        <v>Value Missing</v>
      </c>
      <c r="V223" s="2"/>
      <c r="W223" s="4" t="s">
        <v>1292</v>
      </c>
      <c r="X223" s="8" t="str">
        <f>IF(wld_az1_rack6_host6_fqdn="Value Missing",wld_az1_rack6_host6_fqdn,LEFT(wld_az1_rack6_host6_fqdn,FIND(".",wld_az1_rack6_host6_fqdn)-1))</f>
        <v>Value Missing</v>
      </c>
      <c r="Y223" s="2"/>
      <c r="Z223" s="4" t="s">
        <v>1292</v>
      </c>
      <c r="AA223" s="8" t="str">
        <f>IF(wld_az1_rack7_host6_fqdn="Value Missing",wld_az1_rack7_host6_fqdn,LEFT(wld_az1_rack7_host6_fqdn,FIND(".",wld_az1_rack7_host6_fqdn)-1))</f>
        <v>Value Missing</v>
      </c>
      <c r="AB223" s="2"/>
      <c r="AC223" s="4" t="s">
        <v>1292</v>
      </c>
      <c r="AD223" s="8" t="str">
        <f>IF(wld_az1_rack8_host6_fqdn="Value Missing",wld_az1_rack8_host6_fqdn,LEFT(wld_az1_rack8_host6_fqdn,FIND(".",wld_az1_rack8_host6_fqdn)-1))</f>
        <v>Value Missing</v>
      </c>
    </row>
    <row r="224" spans="5:30" ht="20" customHeight="1" x14ac:dyDescent="0.2">
      <c r="E224" s="4" t="s">
        <v>1293</v>
      </c>
      <c r="F224" s="8" t="str">
        <f>IF(ISBLANK(input_mgmt_az1_host10_vrms_ip),"Value Missing",input_mgmt_az1_host10_vrms_ip)</f>
        <v>Value Missing</v>
      </c>
      <c r="G224" s="2"/>
      <c r="H224" s="4" t="s">
        <v>1293</v>
      </c>
      <c r="I224" s="8" t="str">
        <f>IF(ISBLANK(input_wld_az1_host10_vrms_ip),"Value Missing",input_wld_az1_host10_vrms_ip)</f>
        <v>Value Missing</v>
      </c>
      <c r="J224" s="2"/>
      <c r="K224" s="4" t="s">
        <v>1294</v>
      </c>
      <c r="L224" s="8" t="str">
        <f>IF(wld_az1_rack2_host7_fqdn="Value Missing",wld_az1_rack2_host7_fqdn,LEFT(wld_az1_rack2_host7_fqdn,FIND(".",wld_az1_rack2_host7_fqdn)-1))</f>
        <v>Value Missing</v>
      </c>
      <c r="M224" s="2"/>
      <c r="N224" s="4" t="s">
        <v>1294</v>
      </c>
      <c r="O224" s="8" t="str">
        <f>IF(wld_az1_rack3_host7_fqdn="Value Missing",wld_az1_rack3_host7_fqdn,LEFT(wld_az1_rack3_host7_fqdn,FIND(".",wld_az1_rack3_host7_fqdn)-1))</f>
        <v>Value Missing</v>
      </c>
      <c r="P224" s="2"/>
      <c r="Q224" s="4" t="s">
        <v>1294</v>
      </c>
      <c r="R224" s="8" t="str">
        <f>IF(wld_az1_rack4_host7_fqdn="Value Missing",wld_az1_rack4_host7_fqdn,LEFT(wld_az1_rack4_host7_fqdn,FIND(".",wld_az1_rack4_host7_fqdn)-1))</f>
        <v>Value Missing</v>
      </c>
      <c r="S224" s="2"/>
      <c r="T224" s="4" t="s">
        <v>1294</v>
      </c>
      <c r="U224" s="8" t="str">
        <f>IF(wld_az1_rack5_host7_fqdn="Value Missing",wld_az1_rack5_host7_fqdn,LEFT(wld_az1_rack5_host7_fqdn,FIND(".",wld_az1_rack5_host7_fqdn)-1))</f>
        <v>Value Missing</v>
      </c>
      <c r="V224" s="2"/>
      <c r="W224" s="4" t="s">
        <v>1294</v>
      </c>
      <c r="X224" s="8" t="str">
        <f>IF(wld_az1_rack6_host7_fqdn="Value Missing",wld_az1_rack6_host7_fqdn,LEFT(wld_az1_rack6_host7_fqdn,FIND(".",wld_az1_rack6_host7_fqdn)-1))</f>
        <v>Value Missing</v>
      </c>
      <c r="Y224" s="2"/>
      <c r="Z224" s="4" t="s">
        <v>1294</v>
      </c>
      <c r="AA224" s="8" t="str">
        <f>IF(wld_az1_rack7_host7_fqdn="Value Missing",wld_az1_rack7_host7_fqdn,LEFT(wld_az1_rack7_host7_fqdn,FIND(".",wld_az1_rack7_host7_fqdn)-1))</f>
        <v>Value Missing</v>
      </c>
      <c r="AB224" s="2"/>
      <c r="AC224" s="4" t="s">
        <v>1294</v>
      </c>
      <c r="AD224" s="8" t="str">
        <f>IF(wld_az1_rack8_host7_fqdn="Value Missing",wld_az1_rack8_host7_fqdn,LEFT(wld_az1_rack8_host7_fqdn,FIND(".",wld_az1_rack8_host7_fqdn)-1))</f>
        <v>Value Missing</v>
      </c>
    </row>
    <row r="225" spans="5:30" ht="20" customHeight="1" x14ac:dyDescent="0.2">
      <c r="E225" s="4" t="s">
        <v>1295</v>
      </c>
      <c r="F225" s="8" t="str">
        <f>IF(ISBLANK(input_mgmt_az1_host11_vrms_ip),"Value Missing",input_mgmt_az1_host11_vrms_ip)</f>
        <v>Value Missing</v>
      </c>
      <c r="G225" s="2"/>
      <c r="H225" s="4" t="s">
        <v>1295</v>
      </c>
      <c r="I225" s="8" t="str">
        <f>IF(ISBLANK(input_wld_az1_host11_vrms_ip),"Value Missing",input_wld_az1_host11_vrms_ip)</f>
        <v>Value Missing</v>
      </c>
      <c r="J225" s="2"/>
      <c r="K225" s="4" t="s">
        <v>1296</v>
      </c>
      <c r="L225" s="8" t="str">
        <f>IF(wld_az1_rack2_host8_fqdn="Value Missing",wld_az1_rack2_host8_fqdn,LEFT(wld_az1_rack2_host8_fqdn,FIND(".",wld_az1_rack2_host8_fqdn)-1))</f>
        <v>Value Missing</v>
      </c>
      <c r="M225" s="2"/>
      <c r="N225" s="4" t="s">
        <v>1296</v>
      </c>
      <c r="O225" s="8" t="str">
        <f>IF(wld_az1_rack3_host8_fqdn="Value Missing",wld_az1_rack3_host8_fqdn,LEFT(wld_az1_rack3_host8_fqdn,FIND(".",wld_az1_rack3_host8_fqdn)-1))</f>
        <v>Value Missing</v>
      </c>
      <c r="P225" s="2"/>
      <c r="Q225" s="4" t="s">
        <v>1296</v>
      </c>
      <c r="R225" s="8" t="str">
        <f>IF(wld_az1_rack4_host8_fqdn="Value Missing",wld_az1_rack4_host8_fqdn,LEFT(wld_az1_rack4_host8_fqdn,FIND(".",wld_az1_rack4_host8_fqdn)-1))</f>
        <v>Value Missing</v>
      </c>
      <c r="S225" s="2"/>
      <c r="T225" s="4" t="s">
        <v>1296</v>
      </c>
      <c r="U225" s="8" t="str">
        <f>IF(wld_az1_rack5_host8_fqdn="Value Missing",wld_az1_rack5_host8_fqdn,LEFT(wld_az1_rack5_host8_fqdn,FIND(".",wld_az1_rack5_host8_fqdn)-1))</f>
        <v>Value Missing</v>
      </c>
      <c r="V225" s="2"/>
      <c r="W225" s="4" t="s">
        <v>1296</v>
      </c>
      <c r="X225" s="8" t="str">
        <f>IF(wld_az1_rack6_host8_fqdn="Value Missing",wld_az1_rack6_host8_fqdn,LEFT(wld_az1_rack6_host8_fqdn,FIND(".",wld_az1_rack6_host8_fqdn)-1))</f>
        <v>Value Missing</v>
      </c>
      <c r="Y225" s="2"/>
      <c r="Z225" s="4" t="s">
        <v>1296</v>
      </c>
      <c r="AA225" s="8" t="str">
        <f>IF(wld_az1_rack7_host8_fqdn="Value Missing",wld_az1_rack7_host8_fqdn,LEFT(wld_az1_rack7_host8_fqdn,FIND(".",wld_az1_rack7_host8_fqdn)-1))</f>
        <v>Value Missing</v>
      </c>
      <c r="AB225" s="2"/>
      <c r="AC225" s="4" t="s">
        <v>1296</v>
      </c>
      <c r="AD225" s="8" t="str">
        <f>IF(wld_az1_rack8_host8_fqdn="Value Missing",wld_az1_rack8_host8_fqdn,LEFT(wld_az1_rack8_host8_fqdn,FIND(".",wld_az1_rack8_host8_fqdn)-1))</f>
        <v>Value Missing</v>
      </c>
    </row>
    <row r="226" spans="5:30" ht="20" customHeight="1" x14ac:dyDescent="0.2">
      <c r="E226" s="4" t="s">
        <v>1297</v>
      </c>
      <c r="F226" s="8" t="str">
        <f>IF(ISBLANK(input_mgmt_az1_host12_vrms_ip),"Value Missing",input_mgmt_az1_host12_vrms_ip)</f>
        <v>Value Missing</v>
      </c>
      <c r="G226" s="2"/>
      <c r="H226" s="4" t="s">
        <v>1297</v>
      </c>
      <c r="I226" s="8" t="str">
        <f>IF(ISBLANK(input_wld_az1_host12_vrms_ip),"Value Missing",input_wld_az1_host12_vrms_ip)</f>
        <v>Value Missing</v>
      </c>
      <c r="J226" s="2"/>
      <c r="K226" s="4" t="s">
        <v>1298</v>
      </c>
      <c r="L226" s="8" t="str">
        <f>IF(wld_az1_rack2_host9_fqdn="Value Missing",wld_az1_rack2_host9_fqdn,LEFT(wld_az1_rack2_host9_fqdn,FIND(".",wld_az1_rack2_host9_fqdn)-1))</f>
        <v>Value Missing</v>
      </c>
      <c r="M226" s="2"/>
      <c r="N226" s="4" t="s">
        <v>1298</v>
      </c>
      <c r="O226" s="8" t="str">
        <f>IF(wld_az1_rack3_host9_fqdn="Value Missing",wld_az1_rack3_host9_fqdn,LEFT(wld_az1_rack3_host9_fqdn,FIND(".",wld_az1_rack3_host9_fqdn)-1))</f>
        <v>Value Missing</v>
      </c>
      <c r="P226" s="2"/>
      <c r="Q226" s="4" t="s">
        <v>1298</v>
      </c>
      <c r="R226" s="8" t="str">
        <f>IF(wld_az1_rack4_host9_fqdn="Value Missing",wld_az1_rack4_host9_fqdn,LEFT(wld_az1_rack4_host9_fqdn,FIND(".",wld_az1_rack4_host9_fqdn)-1))</f>
        <v>Value Missing</v>
      </c>
      <c r="S226" s="2"/>
      <c r="T226" s="4" t="s">
        <v>1298</v>
      </c>
      <c r="U226" s="8" t="str">
        <f>IF(wld_az1_rack5_host9_fqdn="Value Missing",wld_az1_rack5_host9_fqdn,LEFT(wld_az1_rack5_host9_fqdn,FIND(".",wld_az1_rack5_host9_fqdn)-1))</f>
        <v>Value Missing</v>
      </c>
      <c r="V226" s="2"/>
      <c r="W226" s="4" t="s">
        <v>1298</v>
      </c>
      <c r="X226" s="8" t="str">
        <f>IF(wld_az1_rack6_host9_fqdn="Value Missing",wld_az1_rack6_host9_fqdn,LEFT(wld_az1_rack6_host9_fqdn,FIND(".",wld_az1_rack6_host9_fqdn)-1))</f>
        <v>Value Missing</v>
      </c>
      <c r="Y226" s="2"/>
      <c r="Z226" s="4" t="s">
        <v>1298</v>
      </c>
      <c r="AA226" s="8" t="str">
        <f>IF(wld_az1_rack7_host9_fqdn="Value Missing",wld_az1_rack7_host9_fqdn,LEFT(wld_az1_rack7_host9_fqdn,FIND(".",wld_az1_rack7_host9_fqdn)-1))</f>
        <v>Value Missing</v>
      </c>
      <c r="AB226" s="2"/>
      <c r="AC226" s="4" t="s">
        <v>1298</v>
      </c>
      <c r="AD226" s="8" t="str">
        <f>IF(wld_az1_rack8_host9_fqdn="Value Missing",wld_az1_rack8_host9_fqdn,LEFT(wld_az1_rack8_host9_fqdn,FIND(".",wld_az1_rack8_host9_fqdn)-1))</f>
        <v>Value Missing</v>
      </c>
    </row>
    <row r="227" spans="5:30" ht="20" customHeight="1" x14ac:dyDescent="0.2">
      <c r="E227" s="4" t="s">
        <v>1299</v>
      </c>
      <c r="F227" s="8" t="str">
        <f>IF(ISBLANK(input_mgmt_az1_host13_vrms_ip),"Value Missing",input_mgmt_az1_host13_vrms_ip)</f>
        <v>Value Missing</v>
      </c>
      <c r="G227" s="2"/>
      <c r="H227" s="4" t="s">
        <v>1299</v>
      </c>
      <c r="I227" s="8" t="str">
        <f>IF(ISBLANK(input_wld_az1_host13_vrms_ip),"Value Missing",input_wld_az1_host13_vrms_ip)</f>
        <v>Value Missing</v>
      </c>
      <c r="J227" s="2"/>
      <c r="K227" s="4" t="s">
        <v>1300</v>
      </c>
      <c r="L227" s="8" t="str">
        <f>IF(wld_az1_rack2_host10_fqdn="Value Missing",wld_az1_rack2_host10_fqdn,LEFT(wld_az1_rack2_host10_fqdn,FIND(".",wld_az1_rack2_host10_fqdn)-1))</f>
        <v>Value Missing</v>
      </c>
      <c r="M227" s="2"/>
      <c r="N227" s="4" t="s">
        <v>1300</v>
      </c>
      <c r="O227" s="8" t="str">
        <f>IF(wld_az1_rack3_host10_fqdn="Value Missing",wld_az1_rack3_host10_fqdn,LEFT(wld_az1_rack3_host10_fqdn,FIND(".",wld_az1_rack3_host10_fqdn)-1))</f>
        <v>Value Missing</v>
      </c>
      <c r="P227" s="2"/>
      <c r="Q227" s="4" t="s">
        <v>1300</v>
      </c>
      <c r="R227" s="8" t="str">
        <f>IF(wld_az1_rack4_host10_fqdn="Value Missing",wld_az1_rack4_host10_fqdn,LEFT(wld_az1_rack4_host10_fqdn,FIND(".",wld_az1_rack4_host10_fqdn)-1))</f>
        <v>Value Missing</v>
      </c>
      <c r="S227" s="2"/>
      <c r="T227" s="4" t="s">
        <v>1300</v>
      </c>
      <c r="U227" s="8" t="str">
        <f>IF(wld_az1_rack5_host10_fqdn="Value Missing",wld_az1_rack5_host10_fqdn,LEFT(wld_az1_rack5_host10_fqdn,FIND(".",wld_az1_rack5_host10_fqdn)-1))</f>
        <v>Value Missing</v>
      </c>
      <c r="V227" s="2"/>
      <c r="W227" s="4" t="s">
        <v>1300</v>
      </c>
      <c r="X227" s="8" t="str">
        <f>IF(wld_az1_rack6_host10_fqdn="Value Missing",wld_az1_rack6_host10_fqdn,LEFT(wld_az1_rack6_host10_fqdn,FIND(".",wld_az1_rack6_host10_fqdn)-1))</f>
        <v>Value Missing</v>
      </c>
      <c r="Y227" s="2"/>
      <c r="Z227" s="4" t="s">
        <v>1300</v>
      </c>
      <c r="AA227" s="8" t="str">
        <f>IF(wld_az1_rack7_host10_fqdn="Value Missing",wld_az1_rack7_host10_fqdn,LEFT(wld_az1_rack7_host10_fqdn,FIND(".",wld_az1_rack7_host10_fqdn)-1))</f>
        <v>Value Missing</v>
      </c>
      <c r="AB227" s="2"/>
      <c r="AC227" s="4" t="s">
        <v>1300</v>
      </c>
      <c r="AD227" s="8" t="str">
        <f>IF(wld_az1_rack8_host10_fqdn="Value Missing",wld_az1_rack8_host10_fqdn,LEFT(wld_az1_rack8_host10_fqdn,FIND(".",wld_az1_rack8_host10_fqdn)-1))</f>
        <v>Value Missing</v>
      </c>
    </row>
    <row r="228" spans="5:30" ht="20" customHeight="1" x14ac:dyDescent="0.2">
      <c r="E228" s="4" t="s">
        <v>1301</v>
      </c>
      <c r="F228" s="8" t="str">
        <f>IF(ISBLANK(input_mgmt_az1_host14_vrms_ip),"Value Missing",input_mgmt_az1_host14_vrms_ip)</f>
        <v>Value Missing</v>
      </c>
      <c r="G228" s="21"/>
      <c r="H228" s="4" t="s">
        <v>1301</v>
      </c>
      <c r="I228" s="8" t="str">
        <f>IF(ISBLANK(input_wld_az1_host14_vrms_ip),"Value Missing",input_wld_az1_host14_vrms_ip)</f>
        <v>Value Missing</v>
      </c>
      <c r="J228" s="21"/>
      <c r="K228" s="4" t="s">
        <v>1302</v>
      </c>
      <c r="L228" s="8" t="str">
        <f>IF(wld_az1_rack2_host11_fqdn="Value Missing",wld_az1_rack2_host11_fqdn,LEFT(wld_az1_rack2_host11_fqdn,FIND(".",wld_az1_rack2_host11_fqdn)-1))</f>
        <v>Value Missing</v>
      </c>
      <c r="M228" s="2"/>
      <c r="N228" s="4" t="s">
        <v>1302</v>
      </c>
      <c r="O228" s="8" t="str">
        <f>IF(wld_az1_rack3_host11_fqdn="Value Missing",wld_az1_rack3_host11_fqdn,LEFT(wld_az1_rack3_host11_fqdn,FIND(".",wld_az1_rack3_host11_fqdn)-1))</f>
        <v>Value Missing</v>
      </c>
      <c r="P228" s="2"/>
      <c r="Q228" s="4" t="s">
        <v>1302</v>
      </c>
      <c r="R228" s="8" t="str">
        <f>IF(wld_az1_rack4_host11_fqdn="Value Missing",wld_az1_rack4_host11_fqdn,LEFT(wld_az1_rack4_host11_fqdn,FIND(".",wld_az1_rack4_host11_fqdn)-1))</f>
        <v>Value Missing</v>
      </c>
      <c r="S228" s="2"/>
      <c r="T228" s="4" t="s">
        <v>1302</v>
      </c>
      <c r="U228" s="8" t="str">
        <f>IF(wld_az1_rack5_host11_fqdn="Value Missing",wld_az1_rack5_host11_fqdn,LEFT(wld_az1_rack5_host11_fqdn,FIND(".",wld_az1_rack5_host11_fqdn)-1))</f>
        <v>Value Missing</v>
      </c>
      <c r="V228" s="2"/>
      <c r="W228" s="4" t="s">
        <v>1302</v>
      </c>
      <c r="X228" s="8" t="str">
        <f>IF(wld_az1_rack6_host11_fqdn="Value Missing",wld_az1_rack6_host11_fqdn,LEFT(wld_az1_rack6_host11_fqdn,FIND(".",wld_az1_rack6_host11_fqdn)-1))</f>
        <v>Value Missing</v>
      </c>
      <c r="Y228" s="2"/>
      <c r="Z228" s="4" t="s">
        <v>1302</v>
      </c>
      <c r="AA228" s="8" t="str">
        <f>IF(wld_az1_rack7_host11_fqdn="Value Missing",wld_az1_rack7_host11_fqdn,LEFT(wld_az1_rack7_host11_fqdn,FIND(".",wld_az1_rack7_host11_fqdn)-1))</f>
        <v>Value Missing</v>
      </c>
      <c r="AB228" s="2"/>
      <c r="AC228" s="4" t="s">
        <v>1302</v>
      </c>
      <c r="AD228" s="8" t="str">
        <f>IF(wld_az1_rack8_host11_fqdn="Value Missing",wld_az1_rack8_host11_fqdn,LEFT(wld_az1_rack8_host11_fqdn,FIND(".",wld_az1_rack8_host11_fqdn)-1))</f>
        <v>Value Missing</v>
      </c>
    </row>
    <row r="229" spans="5:30" ht="20" customHeight="1" x14ac:dyDescent="0.2">
      <c r="E229" s="4" t="s">
        <v>1303</v>
      </c>
      <c r="F229" s="8" t="str">
        <f>IF(ISBLANK(input_mgmt_az1_host15_vrms_ip),"Value Missing",input_mgmt_az1_host15_vrms_ip)</f>
        <v>Value Missing</v>
      </c>
      <c r="G229" s="2"/>
      <c r="H229" s="4" t="s">
        <v>1303</v>
      </c>
      <c r="I229" s="8" t="str">
        <f>IF(ISBLANK(input_wld_az1_host15_vrms_ip),"Value Missing",input_wld_az1_host15_vrms_ip)</f>
        <v>Value Missing</v>
      </c>
      <c r="J229" s="2"/>
      <c r="K229" s="4" t="s">
        <v>1304</v>
      </c>
      <c r="L229" s="8" t="str">
        <f>IF(wld_az1_rack2_host12_fqdn="Value Missing",wld_az1_rack2_host12_fqdn,LEFT(wld_az1_rack2_host12_fqdn,FIND(".",wld_az1_rack2_host12_fqdn)-1))</f>
        <v>Value Missing</v>
      </c>
      <c r="M229" s="2"/>
      <c r="N229" s="4" t="s">
        <v>1304</v>
      </c>
      <c r="O229" s="8" t="str">
        <f>IF(wld_az1_rack3_host12_fqdn="Value Missing",wld_az1_rack3_host12_fqdn,LEFT(wld_az1_rack3_host12_fqdn,FIND(".",wld_az1_rack3_host12_fqdn)-1))</f>
        <v>Value Missing</v>
      </c>
      <c r="P229" s="2"/>
      <c r="Q229" s="4" t="s">
        <v>1304</v>
      </c>
      <c r="R229" s="8" t="str">
        <f>IF(wld_az1_rack4_host12_fqdn="Value Missing",wld_az1_rack4_host12_fqdn,LEFT(wld_az1_rack4_host12_fqdn,FIND(".",wld_az1_rack4_host12_fqdn)-1))</f>
        <v>Value Missing</v>
      </c>
      <c r="S229" s="2"/>
      <c r="T229" s="4" t="s">
        <v>1304</v>
      </c>
      <c r="U229" s="8" t="str">
        <f>IF(wld_az1_rack5_host12_fqdn="Value Missing",wld_az1_rack5_host12_fqdn,LEFT(wld_az1_rack5_host12_fqdn,FIND(".",wld_az1_rack5_host12_fqdn)-1))</f>
        <v>Value Missing</v>
      </c>
      <c r="V229" s="2"/>
      <c r="W229" s="4" t="s">
        <v>1304</v>
      </c>
      <c r="X229" s="8" t="str">
        <f>IF(wld_az1_rack6_host12_fqdn="Value Missing",wld_az1_rack6_host12_fqdn,LEFT(wld_az1_rack6_host12_fqdn,FIND(".",wld_az1_rack6_host12_fqdn)-1))</f>
        <v>Value Missing</v>
      </c>
      <c r="Y229" s="2"/>
      <c r="Z229" s="4" t="s">
        <v>1304</v>
      </c>
      <c r="AA229" s="8" t="str">
        <f>IF(wld_az1_rack7_host12_fqdn="Value Missing",wld_az1_rack7_host12_fqdn,LEFT(wld_az1_rack7_host12_fqdn,FIND(".",wld_az1_rack7_host12_fqdn)-1))</f>
        <v>Value Missing</v>
      </c>
      <c r="AB229" s="2"/>
      <c r="AC229" s="4" t="s">
        <v>1304</v>
      </c>
      <c r="AD229" s="8" t="str">
        <f>IF(wld_az1_rack8_host12_fqdn="Value Missing",wld_az1_rack8_host12_fqdn,LEFT(wld_az1_rack8_host12_fqdn,FIND(".",wld_az1_rack8_host12_fqdn)-1))</f>
        <v>Value Missing</v>
      </c>
    </row>
    <row r="230" spans="5:30" ht="20" customHeight="1" x14ac:dyDescent="0.2">
      <c r="E230" s="4" t="s">
        <v>1305</v>
      </c>
      <c r="F230" s="8" t="str">
        <f>IF(ISBLANK(input_mgmt_az1_host16_vrms_ip),"Value Missing",input_mgmt_az1_host16_vrms_ip)</f>
        <v>Value Missing</v>
      </c>
      <c r="G230" s="2"/>
      <c r="H230" s="4" t="s">
        <v>1305</v>
      </c>
      <c r="I230" s="8" t="str">
        <f>IF(ISBLANK(input_wld_az1_host16_vrms_ip),"Value Missing",input_wld_az1_host16_vrms_ip)</f>
        <v>Value Missing</v>
      </c>
      <c r="J230" s="2"/>
      <c r="K230" s="4" t="s">
        <v>1306</v>
      </c>
      <c r="L230" s="8" t="str">
        <f>IF(wld_az1_rack2_host13_fqdn="Value Missing",wld_az1_rack2_host13_fqdn,LEFT(wld_az1_rack2_host13_fqdn,FIND(".",wld_az1_rack2_host13_fqdn)-1))</f>
        <v>Value Missing</v>
      </c>
      <c r="M230" s="2"/>
      <c r="N230" s="4" t="s">
        <v>1306</v>
      </c>
      <c r="O230" s="8" t="str">
        <f>IF(wld_az1_rack3_host13_fqdn="Value Missing",wld_az1_rack3_host13_fqdn,LEFT(wld_az1_rack3_host13_fqdn,FIND(".",wld_az1_rack3_host13_fqdn)-1))</f>
        <v>Value Missing</v>
      </c>
      <c r="P230" s="2"/>
      <c r="Q230" s="4" t="s">
        <v>1306</v>
      </c>
      <c r="R230" s="8" t="str">
        <f>IF(wld_az1_rack4_host13_fqdn="Value Missing",wld_az1_rack4_host13_fqdn,LEFT(wld_az1_rack4_host13_fqdn,FIND(".",wld_az1_rack4_host13_fqdn)-1))</f>
        <v>Value Missing</v>
      </c>
      <c r="S230" s="2"/>
      <c r="T230" s="4" t="s">
        <v>1306</v>
      </c>
      <c r="U230" s="8" t="str">
        <f>IF(wld_az1_rack5_host13_fqdn="Value Missing",wld_az1_rack5_host13_fqdn,LEFT(wld_az1_rack5_host13_fqdn,FIND(".",wld_az1_rack5_host13_fqdn)-1))</f>
        <v>Value Missing</v>
      </c>
      <c r="V230" s="2"/>
      <c r="W230" s="4" t="s">
        <v>1306</v>
      </c>
      <c r="X230" s="8" t="str">
        <f>IF(wld_az1_rack6_host13_fqdn="Value Missing",wld_az1_rack6_host13_fqdn,LEFT(wld_az1_rack6_host13_fqdn,FIND(".",wld_az1_rack6_host13_fqdn)-1))</f>
        <v>Value Missing</v>
      </c>
      <c r="Y230" s="2"/>
      <c r="Z230" s="4" t="s">
        <v>1306</v>
      </c>
      <c r="AA230" s="8" t="str">
        <f>IF(wld_az1_rack7_host13_fqdn="Value Missing",wld_az1_rack7_host13_fqdn,LEFT(wld_az1_rack7_host13_fqdn,FIND(".",wld_az1_rack7_host13_fqdn)-1))</f>
        <v>Value Missing</v>
      </c>
      <c r="AB230" s="2"/>
      <c r="AC230" s="4" t="s">
        <v>1306</v>
      </c>
      <c r="AD230" s="8" t="str">
        <f>IF(wld_az1_rack8_host13_fqdn="Value Missing",wld_az1_rack8_host13_fqdn,LEFT(wld_az1_rack8_host13_fqdn,FIND(".",wld_az1_rack8_host13_fqdn)-1))</f>
        <v>Value Missing</v>
      </c>
    </row>
    <row r="231" spans="5:30" ht="20" customHeight="1" x14ac:dyDescent="0.2">
      <c r="E231" s="2"/>
      <c r="F231" s="2"/>
      <c r="G231" s="2"/>
      <c r="H231" s="2"/>
      <c r="I231" s="2"/>
      <c r="J231" s="2"/>
      <c r="K231" s="4" t="s">
        <v>1307</v>
      </c>
      <c r="L231" s="8" t="str">
        <f>IF(wld_az1_rack2_host14_fqdn="Value Missing",wld_az1_rack2_host14_fqdn,LEFT(wld_az1_rack2_host14_fqdn,FIND(".",wld_az1_rack2_host14_fqdn)-1))</f>
        <v>Value Missing</v>
      </c>
      <c r="M231" s="21"/>
      <c r="N231" s="4" t="s">
        <v>1307</v>
      </c>
      <c r="O231" s="8" t="str">
        <f>IF(wld_az1_rack3_host14_fqdn="Value Missing",wld_az1_rack3_host14_fqdn,LEFT(wld_az1_rack3_host14_fqdn,FIND(".",wld_az1_rack3_host14_fqdn)-1))</f>
        <v>Value Missing</v>
      </c>
      <c r="P231" s="2"/>
      <c r="Q231" s="4" t="s">
        <v>1307</v>
      </c>
      <c r="R231" s="8" t="str">
        <f>IF(wld_az1_rack4_host14_fqdn="Value Missing",wld_az1_rack4_host14_fqdn,LEFT(wld_az1_rack4_host14_fqdn,FIND(".",wld_az1_rack4_host14_fqdn)-1))</f>
        <v>Value Missing</v>
      </c>
      <c r="S231" s="2"/>
      <c r="T231" s="4" t="s">
        <v>1307</v>
      </c>
      <c r="U231" s="8" t="str">
        <f>IF(wld_az1_rack5_host14_fqdn="Value Missing",wld_az1_rack5_host14_fqdn,LEFT(wld_az1_rack5_host14_fqdn,FIND(".",wld_az1_rack5_host14_fqdn)-1))</f>
        <v>Value Missing</v>
      </c>
      <c r="V231" s="2"/>
      <c r="W231" s="4" t="s">
        <v>1307</v>
      </c>
      <c r="X231" s="8" t="str">
        <f>IF(wld_az1_rack6_host14_fqdn="Value Missing",wld_az1_rack6_host14_fqdn,LEFT(wld_az1_rack6_host14_fqdn,FIND(".",wld_az1_rack6_host14_fqdn)-1))</f>
        <v>Value Missing</v>
      </c>
      <c r="Y231" s="2"/>
      <c r="Z231" s="4" t="s">
        <v>1307</v>
      </c>
      <c r="AA231" s="8" t="str">
        <f>IF(wld_az1_rack7_host14_fqdn="Value Missing",wld_az1_rack7_host14_fqdn,LEFT(wld_az1_rack7_host14_fqdn,FIND(".",wld_az1_rack7_host14_fqdn)-1))</f>
        <v>Value Missing</v>
      </c>
      <c r="AB231" s="2"/>
      <c r="AC231" s="4" t="s">
        <v>1307</v>
      </c>
      <c r="AD231" s="8" t="str">
        <f>IF(wld_az1_rack8_host14_fqdn="Value Missing",wld_az1_rack8_host14_fqdn,LEFT(wld_az1_rack8_host14_fqdn,FIND(".",wld_az1_rack8_host14_fqdn)-1))</f>
        <v>Value Missing</v>
      </c>
    </row>
    <row r="232" spans="5:30" ht="20" customHeight="1" x14ac:dyDescent="0.2">
      <c r="E232" s="627" t="s">
        <v>1308</v>
      </c>
      <c r="F232" s="628"/>
      <c r="G232" s="2"/>
      <c r="H232" s="627" t="s">
        <v>1309</v>
      </c>
      <c r="I232" s="628"/>
      <c r="J232" s="2"/>
      <c r="K232" s="4" t="s">
        <v>1310</v>
      </c>
      <c r="L232" s="8" t="str">
        <f>IF(wld_az1_rack2_host15_fqdn="Value Missing",wld_az1_rack2_host15_fqdn,LEFT(wld_az1_rack2_host15_fqdn,FIND(".",wld_az1_rack2_host15_fqdn)-1))</f>
        <v>Value Missing</v>
      </c>
      <c r="M232" s="2"/>
      <c r="N232" s="4" t="s">
        <v>1310</v>
      </c>
      <c r="O232" s="8" t="str">
        <f>IF(wld_az1_rack3_host15_fqdn="Value Missing",wld_az1_rack3_host15_fqdn,LEFT(wld_az1_rack3_host15_fqdn,FIND(".",wld_az1_rack3_host15_fqdn)-1))</f>
        <v>Value Missing</v>
      </c>
      <c r="P232" s="2"/>
      <c r="Q232" s="4" t="s">
        <v>1310</v>
      </c>
      <c r="R232" s="8" t="str">
        <f>IF(wld_az1_rack4_host15_fqdn="Value Missing",wld_az1_rack4_host15_fqdn,LEFT(wld_az1_rack4_host15_fqdn,FIND(".",wld_az1_rack4_host15_fqdn)-1))</f>
        <v>Value Missing</v>
      </c>
      <c r="S232" s="2"/>
      <c r="T232" s="4" t="s">
        <v>1310</v>
      </c>
      <c r="U232" s="8" t="str">
        <f>IF(wld_az1_rack5_host15_fqdn="Value Missing",wld_az1_rack5_host15_fqdn,LEFT(wld_az1_rack5_host15_fqdn,FIND(".",wld_az1_rack5_host15_fqdn)-1))</f>
        <v>Value Missing</v>
      </c>
      <c r="V232" s="2"/>
      <c r="W232" s="4" t="s">
        <v>1310</v>
      </c>
      <c r="X232" s="8" t="str">
        <f>IF(wld_az1_rack6_host15_fqdn="Value Missing",wld_az1_rack6_host15_fqdn,LEFT(wld_az1_rack6_host15_fqdn,FIND(".",wld_az1_rack6_host15_fqdn)-1))</f>
        <v>Value Missing</v>
      </c>
      <c r="Y232" s="2"/>
      <c r="Z232" s="4" t="s">
        <v>1310</v>
      </c>
      <c r="AA232" s="8" t="str">
        <f>IF(wld_az1_rack7_host15_fqdn="Value Missing",wld_az1_rack7_host15_fqdn,LEFT(wld_az1_rack7_host15_fqdn,FIND(".",wld_az1_rack7_host15_fqdn)-1))</f>
        <v>Value Missing</v>
      </c>
      <c r="AB232" s="2"/>
      <c r="AC232" s="4" t="s">
        <v>1310</v>
      </c>
      <c r="AD232" s="8" t="str">
        <f>IF(wld_az1_rack8_host15_fqdn="Value Missing",wld_az1_rack8_host15_fqdn,LEFT(wld_az1_rack8_host15_fqdn,FIND(".",wld_az1_rack8_host15_fqdn)-1))</f>
        <v>Value Missing</v>
      </c>
    </row>
    <row r="233" spans="5:30" ht="20" customHeight="1" x14ac:dyDescent="0.2">
      <c r="E233" s="17" t="s">
        <v>254</v>
      </c>
      <c r="F233" s="20" t="s">
        <v>1044</v>
      </c>
      <c r="G233" s="2"/>
      <c r="H233" s="17" t="s">
        <v>254</v>
      </c>
      <c r="I233" s="20" t="s">
        <v>20</v>
      </c>
      <c r="J233" s="2"/>
      <c r="K233" s="4" t="s">
        <v>1311</v>
      </c>
      <c r="L233" s="8" t="str">
        <f>IF(wld_az1_rack2_host16_fqdn="Value Missing",wld_az1_rack2_host16_fqdn,LEFT(wld_az1_rack2_host16_fqdn,FIND(".",wld_az1_rack2_host16_fqdn)-1))</f>
        <v>Value Missing</v>
      </c>
      <c r="M233" s="2"/>
      <c r="N233" s="4" t="s">
        <v>1311</v>
      </c>
      <c r="O233" s="8" t="str">
        <f>IF(wld_az1_rack3_host16_fqdn="Value Missing",wld_az1_rack3_host16_fqdn,LEFT(wld_az1_rack3_host16_fqdn,FIND(".",wld_az1_rack3_host16_fqdn)-1))</f>
        <v>Value Missing</v>
      </c>
      <c r="P233" s="2"/>
      <c r="Q233" s="4" t="s">
        <v>1311</v>
      </c>
      <c r="R233" s="8" t="str">
        <f>IF(wld_az1_rack4_host16_fqdn="Value Missing",wld_az1_rack4_host16_fqdn,LEFT(wld_az1_rack4_host16_fqdn,FIND(".",wld_az1_rack4_host16_fqdn)-1))</f>
        <v>Value Missing</v>
      </c>
      <c r="S233" s="2"/>
      <c r="T233" s="4" t="s">
        <v>1311</v>
      </c>
      <c r="U233" s="8" t="str">
        <f>IF(wld_az1_rack5_host16_fqdn="Value Missing",wld_az1_rack5_host16_fqdn,LEFT(wld_az1_rack5_host16_fqdn,FIND(".",wld_az1_rack5_host16_fqdn)-1))</f>
        <v>Value Missing</v>
      </c>
      <c r="V233" s="2"/>
      <c r="W233" s="4" t="s">
        <v>1311</v>
      </c>
      <c r="X233" s="8" t="str">
        <f>IF(wld_az1_rack6_host16_fqdn="Value Missing",wld_az1_rack6_host16_fqdn,LEFT(wld_az1_rack6_host16_fqdn,FIND(".",wld_az1_rack6_host16_fqdn)-1))</f>
        <v>Value Missing</v>
      </c>
      <c r="Y233" s="2"/>
      <c r="Z233" s="4" t="s">
        <v>1311</v>
      </c>
      <c r="AA233" s="8" t="str">
        <f>IF(wld_az1_rack7_host16_fqdn="Value Missing",wld_az1_rack7_host16_fqdn,LEFT(wld_az1_rack7_host16_fqdn,FIND(".",wld_az1_rack7_host16_fqdn)-1))</f>
        <v>Value Missing</v>
      </c>
      <c r="AB233" s="2"/>
      <c r="AC233" s="4" t="s">
        <v>1311</v>
      </c>
      <c r="AD233" s="8" t="str">
        <f>IF(wld_az1_rack8_host16_fqdn="Value Missing",wld_az1_rack8_host16_fqdn,LEFT(wld_az1_rack8_host16_fqdn,FIND(".",wld_az1_rack8_host16_fqdn)-1))</f>
        <v>Value Missing</v>
      </c>
    </row>
    <row r="234" spans="5:30" ht="20" customHeight="1" x14ac:dyDescent="0.2">
      <c r="E234" s="4" t="s">
        <v>1282</v>
      </c>
      <c r="F234" s="8" t="str">
        <f>IF(mgmt_az1_host1_fqdn="Value Missing",mgmt_az1_host1_fqdn,LEFT(mgmt_az1_host1_fqdn,FIND(".",mgmt_az1_host1_fqdn)-1))</f>
        <v>Value Missing</v>
      </c>
      <c r="G234" s="2"/>
      <c r="H234" s="4" t="s">
        <v>1282</v>
      </c>
      <c r="I234" s="8" t="str">
        <f>IF(wld_az1_host1_fqdn="Value Missing",wld_az1_host1_fqdn,LEFT(wld_az1_host1_fqdn,FIND(".",wld_az1_host1_fqdn)-1))</f>
        <v>Value Missing</v>
      </c>
      <c r="J234" s="2"/>
      <c r="K234" s="2"/>
      <c r="L234" s="2"/>
      <c r="M234" s="2"/>
      <c r="N234" s="7"/>
      <c r="O234" s="7"/>
      <c r="P234" s="2"/>
      <c r="Q234" s="2"/>
      <c r="R234" s="2"/>
      <c r="S234" s="2"/>
      <c r="T234" s="2"/>
      <c r="U234" s="2"/>
      <c r="V234" s="2"/>
      <c r="W234" s="2"/>
      <c r="X234" s="2"/>
      <c r="Y234" s="2"/>
      <c r="Z234" s="2"/>
      <c r="AA234" s="2"/>
      <c r="AB234" s="2"/>
      <c r="AC234" s="2"/>
      <c r="AD234" s="2"/>
    </row>
    <row r="235" spans="5:30" ht="20" customHeight="1" x14ac:dyDescent="0.2">
      <c r="E235" s="4" t="s">
        <v>1284</v>
      </c>
      <c r="F235" s="8" t="str">
        <f>IF(mgmt_az1_host2_fqdn="Value Missing",mgmt_az1_host2_fqdn,LEFT(mgmt_az1_host2_fqdn,FIND(".",mgmt_az1_host2_fqdn)-1))</f>
        <v>Value Missing</v>
      </c>
      <c r="G235" s="2"/>
      <c r="H235" s="4" t="s">
        <v>1284</v>
      </c>
      <c r="I235" s="8" t="str">
        <f>IF(wld_az1_host2_fqdn="Value Missing",wld_az1_host2_fqdn,LEFT(wld_az1_host2_fqdn,FIND(".",wld_az1_host2_fqdn)-1))</f>
        <v>Value Missing</v>
      </c>
      <c r="J235" s="2"/>
      <c r="K235" s="14" t="s">
        <v>1312</v>
      </c>
      <c r="L235" s="16"/>
      <c r="M235" s="2"/>
      <c r="N235" s="14" t="s">
        <v>1313</v>
      </c>
      <c r="O235" s="16"/>
      <c r="P235" s="2"/>
      <c r="Q235" s="14" t="s">
        <v>1314</v>
      </c>
      <c r="R235" s="16"/>
      <c r="S235" s="2"/>
      <c r="T235" s="14" t="s">
        <v>1315</v>
      </c>
      <c r="U235" s="16"/>
      <c r="V235" s="2"/>
      <c r="W235" s="14" t="s">
        <v>1316</v>
      </c>
      <c r="X235" s="16"/>
      <c r="Y235" s="2"/>
      <c r="Z235" s="14" t="s">
        <v>1317</v>
      </c>
      <c r="AA235" s="16"/>
      <c r="AB235" s="2"/>
      <c r="AC235" s="14" t="s">
        <v>1318</v>
      </c>
      <c r="AD235" s="16"/>
    </row>
    <row r="236" spans="5:30" ht="20" customHeight="1" x14ac:dyDescent="0.2">
      <c r="E236" s="4" t="s">
        <v>1286</v>
      </c>
      <c r="F236" s="8" t="str">
        <f>IF(mgmt_az1_host3_fqdn="Value Missing",mgmt_az1_host3_fqdn,LEFT(mgmt_az1_host3_fqdn,FIND(".",mgmt_az1_host3_fqdn)-1))</f>
        <v>Value Missing</v>
      </c>
      <c r="G236" s="2"/>
      <c r="H236" s="4" t="s">
        <v>1286</v>
      </c>
      <c r="I236" s="8" t="str">
        <f>IF(wld_az1_host3_fqdn="Value Missing",wld_az1_host3_fqdn,LEFT(wld_az1_host3_fqdn,FIND(".",wld_az1_host3_fqdn)-1))</f>
        <v>Value Missing</v>
      </c>
      <c r="J236" s="2"/>
      <c r="K236" s="19" t="s">
        <v>254</v>
      </c>
      <c r="L236" s="20" t="s">
        <v>20</v>
      </c>
      <c r="M236" s="2"/>
      <c r="N236" s="19" t="s">
        <v>254</v>
      </c>
      <c r="O236" s="20" t="s">
        <v>20</v>
      </c>
      <c r="P236" s="21"/>
      <c r="Q236" s="19" t="s">
        <v>254</v>
      </c>
      <c r="R236" s="20" t="s">
        <v>20</v>
      </c>
      <c r="S236" s="21"/>
      <c r="T236" s="19" t="s">
        <v>254</v>
      </c>
      <c r="U236" s="20" t="s">
        <v>20</v>
      </c>
      <c r="V236" s="21"/>
      <c r="W236" s="19" t="s">
        <v>254</v>
      </c>
      <c r="X236" s="20" t="s">
        <v>20</v>
      </c>
      <c r="Y236" s="21"/>
      <c r="Z236" s="19" t="s">
        <v>254</v>
      </c>
      <c r="AA236" s="20" t="s">
        <v>20</v>
      </c>
      <c r="AB236" s="21"/>
      <c r="AC236" s="19" t="s">
        <v>254</v>
      </c>
      <c r="AD236" s="20" t="s">
        <v>20</v>
      </c>
    </row>
    <row r="237" spans="5:30" ht="20" customHeight="1" x14ac:dyDescent="0.2">
      <c r="E237" s="4" t="s">
        <v>1288</v>
      </c>
      <c r="F237" s="8" t="str">
        <f>IF(mgmt_az1_host4_fqdn="Value Missing",mgmt_az1_host4_fqdn,LEFT(mgmt_az1_host4_fqdn,FIND(".",mgmt_az1_host4_fqdn)-1))</f>
        <v>Value Missing</v>
      </c>
      <c r="H237" s="4" t="s">
        <v>1288</v>
      </c>
      <c r="I237" s="8" t="str">
        <f>IF(wld_az1_host4_fqdn="Value Missing",wld_az1_host4_fqdn,LEFT(wld_az1_host4_fqdn,FIND(".",wld_az1_host4_fqdn)-1))</f>
        <v>Value Missing</v>
      </c>
      <c r="K237" s="4" t="s">
        <v>1282</v>
      </c>
      <c r="L237" s="8" t="str">
        <f>IF(ISBLANK(input_wld_az1_rack2_host1_fqdn),"Value Missing",input_wld_az1_rack2_host1_fqdn)</f>
        <v>Value Missing</v>
      </c>
      <c r="M237" s="2"/>
      <c r="N237" s="4" t="s">
        <v>1282</v>
      </c>
      <c r="O237" s="8" t="str">
        <f>IF(ISBLANK(input_wld_az1_rack3_host1_fqdn),"Value Missing",input_wld_az1_rack3_host1_fqdn)</f>
        <v>Value Missing</v>
      </c>
      <c r="P237" s="2"/>
      <c r="Q237" s="4" t="s">
        <v>1282</v>
      </c>
      <c r="R237" s="8" t="str">
        <f>IF(ISBLANK(input_wld_az1_rack4_host1_fqdn),"Value Missing",input_wld_az1_rack4_host1_fqdn)</f>
        <v>Value Missing</v>
      </c>
      <c r="S237" s="2"/>
      <c r="T237" s="4" t="s">
        <v>1282</v>
      </c>
      <c r="U237" s="8" t="str">
        <f>IF(ISBLANK(input_wld_az1_rack5_host1_fqdn),"Value Missing",input_wld_az1_rack5_host1_fqdn)</f>
        <v>Value Missing</v>
      </c>
      <c r="V237" s="2"/>
      <c r="W237" s="4" t="s">
        <v>1282</v>
      </c>
      <c r="X237" s="8" t="str">
        <f>IF(ISBLANK(input_wld_az1_rack6_host1_fqdn),"Value Missing",input_wld_az1_rack6_host1_fqdn)</f>
        <v>Value Missing</v>
      </c>
      <c r="Y237" s="2"/>
      <c r="Z237" s="4" t="s">
        <v>1282</v>
      </c>
      <c r="AA237" s="8" t="str">
        <f>IF(ISBLANK(input_wld_az1_rack7_host1_fqdn),"Value Missing",input_wld_az1_rack7_host1_fqdn)</f>
        <v>Value Missing</v>
      </c>
      <c r="AB237" s="2"/>
      <c r="AC237" s="4" t="s">
        <v>1282</v>
      </c>
      <c r="AD237" s="8" t="str">
        <f>IF(ISBLANK(input_wld_az1_rack8_host1_fqdn),"Value Missing",input_wld_az1_rack8_host1_fqdn)</f>
        <v>Value Missing</v>
      </c>
    </row>
    <row r="238" spans="5:30" ht="20" customHeight="1" x14ac:dyDescent="0.2">
      <c r="E238" s="4" t="s">
        <v>1290</v>
      </c>
      <c r="F238" s="8" t="str">
        <f>IF(mgmt_az1_host5_fqdn="Value Missing",mgmt_az1_host5_fqdn,LEFT(mgmt_az1_host5_fqdn,FIND(".",mgmt_az1_host5_fqdn)-1))</f>
        <v>Value Missing</v>
      </c>
      <c r="H238" s="4" t="s">
        <v>1290</v>
      </c>
      <c r="I238" s="8" t="str">
        <f>IF(wld_az1_host5_fqdn="Value Missing",wld_az1_host5_fqdn,LEFT(wld_az1_host5_fqdn,FIND(".",wld_az1_host5_fqdn)-1))</f>
        <v>Value Missing</v>
      </c>
      <c r="K238" s="4" t="s">
        <v>1284</v>
      </c>
      <c r="L238" s="8" t="str">
        <f>IF(ISBLANK(input_wld_az1_rack2_host2_fqdn),"Value Missing",input_wld_az1_rack2_host2_fqdn)</f>
        <v>Value Missing</v>
      </c>
      <c r="M238" s="2"/>
      <c r="N238" s="4" t="s">
        <v>1284</v>
      </c>
      <c r="O238" s="8" t="str">
        <f>IF(ISBLANK(input_wld_az1_rack3_host2_fqdn),"Value Missing",input_wld_az1_rack3_host2_fqdn)</f>
        <v>Value Missing</v>
      </c>
      <c r="P238" s="2"/>
      <c r="Q238" s="4" t="s">
        <v>1284</v>
      </c>
      <c r="R238" s="8" t="str">
        <f>IF(ISBLANK(input_wld_az1_rack4_host2_fqdn),"Value Missing",input_wld_az1_rack4_host2_fqdn)</f>
        <v>Value Missing</v>
      </c>
      <c r="S238" s="2"/>
      <c r="T238" s="4" t="s">
        <v>1284</v>
      </c>
      <c r="U238" s="8" t="str">
        <f>IF(ISBLANK(input_wld_az1_rack5_host2_fqdn),"Value Missing",input_wld_az1_rack5_host2_fqdn)</f>
        <v>Value Missing</v>
      </c>
      <c r="V238" s="2"/>
      <c r="W238" s="4" t="s">
        <v>1284</v>
      </c>
      <c r="X238" s="8" t="str">
        <f>IF(ISBLANK(input_wld_az1_rack6_host2_fqdn),"Value Missing",input_wld_az1_rack6_host2_fqdn)</f>
        <v>Value Missing</v>
      </c>
      <c r="Y238" s="2"/>
      <c r="Z238" s="4" t="s">
        <v>1284</v>
      </c>
      <c r="AA238" s="8" t="str">
        <f>IF(ISBLANK(input_wld_az1_rack7_host2_fqdn),"Value Missing",input_wld_az1_rack7_host2_fqdn)</f>
        <v>Value Missing</v>
      </c>
      <c r="AB238" s="2"/>
      <c r="AC238" s="4" t="s">
        <v>1284</v>
      </c>
      <c r="AD238" s="8" t="str">
        <f>IF(ISBLANK(input_wld_az1_rack8_host2_fqdn),"Value Missing",input_wld_az1_rack8_host2_fqdn)</f>
        <v>Value Missing</v>
      </c>
    </row>
    <row r="239" spans="5:30" ht="20" customHeight="1" x14ac:dyDescent="0.2">
      <c r="E239" s="4" t="s">
        <v>1292</v>
      </c>
      <c r="F239" s="8" t="str">
        <f>IF(mgmt_az1_host6_fqdn="Value Missing",mgmt_az1_host6_fqdn,LEFT(mgmt_az1_host6_fqdn,FIND(".",mgmt_az1_host6_fqdn)-1))</f>
        <v>Value Missing</v>
      </c>
      <c r="H239" s="4" t="s">
        <v>1292</v>
      </c>
      <c r="I239" s="8" t="str">
        <f>IF(wld_az1_host6_fqdn="Value Missing",wld_az1_host6_fqdn,LEFT(wld_az1_host6_fqdn,FIND(".",wld_az1_host6_fqdn)-1))</f>
        <v>Value Missing</v>
      </c>
      <c r="K239" s="4" t="s">
        <v>1286</v>
      </c>
      <c r="L239" s="8" t="str">
        <f>IF(ISBLANK(input_wld_az1_rack2_host3_fqdn),"Value Missing",input_wld_az1_rack2_host3_fqdn)</f>
        <v>Value Missing</v>
      </c>
      <c r="M239" s="2"/>
      <c r="N239" s="4" t="s">
        <v>1286</v>
      </c>
      <c r="O239" s="8" t="str">
        <f>IF(ISBLANK(input_wld_az1_rack3_host3_fqdn),"Value Missing",input_wld_az1_rack3_host3_fqdn)</f>
        <v>Value Missing</v>
      </c>
      <c r="P239" s="2"/>
      <c r="Q239" s="4" t="s">
        <v>1286</v>
      </c>
      <c r="R239" s="8" t="str">
        <f>IF(ISBLANK(input_wld_az1_rack4_host3_fqdn),"Value Missing",input_wld_az1_rack4_host3_fqdn)</f>
        <v>Value Missing</v>
      </c>
      <c r="S239" s="2"/>
      <c r="T239" s="4" t="s">
        <v>1286</v>
      </c>
      <c r="U239" s="8" t="str">
        <f>IF(ISBLANK(input_wld_az1_rack5_host3_fqdn),"Value Missing",input_wld_az1_rack5_host3_fqdn)</f>
        <v>Value Missing</v>
      </c>
      <c r="V239" s="2"/>
      <c r="W239" s="4" t="s">
        <v>1286</v>
      </c>
      <c r="X239" s="8" t="str">
        <f>IF(ISBLANK(input_wld_az1_rack6_host3_fqdn),"Value Missing",input_wld_az1_rack6_host3_fqdn)</f>
        <v>Value Missing</v>
      </c>
      <c r="Y239" s="2"/>
      <c r="Z239" s="4" t="s">
        <v>1286</v>
      </c>
      <c r="AA239" s="8" t="str">
        <f>IF(ISBLANK(input_wld_az1_rack7_host3_fqdn),"Value Missing",input_wld_az1_rack7_host3_fqdn)</f>
        <v>Value Missing</v>
      </c>
      <c r="AB239" s="2"/>
      <c r="AC239" s="4" t="s">
        <v>1286</v>
      </c>
      <c r="AD239" s="8" t="str">
        <f>IF(ISBLANK(input_wld_az1_rack8_host3_fqdn),"Value Missing",input_wld_az1_rack8_host3_fqdn)</f>
        <v>Value Missing</v>
      </c>
    </row>
    <row r="240" spans="5:30" ht="20" customHeight="1" x14ac:dyDescent="0.2">
      <c r="E240" s="4" t="s">
        <v>1294</v>
      </c>
      <c r="F240" s="8" t="str">
        <f>IF(mgmt_az1_host7_fqdn="Value Missing",mgmt_az1_host7_fqdn,LEFT(mgmt_az1_host7_fqdn,FIND(".",mgmt_az1_host7_fqdn)-1))</f>
        <v>Value Missing</v>
      </c>
      <c r="H240" s="4" t="s">
        <v>1294</v>
      </c>
      <c r="I240" s="8" t="str">
        <f>IF(wld_az1_host7_fqdn="Value Missing",wld_az1_host7_fqdn,LEFT(wld_az1_host7_fqdn,FIND(".",wld_az1_host7_fqdn)-1))</f>
        <v>Value Missing</v>
      </c>
      <c r="K240" s="4" t="s">
        <v>1288</v>
      </c>
      <c r="L240" s="8" t="str">
        <f>IF(ISBLANK(input_wld_az1_rack2_host4_fqdn),"Value Missing",input_wld_az1_rack2_host4_fqdn)</f>
        <v>Value Missing</v>
      </c>
      <c r="N240" s="4" t="s">
        <v>1288</v>
      </c>
      <c r="O240" s="8" t="str">
        <f>IF(ISBLANK(input_wld_az1_rack3_host4_fqdn),"Value Missing",input_wld_az1_rack3_host4_fqdn)</f>
        <v>Value Missing</v>
      </c>
      <c r="P240" s="2"/>
      <c r="Q240" s="4" t="s">
        <v>1288</v>
      </c>
      <c r="R240" s="8" t="str">
        <f>IF(ISBLANK(input_wld_az1_rack4_host4_fqdn),"Value Missing",input_wld_az1_rack4_host4_fqdn)</f>
        <v>Value Missing</v>
      </c>
      <c r="S240" s="2"/>
      <c r="T240" s="4" t="s">
        <v>1288</v>
      </c>
      <c r="U240" s="8" t="str">
        <f>IF(ISBLANK(input_wld_az1_rack5_host4_fqdn),"Value Missing",input_wld_az1_rack5_host4_fqdn)</f>
        <v>Value Missing</v>
      </c>
      <c r="V240" s="2"/>
      <c r="W240" s="4" t="s">
        <v>1288</v>
      </c>
      <c r="X240" s="8" t="str">
        <f>IF(ISBLANK(input_wld_az1_rack6_host4_fqdn),"Value Missing",input_wld_az1_rack6_host4_fqdn)</f>
        <v>Value Missing</v>
      </c>
      <c r="Y240" s="2"/>
      <c r="Z240" s="4" t="s">
        <v>1288</v>
      </c>
      <c r="AA240" s="8" t="str">
        <f>IF(ISBLANK(input_wld_az1_rack7_host4_fqdn),"Value Missing",input_wld_az1_rack7_host4_fqdn)</f>
        <v>Value Missing</v>
      </c>
      <c r="AB240" s="2"/>
      <c r="AC240" s="4" t="s">
        <v>1288</v>
      </c>
      <c r="AD240" s="8" t="str">
        <f>IF(ISBLANK(input_wld_az1_rack8_host4_fqdn),"Value Missing",input_wld_az1_rack8_host4_fqdn)</f>
        <v>Value Missing</v>
      </c>
    </row>
    <row r="241" spans="5:30" ht="20" customHeight="1" x14ac:dyDescent="0.2">
      <c r="E241" s="4" t="s">
        <v>1296</v>
      </c>
      <c r="F241" s="8" t="str">
        <f>IF(mgmt_az1_host8_fqdn="Value Missing",mgmt_az1_host8_fqdn,LEFT(mgmt_az1_host8_fqdn,FIND(".",mgmt_az1_host8_fqdn)-1))</f>
        <v>Value Missing</v>
      </c>
      <c r="H241" s="4" t="s">
        <v>1296</v>
      </c>
      <c r="I241" s="8" t="str">
        <f>IF(wld_az1_host8_fqdn="Value Missing",wld_az1_host8_fqdn,LEFT(wld_az1_host8_fqdn,FIND(".",wld_az1_host8_fqdn)-1))</f>
        <v>Value Missing</v>
      </c>
      <c r="K241" s="4" t="s">
        <v>1290</v>
      </c>
      <c r="L241" s="8" t="str">
        <f>IF(ISBLANK(input_wld_az1_rack2_host5_fqdn),"Value Missing",input_wld_az1_rack2_host5_fqdn)</f>
        <v>Value Missing</v>
      </c>
      <c r="N241" s="4" t="s">
        <v>1290</v>
      </c>
      <c r="O241" s="8" t="str">
        <f>IF(ISBLANK(input_wld_az1_rack3_host5_fqdn),"Value Missing",input_wld_az1_rack3_host5_fqdn)</f>
        <v>Value Missing</v>
      </c>
      <c r="P241" s="2"/>
      <c r="Q241" s="4" t="s">
        <v>1290</v>
      </c>
      <c r="R241" s="8" t="str">
        <f>IF(ISBLANK(input_wld_az1_rack4_host5_fqdn),"Value Missing",input_wld_az1_rack4_host5_fqdn)</f>
        <v>Value Missing</v>
      </c>
      <c r="S241" s="2"/>
      <c r="T241" s="4" t="s">
        <v>1290</v>
      </c>
      <c r="U241" s="8" t="str">
        <f>IF(ISBLANK(input_wld_az1_rack5_host5_fqdn),"Value Missing",input_wld_az1_rack5_host5_fqdn)</f>
        <v>Value Missing</v>
      </c>
      <c r="V241" s="2"/>
      <c r="W241" s="4" t="s">
        <v>1290</v>
      </c>
      <c r="X241" s="8" t="str">
        <f>IF(ISBLANK(input_wld_az1_rack6_host5_fqdn),"Value Missing",input_wld_az1_rack6_host5_fqdn)</f>
        <v>Value Missing</v>
      </c>
      <c r="Y241" s="2"/>
      <c r="Z241" s="4" t="s">
        <v>1290</v>
      </c>
      <c r="AA241" s="8" t="str">
        <f>IF(ISBLANK(input_wld_az1_rack7_host5_fqdn),"Value Missing",input_wld_az1_rack7_host5_fqdn)</f>
        <v>Value Missing</v>
      </c>
      <c r="AB241" s="2"/>
      <c r="AC241" s="4" t="s">
        <v>1290</v>
      </c>
      <c r="AD241" s="8" t="str">
        <f>IF(ISBLANK(input_wld_az1_rack8_host5_fqdn),"Value Missing",input_wld_az1_rack8_host5_fqdn)</f>
        <v>Value Missing</v>
      </c>
    </row>
    <row r="242" spans="5:30" ht="20" customHeight="1" x14ac:dyDescent="0.2">
      <c r="E242" s="4" t="s">
        <v>1298</v>
      </c>
      <c r="F242" s="8" t="str">
        <f>IF(mgmt_az1_host9_fqdn="Value Missing",mgmt_az1_host9_fqdn,LEFT(mgmt_az1_host9_fqdn,FIND(".",mgmt_az1_host9_fqdn)-1))</f>
        <v>Value Missing</v>
      </c>
      <c r="H242" s="4" t="s">
        <v>1298</v>
      </c>
      <c r="I242" s="8" t="str">
        <f>IF(wld_az1_host9_fqdn="Value Missing",wld_az1_host9_fqdn,LEFT(wld_az1_host9_fqdn,FIND(".",wld_az1_host9_fqdn)-1))</f>
        <v>Value Missing</v>
      </c>
      <c r="K242" s="4" t="s">
        <v>1292</v>
      </c>
      <c r="L242" s="8" t="str">
        <f>IF(ISBLANK(input_wld_az1_rack2_host6_fqdn),"Value Missing",input_wld_az1_rack2_host6_fqdn)</f>
        <v>Value Missing</v>
      </c>
      <c r="N242" s="4" t="s">
        <v>1292</v>
      </c>
      <c r="O242" s="8" t="str">
        <f>IF(ISBLANK(input_wld_az1_rack3_host6_fqdn),"Value Missing",input_wld_az1_rack3_host6_fqdn)</f>
        <v>Value Missing</v>
      </c>
      <c r="P242" s="2"/>
      <c r="Q242" s="4" t="s">
        <v>1292</v>
      </c>
      <c r="R242" s="8" t="str">
        <f>IF(ISBLANK(input_wld_az1_rack4_host6_fqdn),"Value Missing",input_wld_az1_rack4_host6_fqdn)</f>
        <v>Value Missing</v>
      </c>
      <c r="S242" s="2"/>
      <c r="T242" s="4" t="s">
        <v>1292</v>
      </c>
      <c r="U242" s="8" t="str">
        <f>IF(ISBLANK(input_wld_az1_rack5_host6_fqdn),"Value Missing",input_wld_az1_rack5_host6_fqdn)</f>
        <v>Value Missing</v>
      </c>
      <c r="V242" s="2"/>
      <c r="W242" s="4" t="s">
        <v>1292</v>
      </c>
      <c r="X242" s="8" t="str">
        <f>IF(ISBLANK(input_wld_az1_rack6_host6_fqdn),"Value Missing",input_wld_az1_rack6_host6_fqdn)</f>
        <v>Value Missing</v>
      </c>
      <c r="Y242" s="2"/>
      <c r="Z242" s="4" t="s">
        <v>1292</v>
      </c>
      <c r="AA242" s="8" t="str">
        <f>IF(ISBLANK(input_wld_az1_rack7_host6_fqdn),"Value Missing",input_wld_az1_rack7_host6_fqdn)</f>
        <v>Value Missing</v>
      </c>
      <c r="AB242" s="2"/>
      <c r="AC242" s="4" t="s">
        <v>1292</v>
      </c>
      <c r="AD242" s="8" t="str">
        <f>IF(ISBLANK(input_wld_az1_rack8_host6_fqdn),"Value Missing",input_wld_az1_rack8_host6_fqdn)</f>
        <v>Value Missing</v>
      </c>
    </row>
    <row r="243" spans="5:30" ht="20" customHeight="1" x14ac:dyDescent="0.2">
      <c r="E243" s="4" t="s">
        <v>1300</v>
      </c>
      <c r="F243" s="8" t="str">
        <f>IF(mgmt_az1_host10_fqdn="Value Missing",mgmt_az1_host10_fqdn,LEFT(mgmt_az1_host10_fqdn,FIND(".",mgmt_az1_host10_fqdn)-1))</f>
        <v>Value Missing</v>
      </c>
      <c r="H243" s="4" t="s">
        <v>1300</v>
      </c>
      <c r="I243" s="8" t="str">
        <f>IF(wld_az1_host10_fqdn="Value Missing",wld_az1_host10_fqdn,LEFT(wld_az1_host10_fqdn,FIND(".",wld_az1_host10_fqdn)-1))</f>
        <v>Value Missing</v>
      </c>
      <c r="K243" s="4" t="s">
        <v>1294</v>
      </c>
      <c r="L243" s="8" t="str">
        <f>IF(ISBLANK(input_wld_az1_rack2_host7_fqdn),"Value Missing",input_wld_az1_rack2_host7_fqdn)</f>
        <v>Value Missing</v>
      </c>
      <c r="N243" s="4" t="s">
        <v>1294</v>
      </c>
      <c r="O243" s="8" t="str">
        <f>IF(ISBLANK(input_wld_az1_rack3_host7_fqdn),"Value Missing",input_wld_az1_rack3_host7_fqdn)</f>
        <v>Value Missing</v>
      </c>
      <c r="P243" s="2"/>
      <c r="Q243" s="4" t="s">
        <v>1294</v>
      </c>
      <c r="R243" s="8" t="str">
        <f>IF(ISBLANK(input_wld_az1_rack4_host7_fqdn),"Value Missing",input_wld_az1_rack4_host7_fqdn)</f>
        <v>Value Missing</v>
      </c>
      <c r="S243" s="2"/>
      <c r="T243" s="4" t="s">
        <v>1294</v>
      </c>
      <c r="U243" s="8" t="str">
        <f>IF(ISBLANK(input_wld_az1_rack5_host7_fqdn),"Value Missing",input_wld_az1_rack5_host7_fqdn)</f>
        <v>Value Missing</v>
      </c>
      <c r="V243" s="2"/>
      <c r="W243" s="4" t="s">
        <v>1294</v>
      </c>
      <c r="X243" s="8" t="str">
        <f>IF(ISBLANK(input_wld_az1_rack6_host7_fqdn),"Value Missing",input_wld_az1_rack6_host7_fqdn)</f>
        <v>Value Missing</v>
      </c>
      <c r="Y243" s="2"/>
      <c r="Z243" s="4" t="s">
        <v>1294</v>
      </c>
      <c r="AA243" s="8" t="str">
        <f>IF(ISBLANK(input_wld_az1_rack7_host7_fqdn),"Value Missing",input_wld_az1_rack7_host7_fqdn)</f>
        <v>Value Missing</v>
      </c>
      <c r="AB243" s="2"/>
      <c r="AC243" s="4" t="s">
        <v>1294</v>
      </c>
      <c r="AD243" s="8" t="str">
        <f>IF(ISBLANK(input_wld_az1_rack8_host7_fqdn),"Value Missing",input_wld_az1_rack8_host7_fqdn)</f>
        <v>Value Missing</v>
      </c>
    </row>
    <row r="244" spans="5:30" ht="20" customHeight="1" x14ac:dyDescent="0.2">
      <c r="E244" s="4" t="s">
        <v>1302</v>
      </c>
      <c r="F244" s="8" t="str">
        <f>IF(mgmt_az1_host11_fqdn="Value Missing",mgmt_az1_host11_fqdn,LEFT(mgmt_az1_host11_fqdn,FIND(".",mgmt_az1_host11_fqdn)-1))</f>
        <v>Value Missing</v>
      </c>
      <c r="H244" s="4" t="s">
        <v>1302</v>
      </c>
      <c r="I244" s="8" t="str">
        <f>IF(wld_az1_host11_fqdn="Value Missing",wld_az1_host11_fqdn,LEFT(wld_az1_host11_fqdn,FIND(".",wld_az1_host11_fqdn)-1))</f>
        <v>Value Missing</v>
      </c>
      <c r="K244" s="4" t="s">
        <v>1296</v>
      </c>
      <c r="L244" s="8" t="str">
        <f>IF(ISBLANK(input_wld_az1_rack2_host8_fqdn),"Value Missing",input_wld_az1_rack2_host8_fqdn)</f>
        <v>Value Missing</v>
      </c>
      <c r="N244" s="4" t="s">
        <v>1296</v>
      </c>
      <c r="O244" s="8" t="str">
        <f>IF(ISBLANK(input_wld_az1_rack3_host8_fqdn),"Value Missing",input_wld_az1_rack3_host8_fqdn)</f>
        <v>Value Missing</v>
      </c>
      <c r="P244" s="2"/>
      <c r="Q244" s="4" t="s">
        <v>1296</v>
      </c>
      <c r="R244" s="8" t="str">
        <f>IF(ISBLANK(input_wld_az1_rack4_host8_fqdn),"Value Missing",input_wld_az1_rack4_host8_fqdn)</f>
        <v>Value Missing</v>
      </c>
      <c r="S244" s="2"/>
      <c r="T244" s="4" t="s">
        <v>1296</v>
      </c>
      <c r="U244" s="8" t="str">
        <f>IF(ISBLANK(input_wld_az1_rack5_host8_fqdn),"Value Missing",input_wld_az1_rack5_host8_fqdn)</f>
        <v>Value Missing</v>
      </c>
      <c r="V244" s="2"/>
      <c r="W244" s="4" t="s">
        <v>1296</v>
      </c>
      <c r="X244" s="8" t="str">
        <f>IF(ISBLANK(input_wld_az1_rack6_host8_fqdn),"Value Missing",input_wld_az1_rack6_host8_fqdn)</f>
        <v>Value Missing</v>
      </c>
      <c r="Y244" s="2"/>
      <c r="Z244" s="4" t="s">
        <v>1296</v>
      </c>
      <c r="AA244" s="8" t="str">
        <f>IF(ISBLANK(input_wld_az1_rack7_host8_fqdn),"Value Missing",input_wld_az1_rack7_host8_fqdn)</f>
        <v>Value Missing</v>
      </c>
      <c r="AB244" s="2"/>
      <c r="AC244" s="4" t="s">
        <v>1296</v>
      </c>
      <c r="AD244" s="8" t="str">
        <f>IF(ISBLANK(input_wld_az1_rack8_host8_fqdn),"Value Missing",input_wld_az1_rack8_host8_fqdn)</f>
        <v>Value Missing</v>
      </c>
    </row>
    <row r="245" spans="5:30" ht="20" customHeight="1" x14ac:dyDescent="0.2">
      <c r="E245" s="4" t="s">
        <v>1304</v>
      </c>
      <c r="F245" s="8" t="str">
        <f>IF(mgmt_az1_host12_fqdn="Value Missing",mgmt_az1_host12_fqdn,LEFT(mgmt_az1_host12_fqdn,FIND(".",mgmt_az1_host12_fqdn)-1))</f>
        <v>Value Missing</v>
      </c>
      <c r="H245" s="4" t="s">
        <v>1304</v>
      </c>
      <c r="I245" s="8" t="str">
        <f>IF(wld_az1_host12_fqdn="Value Missing",wld_az1_host12_fqdn,LEFT(wld_az1_host12_fqdn,FIND(".",wld_az1_host12_fqdn)-1))</f>
        <v>Value Missing</v>
      </c>
      <c r="K245" s="4" t="s">
        <v>1298</v>
      </c>
      <c r="L245" s="8" t="str">
        <f>IF(ISBLANK(input_wld_az1_rack2_host9_fqdn),"Value Missing",input_wld_az1_rack2_host9_fqdn)</f>
        <v>Value Missing</v>
      </c>
      <c r="N245" s="4" t="s">
        <v>1298</v>
      </c>
      <c r="O245" s="8" t="str">
        <f>IF(ISBLANK(input_wld_az1_rack3_host9_fqdn),"Value Missing",input_wld_az1_rack3_host9_fqdn)</f>
        <v>Value Missing</v>
      </c>
      <c r="Q245" s="4" t="s">
        <v>1298</v>
      </c>
      <c r="R245" s="8" t="str">
        <f>IF(ISBLANK(input_wld_az1_rack4_host9_fqdn),"Value Missing",input_wld_az1_rack4_host9_fqdn)</f>
        <v>Value Missing</v>
      </c>
      <c r="T245" s="4" t="s">
        <v>1298</v>
      </c>
      <c r="U245" s="8" t="str">
        <f>IF(ISBLANK(input_wld_az1_rack5_host9_fqdn),"Value Missing",input_wld_az1_rack5_host9_fqdn)</f>
        <v>Value Missing</v>
      </c>
      <c r="W245" s="4" t="s">
        <v>1298</v>
      </c>
      <c r="X245" s="8" t="str">
        <f>IF(ISBLANK(input_wld_az1_rack6_host9_fqdn),"Value Missing",input_wld_az1_rack6_host9_fqdn)</f>
        <v>Value Missing</v>
      </c>
      <c r="Z245" s="4" t="s">
        <v>1298</v>
      </c>
      <c r="AA245" s="8" t="str">
        <f>IF(ISBLANK(input_wld_az1_rack7_host9_fqdn),"Value Missing",input_wld_az1_rack7_host9_fqdn)</f>
        <v>Value Missing</v>
      </c>
      <c r="AC245" s="4" t="s">
        <v>1298</v>
      </c>
      <c r="AD245" s="8" t="str">
        <f>IF(ISBLANK(input_wld_az1_rack8_host9_fqdn),"Value Missing",input_wld_az1_rack8_host9_fqdn)</f>
        <v>Value Missing</v>
      </c>
    </row>
    <row r="246" spans="5:30" ht="20" customHeight="1" x14ac:dyDescent="0.2">
      <c r="E246" s="4" t="s">
        <v>1306</v>
      </c>
      <c r="F246" s="8" t="str">
        <f>IF(mgmt_az1_host13_fqdn="Value Missing",mgmt_az1_host13_fqdn,LEFT(mgmt_az1_host13_fqdn,FIND(".",mgmt_az1_host13_fqdn)-1))</f>
        <v>Value Missing</v>
      </c>
      <c r="H246" s="4" t="s">
        <v>1306</v>
      </c>
      <c r="I246" s="8" t="str">
        <f>IF(wld_az1_host13_fqdn="Value Missing",wld_az1_host13_fqdn,LEFT(wld_az1_host13_fqdn,FIND(".",wld_az1_host13_fqdn)-1))</f>
        <v>Value Missing</v>
      </c>
      <c r="K246" s="4" t="s">
        <v>1300</v>
      </c>
      <c r="L246" s="8" t="str">
        <f>IF(ISBLANK(input_wld_az1_rack2_host10_fqdn),"Value Missing",input_wld_az1_rack2_host10_fqdn)</f>
        <v>Value Missing</v>
      </c>
      <c r="N246" s="4" t="s">
        <v>1300</v>
      </c>
      <c r="O246" s="8" t="str">
        <f>IF(ISBLANK(input_wld_az1_rack3_host10_fqdn),"Value Missing",input_wld_az1_rack3_host10_fqdn)</f>
        <v>Value Missing</v>
      </c>
      <c r="Q246" s="4" t="s">
        <v>1300</v>
      </c>
      <c r="R246" s="8" t="str">
        <f>IF(ISBLANK(input_wld_az1_rack4_host10_fqdn),"Value Missing",input_wld_az1_rack4_host10_fqdn)</f>
        <v>Value Missing</v>
      </c>
      <c r="T246" s="4" t="s">
        <v>1300</v>
      </c>
      <c r="U246" s="8" t="str">
        <f>IF(ISBLANK(input_wld_az1_rack5_host10_fqdn),"Value Missing",input_wld_az1_rack5_host10_fqdn)</f>
        <v>Value Missing</v>
      </c>
      <c r="W246" s="4" t="s">
        <v>1300</v>
      </c>
      <c r="X246" s="8" t="str">
        <f>IF(ISBLANK(input_wld_az1_rack6_host10_fqdn),"Value Missing",input_wld_az1_rack6_host10_fqdn)</f>
        <v>Value Missing</v>
      </c>
      <c r="Z246" s="4" t="s">
        <v>1300</v>
      </c>
      <c r="AA246" s="8" t="str">
        <f>IF(ISBLANK(input_wld_az1_rack7_host10_fqdn),"Value Missing",input_wld_az1_rack7_host10_fqdn)</f>
        <v>Value Missing</v>
      </c>
      <c r="AC246" s="4" t="s">
        <v>1300</v>
      </c>
      <c r="AD246" s="8" t="str">
        <f>IF(ISBLANK(input_wld_az1_rack8_host10_fqdn),"Value Missing",input_wld_az1_rack8_host10_fqdn)</f>
        <v>Value Missing</v>
      </c>
    </row>
    <row r="247" spans="5:30" ht="20" customHeight="1" x14ac:dyDescent="0.2">
      <c r="E247" s="4" t="s">
        <v>1307</v>
      </c>
      <c r="F247" s="8" t="str">
        <f>IF(mgmt_az1_host14_fqdn="Value Missing",mgmt_az1_host14_fqdn,LEFT(mgmt_az1_host14_fqdn,FIND(".",mgmt_az1_host14_fqdn)-1))</f>
        <v>Value Missing</v>
      </c>
      <c r="H247" s="4" t="s">
        <v>1307</v>
      </c>
      <c r="I247" s="8" t="str">
        <f>IF(wld_az1_host14_fqdn="Value Missing",wld_az1_host14_fqdn,LEFT(wld_az1_host14_fqdn,FIND(".",wld_az1_host14_fqdn)-1))</f>
        <v>Value Missing</v>
      </c>
      <c r="K247" s="4" t="s">
        <v>1302</v>
      </c>
      <c r="L247" s="8" t="str">
        <f>IF(ISBLANK(input_wld_az1_rack2_host11_fqdn),"Value Missing",input_wld_az1_rack2_host11_fqdn)</f>
        <v>Value Missing</v>
      </c>
      <c r="N247" s="4" t="s">
        <v>1302</v>
      </c>
      <c r="O247" s="8" t="str">
        <f>IF(ISBLANK(input_wld_az1_rack3_host11_fqdn),"Value Missing",input_wld_az1_rack3_host11_fqdn)</f>
        <v>Value Missing</v>
      </c>
      <c r="Q247" s="4" t="s">
        <v>1302</v>
      </c>
      <c r="R247" s="8" t="str">
        <f>IF(ISBLANK(input_wld_az1_rack4_host11_fqdn),"Value Missing",input_wld_az1_rack4_host11_fqdn)</f>
        <v>Value Missing</v>
      </c>
      <c r="T247" s="4" t="s">
        <v>1302</v>
      </c>
      <c r="U247" s="8" t="str">
        <f>IF(ISBLANK(input_wld_az1_rack5_host11_fqdn),"Value Missing",input_wld_az1_rack5_host11_fqdn)</f>
        <v>Value Missing</v>
      </c>
      <c r="W247" s="4" t="s">
        <v>1302</v>
      </c>
      <c r="X247" s="8" t="str">
        <f>IF(ISBLANK(input_wld_az1_rack6_host11_fqdn),"Value Missing",input_wld_az1_rack6_host11_fqdn)</f>
        <v>Value Missing</v>
      </c>
      <c r="Z247" s="4" t="s">
        <v>1302</v>
      </c>
      <c r="AA247" s="8" t="str">
        <f>IF(ISBLANK(input_wld_az1_rack7_host11_fqdn),"Value Missing",input_wld_az1_rack7_host11_fqdn)</f>
        <v>Value Missing</v>
      </c>
      <c r="AC247" s="4" t="s">
        <v>1302</v>
      </c>
      <c r="AD247" s="8" t="str">
        <f>IF(ISBLANK(input_wld_az1_rack8_host11_fqdn),"Value Missing",input_wld_az1_rack8_host11_fqdn)</f>
        <v>Value Missing</v>
      </c>
    </row>
    <row r="248" spans="5:30" ht="20" customHeight="1" x14ac:dyDescent="0.2">
      <c r="E248" s="4" t="s">
        <v>1310</v>
      </c>
      <c r="F248" s="8" t="str">
        <f>IF(mgmt_az1_host15_fqdn="Value Missing",mgmt_az1_host15_fqdn,LEFT(mgmt_az1_host15_fqdn,FIND(".",mgmt_az1_host15_fqdn)-1))</f>
        <v>Value Missing</v>
      </c>
      <c r="H248" s="4" t="s">
        <v>1310</v>
      </c>
      <c r="I248" s="8" t="str">
        <f>IF(wld_az1_host15_fqdn="Value Missing",wld_az1_host15_fqdn,LEFT(wld_az1_host15_fqdn,FIND(".",wld_az1_host15_fqdn)-1))</f>
        <v>Value Missing</v>
      </c>
      <c r="K248" s="4" t="s">
        <v>1304</v>
      </c>
      <c r="L248" s="8" t="str">
        <f>IF(ISBLANK(input_wld_az1_rack2_host12_fqdn),"Value Missing",input_wld_az1_rack2_host12_fqdn)</f>
        <v>Value Missing</v>
      </c>
      <c r="N248" s="4" t="s">
        <v>1304</v>
      </c>
      <c r="O248" s="8" t="str">
        <f>IF(ISBLANK(input_wld_az1_rack3_host12_fqdn),"Value Missing",input_wld_az1_rack3_host12_fqdn)</f>
        <v>Value Missing</v>
      </c>
      <c r="Q248" s="4" t="s">
        <v>1304</v>
      </c>
      <c r="R248" s="8" t="str">
        <f>IF(ISBLANK(input_wld_az1_rack4_host12_fqdn),"Value Missing",input_wld_az1_rack4_host12_fqdn)</f>
        <v>Value Missing</v>
      </c>
      <c r="T248" s="4" t="s">
        <v>1304</v>
      </c>
      <c r="U248" s="8" t="str">
        <f>IF(ISBLANK(input_wld_az1_rack5_host12_fqdn),"Value Missing",input_wld_az1_rack5_host12_fqdn)</f>
        <v>Value Missing</v>
      </c>
      <c r="W248" s="4" t="s">
        <v>1304</v>
      </c>
      <c r="X248" s="8" t="str">
        <f>IF(ISBLANK(input_wld_az1_rack6_host12_fqdn),"Value Missing",input_wld_az1_rack6_host12_fqdn)</f>
        <v>Value Missing</v>
      </c>
      <c r="Z248" s="4" t="s">
        <v>1304</v>
      </c>
      <c r="AA248" s="8" t="str">
        <f>IF(ISBLANK(input_wld_az1_rack7_host12_fqdn),"Value Missing",input_wld_az1_rack7_host12_fqdn)</f>
        <v>Value Missing</v>
      </c>
      <c r="AC248" s="4" t="s">
        <v>1304</v>
      </c>
      <c r="AD248" s="8" t="str">
        <f>IF(ISBLANK(input_wld_az1_rack8_host12_fqdn),"Value Missing",input_wld_az1_rack8_host12_fqdn)</f>
        <v>Value Missing</v>
      </c>
    </row>
    <row r="249" spans="5:30" ht="20" customHeight="1" x14ac:dyDescent="0.2">
      <c r="E249" s="4" t="s">
        <v>1311</v>
      </c>
      <c r="F249" s="8" t="str">
        <f>IF(mgmt_az1_host16_fqdn="Value Missing",mgmt_az1_host16_fqdn,LEFT(mgmt_az1_host16_fqdn,FIND(".",mgmt_az1_host16_fqdn)-1))</f>
        <v>Value Missing</v>
      </c>
      <c r="H249" s="4" t="s">
        <v>1311</v>
      </c>
      <c r="I249" s="8" t="str">
        <f>IF(wld_az1_host16_fqdn="Value Missing",wld_az1_host16_fqdn,LEFT(wld_az1_host16_fqdn,FIND(".",wld_az1_host16_fqdn)-1))</f>
        <v>Value Missing</v>
      </c>
      <c r="K249" s="4" t="s">
        <v>1306</v>
      </c>
      <c r="L249" s="8" t="str">
        <f>IF(ISBLANK(input_wld_az1_rack2_host13_fqdn),"Value Missing",input_wld_az1_rack2_host13_fqdn)</f>
        <v>Value Missing</v>
      </c>
      <c r="N249" s="4" t="s">
        <v>1306</v>
      </c>
      <c r="O249" s="8" t="str">
        <f>IF(ISBLANK(input_wld_az1_rack3_host13_fqdn),"Value Missing",input_wld_az1_rack3_host13_fqdn)</f>
        <v>Value Missing</v>
      </c>
      <c r="Q249" s="4" t="s">
        <v>1306</v>
      </c>
      <c r="R249" s="8" t="str">
        <f>IF(ISBLANK(input_wld_az1_rack4_host13_fqdn),"Value Missing",input_wld_az1_rack4_host13_fqdn)</f>
        <v>Value Missing</v>
      </c>
      <c r="T249" s="4" t="s">
        <v>1306</v>
      </c>
      <c r="U249" s="8" t="str">
        <f>IF(ISBLANK(input_wld_az1_rack5_host13_fqdn),"Value Missing",input_wld_az1_rack5_host13_fqdn)</f>
        <v>Value Missing</v>
      </c>
      <c r="W249" s="4" t="s">
        <v>1306</v>
      </c>
      <c r="X249" s="8" t="str">
        <f>IF(ISBLANK(input_wld_az1_rack6_host13_fqdn),"Value Missing",input_wld_az1_rack6_host13_fqdn)</f>
        <v>Value Missing</v>
      </c>
      <c r="Z249" s="4" t="s">
        <v>1306</v>
      </c>
      <c r="AA249" s="8" t="str">
        <f>IF(ISBLANK(input_wld_az1_rack7_host13_fqdn),"Value Missing",input_wld_az1_rack7_host13_fqdn)</f>
        <v>Value Missing</v>
      </c>
      <c r="AC249" s="4" t="s">
        <v>1306</v>
      </c>
      <c r="AD249" s="8" t="str">
        <f>IF(ISBLANK(input_wld_az1_rack8_host13_fqdn),"Value Missing",input_wld_az1_rack8_host13_fqdn)</f>
        <v>Value Missing</v>
      </c>
    </row>
    <row r="250" spans="5:30" ht="20" customHeight="1" x14ac:dyDescent="0.2">
      <c r="E250" s="2"/>
      <c r="F250" s="2"/>
      <c r="H250" s="2"/>
      <c r="I250" s="2"/>
      <c r="K250" s="4" t="s">
        <v>1307</v>
      </c>
      <c r="L250" s="8" t="str">
        <f>IF(ISBLANK(input_wld_az1_rack2_host14_fqdn),"Value Missing",input_wld_az1_rack2_host14_fqdn)</f>
        <v>Value Missing</v>
      </c>
      <c r="N250" s="4" t="s">
        <v>1307</v>
      </c>
      <c r="O250" s="8" t="str">
        <f>IF(ISBLANK(input_wld_az1_rack3_host14_fqdn),"Value Missing",input_wld_az1_rack3_host14_fqdn)</f>
        <v>Value Missing</v>
      </c>
      <c r="Q250" s="4" t="s">
        <v>1307</v>
      </c>
      <c r="R250" s="8" t="str">
        <f>IF(ISBLANK(input_wld_az1_rack4_host14_fqdn),"Value Missing",input_wld_az1_rack4_host14_fqdn)</f>
        <v>Value Missing</v>
      </c>
      <c r="T250" s="4" t="s">
        <v>1307</v>
      </c>
      <c r="U250" s="8" t="str">
        <f>IF(ISBLANK(input_wld_az1_rack5_host14_fqdn),"Value Missing",input_wld_az1_rack5_host14_fqdn)</f>
        <v>Value Missing</v>
      </c>
      <c r="W250" s="4" t="s">
        <v>1307</v>
      </c>
      <c r="X250" s="8" t="str">
        <f>IF(ISBLANK(input_wld_az1_rack6_host14_fqdn),"Value Missing",input_wld_az1_rack6_host14_fqdn)</f>
        <v>Value Missing</v>
      </c>
      <c r="Z250" s="4" t="s">
        <v>1307</v>
      </c>
      <c r="AA250" s="8" t="str">
        <f>IF(ISBLANK(input_wld_az1_rack7_host14_fqdn),"Value Missing",input_wld_az1_rack7_host14_fqdn)</f>
        <v>Value Missing</v>
      </c>
      <c r="AC250" s="4" t="s">
        <v>1307</v>
      </c>
      <c r="AD250" s="8" t="str">
        <f>IF(ISBLANK(input_wld_az1_rack8_host14_fqdn),"Value Missing",input_wld_az1_rack8_host14_fqdn)</f>
        <v>Value Missing</v>
      </c>
    </row>
    <row r="251" spans="5:30" ht="20" customHeight="1" x14ac:dyDescent="0.2">
      <c r="E251" s="14" t="s">
        <v>1319</v>
      </c>
      <c r="F251" s="16"/>
      <c r="H251" s="14" t="s">
        <v>1320</v>
      </c>
      <c r="I251" s="16"/>
      <c r="K251" s="4" t="s">
        <v>1310</v>
      </c>
      <c r="L251" s="8" t="str">
        <f>IF(ISBLANK(input_wld_az1_rack2_host15_fqdn),"Value Missing",input_wld_az1_rack2_host15_fqdn)</f>
        <v>Value Missing</v>
      </c>
      <c r="N251" s="4" t="s">
        <v>1310</v>
      </c>
      <c r="O251" s="8" t="str">
        <f>IF(ISBLANK(input_wld_az1_rack3_host15_fqdn),"Value Missing",input_wld_az1_rack3_host15_fqdn)</f>
        <v>Value Missing</v>
      </c>
      <c r="Q251" s="4" t="s">
        <v>1310</v>
      </c>
      <c r="R251" s="8" t="str">
        <f>IF(ISBLANK(input_wld_az1_rack4_host15_fqdn),"Value Missing",input_wld_az1_rack4_host15_fqdn)</f>
        <v>Value Missing</v>
      </c>
      <c r="T251" s="4" t="s">
        <v>1310</v>
      </c>
      <c r="U251" s="8" t="str">
        <f>IF(ISBLANK(input_wld_az1_rack5_host15_fqdn),"Value Missing",input_wld_az1_rack5_host15_fqdn)</f>
        <v>Value Missing</v>
      </c>
      <c r="W251" s="4" t="s">
        <v>1310</v>
      </c>
      <c r="X251" s="8" t="str">
        <f>IF(ISBLANK(input_wld_az1_rack6_host15_fqdn),"Value Missing",input_wld_az1_rack6_host15_fqdn)</f>
        <v>Value Missing</v>
      </c>
      <c r="Z251" s="4" t="s">
        <v>1310</v>
      </c>
      <c r="AA251" s="8" t="str">
        <f>IF(ISBLANK(input_wld_az1_rack7_host15_fqdn),"Value Missing",input_wld_az1_rack7_host15_fqdn)</f>
        <v>Value Missing</v>
      </c>
      <c r="AC251" s="4" t="s">
        <v>1310</v>
      </c>
      <c r="AD251" s="8" t="str">
        <f>IF(ISBLANK(input_wld_az1_rack8_host15_fqdn),"Value Missing",input_wld_az1_rack8_host15_fqdn)</f>
        <v>Value Missing</v>
      </c>
    </row>
    <row r="252" spans="5:30" ht="20" customHeight="1" x14ac:dyDescent="0.2">
      <c r="E252" s="17" t="s">
        <v>254</v>
      </c>
      <c r="F252" s="20" t="s">
        <v>1044</v>
      </c>
      <c r="H252" s="17" t="s">
        <v>254</v>
      </c>
      <c r="I252" s="20" t="s">
        <v>20</v>
      </c>
      <c r="K252" s="4" t="s">
        <v>1311</v>
      </c>
      <c r="L252" s="8" t="str">
        <f>IF(ISBLANK(input_wld_az1_rack2_host16_fqdn),"Value Missing",input_wld_az1_rack2_host16_fqdn)</f>
        <v>Value Missing</v>
      </c>
      <c r="N252" s="4" t="s">
        <v>1311</v>
      </c>
      <c r="O252" s="8" t="str">
        <f>IF(ISBLANK(input_wld_az1_rack3_host16_fqdn),"Value Missing",input_wld_az1_rack3_host16_fqdn)</f>
        <v>Value Missing</v>
      </c>
      <c r="Q252" s="4" t="s">
        <v>1311</v>
      </c>
      <c r="R252" s="8" t="str">
        <f>IF(ISBLANK(input_wld_az1_rack4_host16_fqdn),"Value Missing",input_wld_az1_rack4_host16_fqdn)</f>
        <v>Value Missing</v>
      </c>
      <c r="T252" s="4" t="s">
        <v>1311</v>
      </c>
      <c r="U252" s="8" t="str">
        <f>IF(ISBLANK(input_wld_az1_rack5_host16_fqdn),"Value Missing",input_wld_az1_rack5_host16_fqdn)</f>
        <v>Value Missing</v>
      </c>
      <c r="W252" s="4" t="s">
        <v>1311</v>
      </c>
      <c r="X252" s="8" t="str">
        <f>IF(ISBLANK(input_wld_az1_rack6_host16_fqdn),"Value Missing",input_wld_az1_rack6_host16_fqdn)</f>
        <v>Value Missing</v>
      </c>
      <c r="Z252" s="4" t="s">
        <v>1311</v>
      </c>
      <c r="AA252" s="8" t="str">
        <f>IF(ISBLANK(input_wld_az1_rack7_host16_fqdn),"Value Missing",input_wld_az1_rack7_host16_fqdn)</f>
        <v>Value Missing</v>
      </c>
      <c r="AC252" s="4" t="s">
        <v>1311</v>
      </c>
      <c r="AD252" s="8" t="str">
        <f>IF(ISBLANK(input_wld_az1_rack8_host16_fqdn),"Value Missing",input_wld_az1_rack8_host16_fqdn)</f>
        <v>Value Missing</v>
      </c>
    </row>
    <row r="253" spans="5:30" ht="20" customHeight="1" x14ac:dyDescent="0.2">
      <c r="E253" s="4" t="s">
        <v>1282</v>
      </c>
      <c r="F253" s="8" t="str">
        <f>IF(ISBLANK(input_mgmt_az1_host1_fqdn),"Value Missing",input_mgmt_az1_host1_fqdn)</f>
        <v>Value Missing</v>
      </c>
      <c r="H253" s="4" t="s">
        <v>1282</v>
      </c>
      <c r="I253" s="8" t="str">
        <f>IF(ISBLANK(input_wld_az1_host1_fqdn),"Value Missing",input_wld_az1_host1_fqdn)</f>
        <v>Value Missing</v>
      </c>
      <c r="K253" s="2"/>
      <c r="L253" s="2"/>
      <c r="N253" s="2"/>
      <c r="O253" s="2"/>
      <c r="Q253" s="2"/>
      <c r="R253" s="2"/>
      <c r="T253" s="2"/>
      <c r="U253" s="2"/>
      <c r="W253" s="2"/>
      <c r="X253" s="2"/>
      <c r="Z253" s="2"/>
      <c r="AA253" s="2"/>
      <c r="AC253" s="2"/>
      <c r="AD253" s="2"/>
    </row>
    <row r="254" spans="5:30" ht="20" customHeight="1" x14ac:dyDescent="0.2">
      <c r="E254" s="4" t="s">
        <v>1284</v>
      </c>
      <c r="F254" s="8" t="str">
        <f>IF(ISBLANK(input_mgmt_az1_host2_fqdn),"Value Missing",input_mgmt_az1_host2_fqdn)</f>
        <v>Value Missing</v>
      </c>
      <c r="H254" s="4" t="s">
        <v>1284</v>
      </c>
      <c r="I254" s="8" t="str">
        <f>IF(ISBLANK(input_wld_az1_host2_fqdn),"Value Missing",input_wld_az1_host2_fqdn)</f>
        <v>Value Missing</v>
      </c>
      <c r="K254" s="14" t="s">
        <v>1321</v>
      </c>
      <c r="L254" s="16"/>
      <c r="N254" s="14" t="s">
        <v>1322</v>
      </c>
      <c r="O254" s="16"/>
      <c r="Q254" s="14" t="s">
        <v>1323</v>
      </c>
      <c r="R254" s="16"/>
      <c r="T254" s="14" t="s">
        <v>1324</v>
      </c>
      <c r="U254" s="16"/>
      <c r="W254" s="14" t="s">
        <v>1325</v>
      </c>
      <c r="X254" s="16"/>
      <c r="Z254" s="14" t="s">
        <v>1326</v>
      </c>
      <c r="AA254" s="16"/>
      <c r="AC254" s="14" t="s">
        <v>1327</v>
      </c>
      <c r="AD254" s="16"/>
    </row>
    <row r="255" spans="5:30" ht="20" customHeight="1" x14ac:dyDescent="0.2">
      <c r="E255" s="4" t="s">
        <v>1286</v>
      </c>
      <c r="F255" s="8" t="str">
        <f>IF(ISBLANK(input_mgmt_az1_host3_fqdn),"Value Missing",input_mgmt_az1_host3_fqdn)</f>
        <v>Value Missing</v>
      </c>
      <c r="H255" s="4" t="s">
        <v>1286</v>
      </c>
      <c r="I255" s="8" t="str">
        <f>IF(ISBLANK(input_wld_az1_host3_fqdn),"Value Missing",input_wld_az1_host3_fqdn)</f>
        <v>Value Missing</v>
      </c>
      <c r="K255" s="4" t="s">
        <v>1328</v>
      </c>
      <c r="L255" s="8"/>
      <c r="N255" s="4" t="s">
        <v>1328</v>
      </c>
      <c r="O255" s="8"/>
      <c r="Q255" s="4" t="s">
        <v>1328</v>
      </c>
      <c r="R255" s="8"/>
      <c r="T255" s="4" t="s">
        <v>1328</v>
      </c>
      <c r="U255" s="8"/>
      <c r="W255" s="4" t="s">
        <v>1328</v>
      </c>
      <c r="X255" s="8"/>
      <c r="Z255" s="4" t="s">
        <v>1328</v>
      </c>
      <c r="AA255" s="8"/>
      <c r="AC255" s="4" t="s">
        <v>1328</v>
      </c>
      <c r="AD255" s="8"/>
    </row>
    <row r="256" spans="5:30" ht="20" customHeight="1" x14ac:dyDescent="0.2">
      <c r="E256" s="4" t="s">
        <v>1288</v>
      </c>
      <c r="F256" s="8" t="str">
        <f>IF(ISBLANK(input_mgmt_az1_host4_fqdn),"Value Missing",input_mgmt_az1_host4_fqdn)</f>
        <v>Value Missing</v>
      </c>
      <c r="G256" s="33"/>
      <c r="H256" s="4" t="s">
        <v>1288</v>
      </c>
      <c r="I256" s="8" t="str">
        <f>IF(ISBLANK(input_wld_az1_host4_fqdn),"Value Missing",input_wld_az1_host4_fqdn)</f>
        <v>Value Missing</v>
      </c>
      <c r="J256" s="33"/>
      <c r="K256" s="4" t="s">
        <v>1329</v>
      </c>
      <c r="L256" s="8"/>
      <c r="N256" s="4" t="s">
        <v>1329</v>
      </c>
      <c r="O256" s="8"/>
      <c r="Q256" s="4" t="s">
        <v>1329</v>
      </c>
      <c r="R256" s="8"/>
      <c r="T256" s="4" t="s">
        <v>1329</v>
      </c>
      <c r="U256" s="8"/>
      <c r="W256" s="4" t="s">
        <v>1329</v>
      </c>
      <c r="X256" s="8"/>
      <c r="Z256" s="4" t="s">
        <v>1329</v>
      </c>
      <c r="AA256" s="8"/>
      <c r="AC256" s="4" t="s">
        <v>1329</v>
      </c>
      <c r="AD256" s="8"/>
    </row>
    <row r="257" spans="5:30" ht="20" customHeight="1" x14ac:dyDescent="0.2">
      <c r="E257" s="4" t="s">
        <v>1290</v>
      </c>
      <c r="F257" s="8" t="str">
        <f>IF(ISBLANK(input_mgmt_az1_host5_fqdn),"Value Missing",input_mgmt_az1_host5_fqdn)</f>
        <v>Value Missing</v>
      </c>
      <c r="H257" s="4" t="s">
        <v>1290</v>
      </c>
      <c r="I257" s="8" t="str">
        <f>IF(ISBLANK(input_wld_az1_host5_fqdn),"Value Missing",input_wld_az1_host5_fqdn)</f>
        <v>Value Missing</v>
      </c>
      <c r="K257" s="4" t="s">
        <v>1330</v>
      </c>
      <c r="L257" s="8"/>
      <c r="N257" s="4" t="s">
        <v>1330</v>
      </c>
      <c r="O257" s="8"/>
      <c r="Q257" s="4" t="s">
        <v>1330</v>
      </c>
      <c r="R257" s="8"/>
      <c r="T257" s="4" t="s">
        <v>1330</v>
      </c>
      <c r="U257" s="8"/>
      <c r="W257" s="4" t="s">
        <v>1330</v>
      </c>
      <c r="X257" s="8"/>
      <c r="Z257" s="4" t="s">
        <v>1330</v>
      </c>
      <c r="AA257" s="8"/>
      <c r="AC257" s="4" t="s">
        <v>1330</v>
      </c>
      <c r="AD257" s="8"/>
    </row>
    <row r="258" spans="5:30" ht="20" customHeight="1" x14ac:dyDescent="0.2">
      <c r="E258" s="4" t="s">
        <v>1292</v>
      </c>
      <c r="F258" s="8" t="str">
        <f>IF(ISBLANK(input_mgmt_az1_host6_fqdn),"Value Missing",input_mgmt_az1_host6_fqdn)</f>
        <v>Value Missing</v>
      </c>
      <c r="H258" s="4" t="s">
        <v>1292</v>
      </c>
      <c r="I258" s="8" t="str">
        <f>IF(ISBLANK(input_wld_az1_host6_fqdn),"Value Missing",input_wld_az1_host6_fqdn)</f>
        <v>Value Missing</v>
      </c>
      <c r="K258" s="4" t="s">
        <v>1331</v>
      </c>
      <c r="L258" s="8"/>
      <c r="N258" s="4" t="s">
        <v>1331</v>
      </c>
      <c r="O258" s="8"/>
      <c r="Q258" s="4" t="s">
        <v>1331</v>
      </c>
      <c r="R258" s="8"/>
      <c r="T258" s="4" t="s">
        <v>1331</v>
      </c>
      <c r="U258" s="8"/>
      <c r="W258" s="4" t="s">
        <v>1331</v>
      </c>
      <c r="X258" s="8"/>
      <c r="Z258" s="4" t="s">
        <v>1331</v>
      </c>
      <c r="AA258" s="8"/>
      <c r="AC258" s="4" t="s">
        <v>1331</v>
      </c>
      <c r="AD258" s="8"/>
    </row>
    <row r="259" spans="5:30" ht="20" customHeight="1" x14ac:dyDescent="0.2">
      <c r="E259" s="4" t="s">
        <v>1294</v>
      </c>
      <c r="F259" s="8" t="str">
        <f>IF(ISBLANK(input_mgmt_az1_host7_fqdn),"Value Missing",input_mgmt_az1_host7_fqdn)</f>
        <v>Value Missing</v>
      </c>
      <c r="H259" s="4" t="s">
        <v>1294</v>
      </c>
      <c r="I259" s="8" t="str">
        <f>IF(ISBLANK(input_wld_az1_host7_fqdn),"Value Missing",input_wld_az1_host7_fqdn)</f>
        <v>Value Missing</v>
      </c>
      <c r="K259" s="4" t="s">
        <v>1332</v>
      </c>
      <c r="L259" s="8"/>
      <c r="M259" s="33"/>
      <c r="N259" s="4" t="s">
        <v>1332</v>
      </c>
      <c r="O259" s="8"/>
      <c r="Q259" s="4" t="s">
        <v>1332</v>
      </c>
      <c r="R259" s="8"/>
      <c r="T259" s="4" t="s">
        <v>1332</v>
      </c>
      <c r="U259" s="8"/>
      <c r="W259" s="4" t="s">
        <v>1332</v>
      </c>
      <c r="X259" s="8"/>
      <c r="Z259" s="4" t="s">
        <v>1332</v>
      </c>
      <c r="AA259" s="8"/>
      <c r="AC259" s="4" t="s">
        <v>1332</v>
      </c>
      <c r="AD259" s="8"/>
    </row>
    <row r="260" spans="5:30" ht="20" customHeight="1" x14ac:dyDescent="0.2">
      <c r="E260" s="4" t="s">
        <v>1296</v>
      </c>
      <c r="F260" s="8" t="str">
        <f>IF(ISBLANK(input_mgmt_az1_host8_fqdn),"Value Missing",input_mgmt_az1_host8_fqdn)</f>
        <v>Value Missing</v>
      </c>
      <c r="H260" s="4" t="s">
        <v>1296</v>
      </c>
      <c r="I260" s="8" t="str">
        <f>IF(ISBLANK(input_wld_az1_host8_fqdn),"Value Missing",input_wld_az1_host8_fqdn)</f>
        <v>Value Missing</v>
      </c>
      <c r="K260" s="4" t="s">
        <v>1333</v>
      </c>
      <c r="L260" s="8"/>
      <c r="N260" s="4" t="s">
        <v>1333</v>
      </c>
      <c r="O260" s="8"/>
      <c r="Q260" s="4" t="s">
        <v>1333</v>
      </c>
      <c r="R260" s="8"/>
      <c r="T260" s="4" t="s">
        <v>1333</v>
      </c>
      <c r="U260" s="8"/>
      <c r="W260" s="4" t="s">
        <v>1333</v>
      </c>
      <c r="X260" s="8"/>
      <c r="Z260" s="4" t="s">
        <v>1333</v>
      </c>
      <c r="AA260" s="8"/>
      <c r="AC260" s="4" t="s">
        <v>1333</v>
      </c>
      <c r="AD260" s="8"/>
    </row>
    <row r="261" spans="5:30" ht="20" customHeight="1" x14ac:dyDescent="0.2">
      <c r="E261" s="4" t="s">
        <v>1298</v>
      </c>
      <c r="F261" s="8" t="str">
        <f>IF(ISBLANK(input_mgmt_az1_host9_fqdn),"Value Missing",input_mgmt_az1_host9_fqdn)</f>
        <v>Value Missing</v>
      </c>
      <c r="H261" s="4" t="s">
        <v>1298</v>
      </c>
      <c r="I261" s="8" t="str">
        <f>IF(ISBLANK(input_wld_az1_host9_fqdn),"Value Missing",input_wld_az1_host9_fqdn)</f>
        <v>Value Missing</v>
      </c>
      <c r="K261" s="4" t="s">
        <v>1334</v>
      </c>
      <c r="L261" s="8"/>
      <c r="N261" s="4" t="s">
        <v>1334</v>
      </c>
      <c r="O261" s="8"/>
      <c r="Q261" s="4" t="s">
        <v>1334</v>
      </c>
      <c r="R261" s="8"/>
      <c r="T261" s="4" t="s">
        <v>1334</v>
      </c>
      <c r="U261" s="8"/>
      <c r="W261" s="4" t="s">
        <v>1334</v>
      </c>
      <c r="X261" s="8"/>
      <c r="Z261" s="4" t="s">
        <v>1334</v>
      </c>
      <c r="AA261" s="8"/>
      <c r="AC261" s="4" t="s">
        <v>1334</v>
      </c>
      <c r="AD261" s="8"/>
    </row>
    <row r="262" spans="5:30" ht="20" customHeight="1" x14ac:dyDescent="0.2">
      <c r="E262" s="4" t="s">
        <v>1300</v>
      </c>
      <c r="F262" s="8" t="str">
        <f>IF(ISBLANK(input_mgmt_az1_host10_fqdn),"Value Missing",input_mgmt_az1_host10_fqdn)</f>
        <v>Value Missing</v>
      </c>
      <c r="H262" s="4" t="s">
        <v>1300</v>
      </c>
      <c r="I262" s="8" t="str">
        <f>IF(ISBLANK(input_wld_az1_host10_fqdn),"Value Missing",input_wld_az1_host10_fqdn)</f>
        <v>Value Missing</v>
      </c>
      <c r="K262" s="6"/>
      <c r="L262" s="6"/>
      <c r="N262" s="6"/>
      <c r="O262" s="6"/>
      <c r="Q262" s="6"/>
      <c r="R262" s="6"/>
      <c r="T262" s="6"/>
      <c r="U262" s="6"/>
      <c r="W262" s="6"/>
      <c r="X262" s="6"/>
      <c r="Z262" s="6"/>
      <c r="AA262" s="6"/>
      <c r="AC262" s="6"/>
      <c r="AD262" s="6"/>
    </row>
    <row r="263" spans="5:30" ht="20" customHeight="1" x14ac:dyDescent="0.2">
      <c r="E263" s="4" t="s">
        <v>1302</v>
      </c>
      <c r="F263" s="8" t="str">
        <f>IF(ISBLANK(input_mgmt_az1_host11_fqdn),"Value Missing",input_mgmt_az1_host11_fqdn)</f>
        <v>Value Missing</v>
      </c>
      <c r="H263" s="4" t="s">
        <v>1302</v>
      </c>
      <c r="I263" s="8" t="str">
        <f>IF(ISBLANK(input_wld_az1_host11_fqdn),"Value Missing",input_wld_az1_host11_fqdn)</f>
        <v>Value Missing</v>
      </c>
      <c r="K263" s="6"/>
      <c r="L263" s="6"/>
      <c r="N263" s="6"/>
      <c r="O263" s="6"/>
      <c r="Q263" s="6"/>
      <c r="R263" s="6"/>
      <c r="T263" s="6"/>
      <c r="U263" s="6"/>
      <c r="W263" s="6"/>
      <c r="X263" s="6"/>
      <c r="Z263" s="6"/>
      <c r="AA263" s="6"/>
      <c r="AC263" s="44"/>
      <c r="AD263" s="44"/>
    </row>
    <row r="264" spans="5:30" ht="20" customHeight="1" x14ac:dyDescent="0.2">
      <c r="E264" s="4" t="s">
        <v>1304</v>
      </c>
      <c r="F264" s="8" t="str">
        <f>IF(ISBLANK(input_mgmt_az1_host12_fqdn),"Value Missing",input_mgmt_az1_host12_fqdn)</f>
        <v>Value Missing</v>
      </c>
      <c r="H264" s="4" t="s">
        <v>1304</v>
      </c>
      <c r="I264" s="8" t="str">
        <f>IF(ISBLANK(input_wld_az1_host12_fqdn),"Value Missing",input_wld_az1_host12_fqdn)</f>
        <v>Value Missing</v>
      </c>
      <c r="K264" s="14" t="s">
        <v>1321</v>
      </c>
      <c r="L264" s="16"/>
      <c r="N264" s="14" t="s">
        <v>1322</v>
      </c>
      <c r="O264" s="16"/>
      <c r="P264" s="33"/>
      <c r="Q264" s="14" t="s">
        <v>1323</v>
      </c>
      <c r="R264" s="16"/>
      <c r="S264" s="33"/>
      <c r="T264" s="14" t="s">
        <v>1324</v>
      </c>
      <c r="U264" s="16"/>
      <c r="V264" s="33"/>
      <c r="W264" s="14" t="s">
        <v>1325</v>
      </c>
      <c r="X264" s="16"/>
      <c r="Y264" s="33"/>
      <c r="Z264" s="14" t="s">
        <v>1326</v>
      </c>
      <c r="AA264" s="16"/>
      <c r="AB264" s="33"/>
      <c r="AC264" s="14" t="s">
        <v>1327</v>
      </c>
      <c r="AD264" s="16"/>
    </row>
    <row r="265" spans="5:30" ht="20" customHeight="1" x14ac:dyDescent="0.2">
      <c r="E265" s="4" t="s">
        <v>1306</v>
      </c>
      <c r="F265" s="8" t="str">
        <f>IF(ISBLANK(input_mgmt_az1_host13_fqdn),"Value Missing",input_mgmt_az1_host13_fqdn)</f>
        <v>Value Missing</v>
      </c>
      <c r="H265" s="4" t="s">
        <v>1306</v>
      </c>
      <c r="I265" s="8" t="str">
        <f>IF(ISBLANK(input_wld_az1_host13_fqdn),"Value Missing",input_wld_az1_host13_fqdn)</f>
        <v>Value Missing</v>
      </c>
      <c r="J265" s="6"/>
      <c r="K265" s="4" t="s">
        <v>1328</v>
      </c>
      <c r="L265" s="8"/>
      <c r="N265" s="4" t="s">
        <v>1328</v>
      </c>
      <c r="O265" s="8"/>
      <c r="Q265" s="4" t="s">
        <v>1328</v>
      </c>
      <c r="R265" s="8"/>
      <c r="T265" s="4" t="s">
        <v>1328</v>
      </c>
      <c r="U265" s="8"/>
      <c r="W265" s="4" t="s">
        <v>1328</v>
      </c>
      <c r="X265" s="8"/>
      <c r="Z265" s="4" t="s">
        <v>1328</v>
      </c>
      <c r="AA265" s="8"/>
      <c r="AC265" s="4" t="s">
        <v>1328</v>
      </c>
      <c r="AD265" s="8"/>
    </row>
    <row r="266" spans="5:30" ht="20" customHeight="1" x14ac:dyDescent="0.2">
      <c r="E266" s="4" t="s">
        <v>1307</v>
      </c>
      <c r="F266" s="8" t="str">
        <f>IF(ISBLANK(input_mgmt_az1_host14_fqdn),"Value Missing",input_mgmt_az1_host14_fqdn)</f>
        <v>Value Missing</v>
      </c>
      <c r="H266" s="4" t="s">
        <v>1307</v>
      </c>
      <c r="I266" s="8" t="str">
        <f>IF(ISBLANK(input_wld_az1_host14_fqdn),"Value Missing",input_wld_az1_host14_fqdn)</f>
        <v>Value Missing</v>
      </c>
      <c r="J266" s="6"/>
      <c r="K266" s="4" t="s">
        <v>1329</v>
      </c>
      <c r="L266" s="8"/>
      <c r="N266" s="4" t="s">
        <v>1329</v>
      </c>
      <c r="O266" s="8"/>
      <c r="Q266" s="4" t="s">
        <v>1329</v>
      </c>
      <c r="R266" s="8"/>
      <c r="T266" s="4" t="s">
        <v>1329</v>
      </c>
      <c r="U266" s="8"/>
      <c r="W266" s="4" t="s">
        <v>1329</v>
      </c>
      <c r="X266" s="8"/>
      <c r="Z266" s="4" t="s">
        <v>1329</v>
      </c>
      <c r="AA266" s="8"/>
      <c r="AC266" s="4" t="s">
        <v>1329</v>
      </c>
      <c r="AD266" s="8"/>
    </row>
    <row r="267" spans="5:30" ht="20" customHeight="1" x14ac:dyDescent="0.2">
      <c r="E267" s="4" t="s">
        <v>1310</v>
      </c>
      <c r="F267" s="8" t="str">
        <f>IF(ISBLANK(input_mgmt_az1_host15_fqdn),"Value Missing",input_mgmt_az1_host15_fqdn)</f>
        <v>Value Missing</v>
      </c>
      <c r="H267" s="4" t="s">
        <v>1310</v>
      </c>
      <c r="I267" s="8" t="str">
        <f>IF(ISBLANK(input_wld_az1_host15_fqdn),"Value Missing",input_wld_az1_host15_fqdn)</f>
        <v>Value Missing</v>
      </c>
      <c r="K267" s="4" t="s">
        <v>1330</v>
      </c>
      <c r="L267" s="8"/>
      <c r="N267" s="4" t="s">
        <v>1330</v>
      </c>
      <c r="O267" s="8"/>
      <c r="Q267" s="4" t="s">
        <v>1330</v>
      </c>
      <c r="R267" s="8"/>
      <c r="T267" s="4" t="s">
        <v>1330</v>
      </c>
      <c r="U267" s="8"/>
      <c r="W267" s="4" t="s">
        <v>1330</v>
      </c>
      <c r="X267" s="8"/>
      <c r="Z267" s="4" t="s">
        <v>1330</v>
      </c>
      <c r="AA267" s="8"/>
      <c r="AC267" s="4" t="s">
        <v>1330</v>
      </c>
      <c r="AD267" s="8"/>
    </row>
    <row r="268" spans="5:30" ht="20" customHeight="1" x14ac:dyDescent="0.2">
      <c r="E268" s="4" t="s">
        <v>1311</v>
      </c>
      <c r="F268" s="8" t="str">
        <f>IF(ISBLANK(input_mgmt_az1_host16_fqdn),"Value Missing",input_mgmt_az1_host16_fqdn)</f>
        <v>Value Missing</v>
      </c>
      <c r="H268" s="4" t="s">
        <v>1311</v>
      </c>
      <c r="I268" s="8" t="str">
        <f>IF(ISBLANK(input_wld_az1_host16_fqdn),"Value Missing",input_wld_az1_host16_fqdn)</f>
        <v>Value Missing</v>
      </c>
      <c r="K268" s="4" t="s">
        <v>1331</v>
      </c>
      <c r="L268" s="8"/>
      <c r="M268" s="2"/>
      <c r="N268" s="4" t="s">
        <v>1331</v>
      </c>
      <c r="O268" s="8"/>
      <c r="Q268" s="4" t="s">
        <v>1331</v>
      </c>
      <c r="R268" s="8"/>
      <c r="T268" s="4" t="s">
        <v>1331</v>
      </c>
      <c r="U268" s="8"/>
      <c r="W268" s="4" t="s">
        <v>1331</v>
      </c>
      <c r="X268" s="8"/>
      <c r="Z268" s="4" t="s">
        <v>1331</v>
      </c>
      <c r="AA268" s="8"/>
      <c r="AC268" s="4" t="s">
        <v>1331</v>
      </c>
      <c r="AD268" s="8"/>
    </row>
    <row r="269" spans="5:30" ht="20" customHeight="1" x14ac:dyDescent="0.2">
      <c r="H269" s="2"/>
      <c r="I269" s="2"/>
      <c r="K269" s="4" t="s">
        <v>1332</v>
      </c>
      <c r="L269" s="8"/>
      <c r="M269" s="2"/>
      <c r="N269" s="4" t="s">
        <v>1332</v>
      </c>
      <c r="O269" s="8"/>
      <c r="Q269" s="4" t="s">
        <v>1332</v>
      </c>
      <c r="R269" s="8"/>
      <c r="T269" s="4" t="s">
        <v>1332</v>
      </c>
      <c r="U269" s="8"/>
      <c r="W269" s="4" t="s">
        <v>1332</v>
      </c>
      <c r="X269" s="8"/>
      <c r="Z269" s="4" t="s">
        <v>1332</v>
      </c>
      <c r="AA269" s="8"/>
      <c r="AC269" s="4" t="s">
        <v>1332</v>
      </c>
      <c r="AD269" s="8"/>
    </row>
    <row r="270" spans="5:30" ht="20" customHeight="1" x14ac:dyDescent="0.2">
      <c r="E270" s="14" t="s">
        <v>1335</v>
      </c>
      <c r="F270" s="16"/>
      <c r="H270" s="14" t="s">
        <v>1336</v>
      </c>
      <c r="I270" s="16"/>
      <c r="K270" s="4" t="s">
        <v>1333</v>
      </c>
      <c r="L270" s="8"/>
      <c r="M270" s="10" t="str">
        <f>IF(wld_dpg_separation_result="Included",(CONCATENATE(prefix_wld_az1_rack_cidr,".21.0/24")),(CONCATENATE(prefix_wld_az1_rack_cidr,".22.0/24")))</f>
        <v>10.13..22.0/24</v>
      </c>
      <c r="N270" s="4" t="s">
        <v>1333</v>
      </c>
      <c r="O270" s="8"/>
      <c r="Q270" s="4" t="s">
        <v>1333</v>
      </c>
      <c r="R270" s="8"/>
      <c r="T270" s="4" t="s">
        <v>1333</v>
      </c>
      <c r="U270" s="8"/>
      <c r="W270" s="4" t="s">
        <v>1333</v>
      </c>
      <c r="X270" s="8"/>
      <c r="Z270" s="4" t="s">
        <v>1333</v>
      </c>
      <c r="AA270" s="8"/>
      <c r="AC270" s="4" t="s">
        <v>1333</v>
      </c>
      <c r="AD270" s="8"/>
    </row>
    <row r="271" spans="5:30" ht="20" customHeight="1" x14ac:dyDescent="0.2">
      <c r="E271" s="4" t="s">
        <v>1328</v>
      </c>
      <c r="F271" s="8" t="str">
        <f>IF(mgmt_az1_en1_fqdn="Value Missing",mgmt_az1_en1_fqdn,LEFT(mgmt_az1_en1_fqdn,FIND(".",mgmt_az1_en1_fqdn)-1))</f>
        <v>Value Missing</v>
      </c>
      <c r="H271" s="4" t="s">
        <v>1328</v>
      </c>
      <c r="I271" s="8" t="str">
        <f>IF(wld_az1_en1_fqdn="Value Missing",wld_az1_en1_fqdn,LEFT(wld_az1_en1_fqdn,FIND(".",wld_az1_en1_fqdn)-1))</f>
        <v>Value Missing</v>
      </c>
      <c r="K271" s="4" t="s">
        <v>1334</v>
      </c>
      <c r="L271" s="8"/>
      <c r="M271" s="10" t="str">
        <f>IF(wld_dpg_separation_result="Included",(CONCATENATE(prefix_wld_az1_rack_cidr,".32.0/24")),(CONCATENATE(prefix_wld_az1_rack_cidr,".33.0/24")))</f>
        <v>10.13..33.0/24</v>
      </c>
      <c r="N271" s="4" t="s">
        <v>1334</v>
      </c>
      <c r="O271" s="8"/>
      <c r="Q271" s="4" t="s">
        <v>1334</v>
      </c>
      <c r="R271" s="8"/>
      <c r="T271" s="4" t="s">
        <v>1334</v>
      </c>
      <c r="U271" s="8"/>
      <c r="W271" s="4" t="s">
        <v>1334</v>
      </c>
      <c r="X271" s="8"/>
      <c r="Z271" s="4" t="s">
        <v>1334</v>
      </c>
      <c r="AA271" s="8"/>
      <c r="AC271" s="4" t="s">
        <v>1334</v>
      </c>
      <c r="AD271" s="8"/>
    </row>
    <row r="272" spans="5:30" ht="20" customHeight="1" x14ac:dyDescent="0.2">
      <c r="E272" s="4" t="s">
        <v>1329</v>
      </c>
      <c r="F272" s="8" t="str">
        <f>mgmt_az1_en1_fqdn</f>
        <v>Value Missing</v>
      </c>
      <c r="H272" s="4" t="s">
        <v>1329</v>
      </c>
      <c r="I272" s="8" t="str">
        <f>wld_az1_en1_fqdn</f>
        <v>Value Missing</v>
      </c>
      <c r="K272" s="6"/>
      <c r="L272" s="2"/>
      <c r="M272" s="10" t="str">
        <f>IF(wld_dpg_separation_result="Included",(CONCATENATE(prefix_wld_az1_rack_cidr,".43.0/24")),(CONCATENATE(prefix_wld_az1_rack_cidr,".44.0/24")))</f>
        <v>10.13..44.0/24</v>
      </c>
      <c r="N272" s="6"/>
      <c r="O272" s="2"/>
      <c r="Q272" s="6"/>
      <c r="R272" s="2"/>
      <c r="T272" s="6"/>
      <c r="U272" s="2"/>
      <c r="W272" s="6"/>
      <c r="X272" s="2"/>
      <c r="Z272" s="6"/>
      <c r="AA272" s="2"/>
      <c r="AC272" s="6"/>
      <c r="AD272" s="2"/>
    </row>
    <row r="273" spans="5:31" ht="20" customHeight="1" x14ac:dyDescent="0.2">
      <c r="E273" s="4" t="s">
        <v>1330</v>
      </c>
      <c r="F273" s="8" t="str">
        <f>IF(mgmt_az1_en1_mgmt_cidr="Value Missing","Value Missing",(_xlfn.TEXTBEFORE(mgmt_az1_en1_mgmt_cidr,"/",1)))</f>
        <v>Value Missing</v>
      </c>
      <c r="H273" s="4"/>
      <c r="I273" s="8" t="str">
        <f>IF(wld_az1_en1_mgmt_cidr="Value Missing","Value Missing",(_xlfn.TEXTBEFORE(wld_az1_en1_mgmt_cidr,"/",1)))</f>
        <v>Value Missing</v>
      </c>
      <c r="L273" s="25"/>
      <c r="M273" s="10" t="str">
        <f>IF(wld_dpg_separation_result="Included",(CONCATENATE(prefix_wld_az1_rack_cidr,".54.0/24")),(CONCATENATE(prefix_wld_az1_rack_cidr,".55.0/24")))</f>
        <v>10.13..55.0/24</v>
      </c>
      <c r="P273" s="2"/>
      <c r="S273" s="2"/>
      <c r="V273" s="2"/>
      <c r="W273" s="2"/>
      <c r="Y273" s="2"/>
      <c r="AB273" s="2"/>
    </row>
    <row r="274" spans="5:31" ht="20" customHeight="1" x14ac:dyDescent="0.2">
      <c r="E274" s="4" t="s">
        <v>3741</v>
      </c>
      <c r="F274" s="8" t="str">
        <f>IF(ISBLANK('Configure Management Domain'!D107),"Value Missing",'Configure Management Domain'!D107)</f>
        <v>Value Missing</v>
      </c>
      <c r="H274" s="4" t="s">
        <v>1330</v>
      </c>
      <c r="I274" s="8" t="str">
        <f>IF(ISBLANK('Configure Workload Domain'!D50),"Value Missing",'Configure Workload Domain'!D50)</f>
        <v>Value Missing</v>
      </c>
      <c r="L274" s="25"/>
      <c r="M274" s="10" t="str">
        <f>IF(wld_dpg_separation_result="Included",(CONCATENATE(prefix_wld_az1_rack_cidr,".65.0/24")),(CONCATENATE(prefix_wld_az1_rack_cidr,".66.0/24")))</f>
        <v>10.13..66.0/24</v>
      </c>
      <c r="P274" s="2"/>
      <c r="S274" s="2"/>
      <c r="V274" s="2"/>
      <c r="W274" s="2"/>
      <c r="Y274" s="2"/>
      <c r="AB274" s="2"/>
    </row>
    <row r="275" spans="5:31" ht="20" customHeight="1" x14ac:dyDescent="0.2">
      <c r="E275" s="4" t="s">
        <v>1331</v>
      </c>
      <c r="F275" s="8" t="str">
        <f>IF(ISBLANK('Configure Management Domain'!D162),"Value Missing",'Configure Management Domain'!D162)</f>
        <v>Value Missing</v>
      </c>
      <c r="H275" s="4" t="s">
        <v>1331</v>
      </c>
      <c r="I275" s="8" t="str">
        <f>IF(ISBLANK('Configure Workload Domain'!D105),"Value Missing",'Configure Workload Domain'!D105)</f>
        <v>Value Missing</v>
      </c>
      <c r="K275" s="245" t="str">
        <f t="array" ref="K275">IF(wld_dpg_separation_result="Included",CONCATENATE(prefix_wld_az1_rack_vlan,"21"),CONCATENATE(prefix_wld_az1_rack_vlan,"22"))</f>
        <v>1322</v>
      </c>
      <c r="L275" s="66"/>
      <c r="M275" s="10" t="str">
        <f>IF(wld_dpg_separation_result="Included",(CONCATENATE(prefix_wld_az1_rack_cidr,".76.0/24")),(CONCATENATE(prefix_wld_az1_rack_cidr,".77.0/24")))</f>
        <v>10.13..77.0/24</v>
      </c>
      <c r="N275" s="66"/>
      <c r="O275" s="10" t="str">
        <f>IF(wld_dpg_separation_result="Included",CONCATENATE(prefix_wld_az1_rack_cidr,".21.1"),CONCATENATE(prefix_wld_az1_rack_cidr,".22.1"))</f>
        <v>10.13..22.1</v>
      </c>
      <c r="P275" s="66"/>
      <c r="Q275" s="10">
        <v>1500</v>
      </c>
      <c r="R275" s="66"/>
      <c r="S275" s="2"/>
      <c r="V275" s="2"/>
      <c r="W275" s="2"/>
      <c r="Y275" s="2"/>
      <c r="AB275" s="2"/>
    </row>
    <row r="276" spans="5:31" ht="20" customHeight="1" x14ac:dyDescent="0.2">
      <c r="E276" s="4" t="s">
        <v>1332</v>
      </c>
      <c r="F276" s="8" t="str">
        <f>IF(ISBLANK('Configure Management Domain'!D169),"Value Missing",'Configure Management Domain'!D169)</f>
        <v>Value Missing</v>
      </c>
      <c r="H276" s="4" t="s">
        <v>1332</v>
      </c>
      <c r="I276" s="8" t="str">
        <f>IF(ISBLANK('Configure Workload Domain'!D112),"Value Missing",'Configure Workload Domain'!D112)</f>
        <v>Value Missing</v>
      </c>
      <c r="K276" s="245" t="str">
        <f>IF(wld_dpg_separation_result="Included",CONCATENATE(prefix_wld_az1_rack_vlan,"32"),CONCATENATE(prefix_wld_az1_rack_vlan,"33"))</f>
        <v>1333</v>
      </c>
      <c r="L276" s="66"/>
      <c r="M276" s="10" t="str">
        <f>IF(wld_dpg_separation_result="Included",(CONCATENATE(prefix_wld_az1_rack_cidr,".87.0/24")),(CONCATENATE(prefix_wld_az1_rack_cidr,".88.0/24")))</f>
        <v>10.13..88.0/24</v>
      </c>
      <c r="N276" s="66"/>
      <c r="O276" s="10" t="str">
        <f>IF(wld_dpg_separation_result="Included",CONCATENATE(prefix_wld_az1_rack_cidr,".32.1"),CONCATENATE(prefix_wld_az1_rack_cidr,".33.1"))</f>
        <v>10.13..33.1</v>
      </c>
      <c r="P276" s="66"/>
      <c r="Q276" s="10">
        <v>1500</v>
      </c>
      <c r="R276" s="66"/>
      <c r="S276" s="2"/>
      <c r="V276" s="2"/>
      <c r="W276" s="2"/>
      <c r="Y276" s="2"/>
      <c r="AB276" s="2"/>
    </row>
    <row r="277" spans="5:31" ht="20" customHeight="1" x14ac:dyDescent="0.2">
      <c r="E277" s="4" t="s">
        <v>1333</v>
      </c>
      <c r="F277" s="8" t="str">
        <f>IF(ISBLANK('Configure Management Domain'!D122),"Value Missing",'Configure Management Domain'!D122)</f>
        <v>Value Missing</v>
      </c>
      <c r="H277" s="4" t="s">
        <v>1333</v>
      </c>
      <c r="I277" s="8" t="str">
        <f>IF(ISBLANK('Configure Workload Domain'!D65),"Value Missing",'Configure Workload Domain'!D65)</f>
        <v>Value Missing</v>
      </c>
      <c r="K277" s="245" t="str">
        <f>IF(wld_dpg_separation_result="Included",CONCATENATE(prefix_wld_az1_rack_vlan,"43"),CONCATENATE(prefix_wld_az1_rack_vlan,"44"))</f>
        <v>1344</v>
      </c>
      <c r="L277" s="66"/>
      <c r="M277" s="2"/>
      <c r="N277" s="66"/>
      <c r="O277" s="10" t="str">
        <f>IF(wld_dpg_separation_result="Included",CONCATENATE(prefix_wld_az1_rack_cidr,".43.1"),CONCATENATE(prefix_wld_az1_rack_cidr,".44.1"))</f>
        <v>10.13..44.1</v>
      </c>
      <c r="P277" s="66"/>
      <c r="Q277" s="10">
        <v>1500</v>
      </c>
      <c r="R277" s="66"/>
      <c r="S277" s="2"/>
      <c r="V277" s="2"/>
      <c r="W277" s="2"/>
      <c r="Y277" s="2"/>
      <c r="AB277" s="2"/>
    </row>
    <row r="278" spans="5:31" ht="20" customHeight="1" x14ac:dyDescent="0.2">
      <c r="E278" s="4" t="s">
        <v>1334</v>
      </c>
      <c r="F278" s="8" t="str">
        <f>IF(ISBLANK('Configure Management Domain'!D123),"Value Missing",'Configure Management Domain'!D123)</f>
        <v>Value Missing</v>
      </c>
      <c r="H278" s="4" t="s">
        <v>1334</v>
      </c>
      <c r="I278" s="8" t="str">
        <f>IF(ISBLANK('Configure Workload Domain'!D66),"Value Missing",'Configure Workload Domain'!D66)</f>
        <v>Value Missing</v>
      </c>
      <c r="K278" s="245" t="str">
        <f>IF(wld_dpg_separation_result="Included",CONCATENATE(prefix_wld_az1_rack_vlan,"54"),CONCATENATE(prefix_wld_az1_rack_vlan,"55"))</f>
        <v>1355</v>
      </c>
      <c r="L278" s="66"/>
      <c r="M278" s="2"/>
      <c r="N278" s="66"/>
      <c r="O278" s="10" t="str">
        <f>IF(wld_dpg_separation_result="Included",CONCATENATE(prefix_wld_az1_rack_cidr,".54.1"),CONCATENATE(prefix_wld_az1_rack_cidr,".55.1"))</f>
        <v>10.13..55.1</v>
      </c>
      <c r="P278" s="66"/>
      <c r="Q278" s="10">
        <v>1500</v>
      </c>
      <c r="R278" s="66"/>
      <c r="S278" s="2"/>
      <c r="V278" s="2"/>
      <c r="W278" s="2"/>
      <c r="Y278" s="2"/>
      <c r="AB278" s="2"/>
    </row>
    <row r="279" spans="5:31" ht="20" customHeight="1" x14ac:dyDescent="0.2">
      <c r="E279" s="4" t="s">
        <v>1337</v>
      </c>
      <c r="F279" s="8" t="str">
        <f>IF(ISBLANK(mgmt_en01_bfd_chosen),"Value Missing",mgmt_en01_bfd_chosen)</f>
        <v>Selected</v>
      </c>
      <c r="H279" s="6"/>
      <c r="I279" s="6"/>
      <c r="K279" s="245" t="str">
        <f>IF(wld_dpg_separation_result="Included",CONCATENATE(prefix_wld_az1_rack_vlan,"65"),CONCATENATE(prefix_wld_az1_rack_vlan,"66"))</f>
        <v>1366</v>
      </c>
      <c r="L279" s="66"/>
      <c r="M279" s="2"/>
      <c r="N279" s="66"/>
      <c r="O279" s="10" t="str">
        <f>IF(wld_dpg_separation_result="Included",CONCATENATE(prefix_wld_az1_rack_cidr,".65.1"),CONCATENATE(prefix_wld_az1_rack_cidr,".66.1"))</f>
        <v>10.13..66.1</v>
      </c>
      <c r="P279" s="66"/>
      <c r="Q279" s="10">
        <v>1500</v>
      </c>
      <c r="R279" s="66"/>
      <c r="S279" s="2"/>
      <c r="V279" s="2"/>
      <c r="W279" s="2"/>
      <c r="Y279" s="2"/>
      <c r="AB279" s="2"/>
    </row>
    <row r="280" spans="5:31" ht="20" customHeight="1" x14ac:dyDescent="0.2">
      <c r="E280" s="6"/>
      <c r="H280" s="6"/>
      <c r="K280" s="245" t="str">
        <f>IF(wld_dpg_separation_result="Included",CONCATENATE(prefix_wld_az1_rack_vlan,"76"),CONCATENATE(prefix_wld_az1_rack_vlan,"77"))</f>
        <v>1377</v>
      </c>
      <c r="L280" s="66"/>
      <c r="M280" s="2"/>
      <c r="N280" s="66"/>
      <c r="O280" s="10" t="str">
        <f>IF(wld_dpg_separation_result="Included",CONCATENATE(prefix_wld_az1_rack_cidr,".76.1"),CONCATENATE(prefix_wld_az1_rack_cidr,".77.1"))</f>
        <v>10.13..77.1</v>
      </c>
      <c r="P280" s="66"/>
      <c r="Q280" s="10">
        <v>1500</v>
      </c>
      <c r="R280" s="66"/>
      <c r="S280" s="2"/>
      <c r="V280" s="2"/>
      <c r="W280" s="2"/>
      <c r="Y280" s="2"/>
      <c r="AB280" s="2"/>
      <c r="AE280" s="25"/>
    </row>
    <row r="281" spans="5:31" ht="20" customHeight="1" x14ac:dyDescent="0.2">
      <c r="E281" s="14" t="s">
        <v>1338</v>
      </c>
      <c r="F281" s="16"/>
      <c r="G281" s="33"/>
      <c r="H281" s="14" t="s">
        <v>1339</v>
      </c>
      <c r="I281" s="16"/>
      <c r="K281" s="245" t="str">
        <f>IF(wld_dpg_separation_result="Included",CONCATENATE(prefix_wld_az1_rack_vlan,"87"),CONCATENATE(prefix_wld_az1_rack_vlan,"88"))</f>
        <v>1388</v>
      </c>
      <c r="L281" s="66"/>
      <c r="M281" s="2"/>
      <c r="N281" s="66"/>
      <c r="O281" s="10" t="str">
        <f>IF(wld_dpg_separation_result="Included",CONCATENATE(prefix_wld_az1_rack_cidr,".87.1"),CONCATENATE(prefix_wld_az1_rack_cidr,".88.1"))</f>
        <v>10.13..88.1</v>
      </c>
      <c r="P281" s="66"/>
      <c r="Q281" s="10">
        <v>1500</v>
      </c>
      <c r="R281" s="66"/>
      <c r="S281" s="2"/>
      <c r="V281" s="2"/>
      <c r="W281" s="2"/>
      <c r="Y281" s="2"/>
      <c r="AB281" s="2"/>
    </row>
    <row r="282" spans="5:31" ht="20" customHeight="1" x14ac:dyDescent="0.2">
      <c r="E282" s="4" t="s">
        <v>1328</v>
      </c>
      <c r="F282" s="8" t="str">
        <f>IF(mgmt_az1_en2_fqdn="Value Missing",mgmt_az1_en2_fqdn,LEFT(mgmt_az1_en2_fqdn,FIND(".",mgmt_az1_en2_fqdn)-1))</f>
        <v>Value Missing</v>
      </c>
      <c r="H282" s="4" t="s">
        <v>1328</v>
      </c>
      <c r="I282" s="8" t="str">
        <f>IF(wld_az1_en2_fqdn="Value Missing",wld_az1_en2_fqdn,LEFT(wld_az1_en2_fqdn,FIND(".",wld_az1_en2_fqdn)-1))</f>
        <v>Value Missing</v>
      </c>
      <c r="L282" s="25"/>
      <c r="M282" s="2"/>
      <c r="P282" s="2"/>
      <c r="S282" s="2"/>
      <c r="V282" s="2"/>
      <c r="W282" s="2"/>
      <c r="Y282" s="2"/>
      <c r="AB282" s="2"/>
    </row>
    <row r="283" spans="5:31" ht="20" customHeight="1" x14ac:dyDescent="0.2">
      <c r="E283" s="4" t="s">
        <v>1329</v>
      </c>
      <c r="F283" s="8" t="str">
        <f>mgmt_az1_en1_fqdn</f>
        <v>Value Missing</v>
      </c>
      <c r="H283" s="4" t="s">
        <v>1329</v>
      </c>
      <c r="I283" s="8" t="str">
        <f>wld_az1_en2_fqdn</f>
        <v>Value Missing</v>
      </c>
      <c r="L283" s="25"/>
      <c r="M283" s="2"/>
      <c r="P283" s="2"/>
      <c r="S283" s="2"/>
      <c r="V283" s="2"/>
      <c r="W283" s="2"/>
      <c r="Y283" s="2"/>
      <c r="AB283" s="2"/>
    </row>
    <row r="284" spans="5:31" ht="20" customHeight="1" x14ac:dyDescent="0.2">
      <c r="E284" s="4" t="s">
        <v>1330</v>
      </c>
      <c r="F284" s="8" t="str">
        <f>IF(mgmt_az1_en2_mgmt_cidr="Value Missing","Value Missing",(_xlfn.TEXTBEFORE(mgmt_az1_en2_mgmt_cidr,"/",1)))</f>
        <v>Value Missing</v>
      </c>
      <c r="H284" s="4" t="s">
        <v>1330</v>
      </c>
      <c r="I284" s="8" t="str">
        <f>IF(wld_az1_en2_mgmt_cidr="Value Missing","Value Missing",(_xlfn.TEXTBEFORE(wld_az1_en2_mgmt_cidr,"/",1)))</f>
        <v>Value Missing</v>
      </c>
      <c r="L284" s="25"/>
      <c r="M284" s="2"/>
      <c r="P284" s="2"/>
      <c r="S284" s="2"/>
      <c r="V284" s="2"/>
      <c r="W284" s="2"/>
      <c r="Y284" s="2"/>
      <c r="AB284" s="2"/>
    </row>
    <row r="285" spans="5:31" ht="20" customHeight="1" x14ac:dyDescent="0.2">
      <c r="E285" s="4" t="s">
        <v>3741</v>
      </c>
      <c r="F285" s="8" t="str">
        <f>IF(ISBLANK('Configure Management Domain'!D135),"Value Missing",'Configure Management Domain'!D135)</f>
        <v>Value Missing</v>
      </c>
      <c r="H285" s="4" t="s">
        <v>3741</v>
      </c>
      <c r="I285" s="8" t="str">
        <f>IF(ISBLANK('Configure Workload Domain'!D79),"Value Missing",'Configure Workload Domain'!D79)</f>
        <v>Value Missing</v>
      </c>
      <c r="L285" s="25"/>
      <c r="P285" s="2"/>
      <c r="S285" s="2"/>
      <c r="V285" s="2"/>
      <c r="W285" s="2"/>
      <c r="Y285" s="2"/>
      <c r="AB285" s="2"/>
    </row>
    <row r="286" spans="5:31" ht="20" customHeight="1" x14ac:dyDescent="0.2">
      <c r="E286" s="4" t="s">
        <v>1331</v>
      </c>
      <c r="F286" s="8" t="str">
        <f>IF(ISBLANK('Configure Management Domain'!D177),"Value Missing",'Configure Management Domain'!D177)</f>
        <v>Value Missing</v>
      </c>
      <c r="H286" s="4" t="s">
        <v>1331</v>
      </c>
      <c r="I286" s="8" t="str">
        <f>IF(ISBLANK('Configure Workload Domain'!D120),"Value Missing",'Configure Workload Domain'!D120)</f>
        <v>Value Missing</v>
      </c>
      <c r="L286" s="25"/>
      <c r="P286" s="2"/>
      <c r="S286" s="2"/>
      <c r="V286" s="2"/>
      <c r="W286" s="2"/>
      <c r="Y286" s="2"/>
      <c r="AB286" s="2"/>
    </row>
    <row r="287" spans="5:31" ht="20" customHeight="1" x14ac:dyDescent="0.2">
      <c r="E287" s="4" t="s">
        <v>1332</v>
      </c>
      <c r="F287" s="8" t="str">
        <f>IF(ISBLANK('Configure Management Domain'!D184),"Value Missing",'Configure Management Domain'!D184)</f>
        <v>Value Missing</v>
      </c>
      <c r="H287" s="4" t="s">
        <v>1332</v>
      </c>
      <c r="I287" s="8" t="str">
        <f>IF(ISBLANK('Configure Workload Domain'!D127),"Value Missing",'Configure Workload Domain'!D127)</f>
        <v>Value Missing</v>
      </c>
      <c r="L287" s="25"/>
      <c r="P287" s="2"/>
      <c r="S287" s="2"/>
      <c r="V287" s="2"/>
      <c r="W287" s="2"/>
      <c r="Y287" s="2"/>
      <c r="AB287" s="2"/>
    </row>
    <row r="288" spans="5:31" ht="20" customHeight="1" x14ac:dyDescent="0.2">
      <c r="E288" s="4" t="s">
        <v>1333</v>
      </c>
      <c r="F288" s="8" t="str">
        <f>IF(ISBLANK('Configure Management Domain'!D147),"Value Missing",'Configure Management Domain'!D147)</f>
        <v>Value Missing</v>
      </c>
      <c r="H288" s="4" t="s">
        <v>1333</v>
      </c>
      <c r="I288" s="8" t="str">
        <f>IF(ISBLANK('Configure Workload Domain'!D90),"Value Missing",'Configure Workload Domain'!D90)</f>
        <v>Value Missing</v>
      </c>
      <c r="L288" s="25"/>
      <c r="S288" s="2"/>
      <c r="V288" s="2"/>
      <c r="W288" s="2"/>
      <c r="Y288" s="2"/>
      <c r="AB288" s="2"/>
    </row>
    <row r="289" spans="5:28" ht="20" customHeight="1" x14ac:dyDescent="0.2">
      <c r="E289" s="4" t="s">
        <v>1334</v>
      </c>
      <c r="F289" s="8" t="str">
        <f>IF(ISBLANK('Configure Management Domain'!D148),"Value Missing",'Configure Management Domain'!D148)</f>
        <v>Value Missing</v>
      </c>
      <c r="H289" s="4" t="s">
        <v>1334</v>
      </c>
      <c r="I289" s="8" t="str">
        <f>IF(ISBLANK('Configure Workload Domain'!D91),"Value Missing",'Configure Workload Domain'!D91)</f>
        <v>Value Missing</v>
      </c>
      <c r="L289" s="25"/>
      <c r="S289" s="2"/>
      <c r="V289" s="2"/>
      <c r="W289" s="2"/>
      <c r="Y289" s="2"/>
      <c r="AB289" s="2"/>
    </row>
    <row r="290" spans="5:28" ht="20" customHeight="1" x14ac:dyDescent="0.2">
      <c r="E290" s="4" t="s">
        <v>1337</v>
      </c>
      <c r="F290" s="8" t="str">
        <f>IF(ISBLANK(mgmt_en02_bfd_chosen),"Value Missing",mgmt_en02_bfd_chosen)</f>
        <v>Selected</v>
      </c>
      <c r="H290" s="6"/>
      <c r="I290" s="2"/>
    </row>
    <row r="292" spans="5:28" ht="20" customHeight="1" x14ac:dyDescent="0.2">
      <c r="E292" s="14" t="s">
        <v>1340</v>
      </c>
      <c r="F292" s="15"/>
      <c r="H292" s="14" t="s">
        <v>1341</v>
      </c>
      <c r="I292" s="15"/>
    </row>
    <row r="293" spans="5:28" ht="20" customHeight="1" x14ac:dyDescent="0.2">
      <c r="E293" s="17" t="s">
        <v>254</v>
      </c>
      <c r="F293" s="20" t="s">
        <v>1342</v>
      </c>
      <c r="H293" s="17" t="s">
        <v>254</v>
      </c>
      <c r="I293" s="18" t="s">
        <v>1342</v>
      </c>
    </row>
    <row r="294" spans="5:28" ht="20" customHeight="1" x14ac:dyDescent="0.2">
      <c r="E294" s="4" t="s">
        <v>1047</v>
      </c>
      <c r="F294" s="8"/>
      <c r="H294" s="4" t="s">
        <v>1047</v>
      </c>
      <c r="I294" s="8"/>
    </row>
    <row r="295" spans="5:28" ht="20" customHeight="1" x14ac:dyDescent="0.2">
      <c r="E295" s="4" t="s">
        <v>1049</v>
      </c>
      <c r="F295" s="8" t="str">
        <f>IF(ISBLANK('Configure Management Domain'!D296),"Value Missing",'Configure Management Domain'!D296)</f>
        <v>Value Missing</v>
      </c>
      <c r="G295" s="33"/>
      <c r="H295" s="4" t="s">
        <v>1049</v>
      </c>
      <c r="I295" s="8" t="str">
        <f>IF(ISBLANK('Configure Workload Domain'!D240),"Value Missing",'Configure Workload Domain'!D240)</f>
        <v>Value Missing</v>
      </c>
    </row>
    <row r="296" spans="5:28" ht="20" customHeight="1" x14ac:dyDescent="0.2">
      <c r="E296" s="4" t="s">
        <v>244</v>
      </c>
      <c r="F296" s="8" t="str">
        <f>IF(ISBLANK('Configure Management Domain'!D323),"Value Missing",'Configure Management Domain'!D323)</f>
        <v>Value Missing</v>
      </c>
      <c r="H296" s="4" t="s">
        <v>244</v>
      </c>
      <c r="I296" s="8" t="str">
        <f>IF(ISBLANK(input_wld_az2_vmotion_vlan),"Value Missing",input_wld_az2_vmotion_vlan)</f>
        <v>Value Missing</v>
      </c>
    </row>
    <row r="297" spans="5:28" ht="20" customHeight="1" x14ac:dyDescent="0.2">
      <c r="E297" s="23" t="str">
        <f>CONCATENATE("Principal Storage Network ",wld_principal_storage_chosen)</f>
        <v>Principal Storage Network vSAN-ESA</v>
      </c>
      <c r="F297" s="8" t="str">
        <f>IF(ISBLANK('Configure Management Domain'!D331),"Value Missing",'Configure Management Domain'!D331)</f>
        <v>Value Missing</v>
      </c>
      <c r="H297" s="23" t="s">
        <v>1343</v>
      </c>
      <c r="I297" s="8" t="str">
        <f>IF(ISBLANK(input_wld_az2_principal_storage_vlan),"Value Missing",input_wld_az2_principal_storage_vlan)</f>
        <v>Value Missing</v>
      </c>
    </row>
    <row r="298" spans="5:28" ht="20" customHeight="1" x14ac:dyDescent="0.2">
      <c r="E298" s="4" t="s">
        <v>1053</v>
      </c>
      <c r="F298" s="8" t="str">
        <f>IF(ISBLANK('Configure Management Domain'!D436),"Value Missing",'Configure Management Domain'!D436)</f>
        <v>Value Missing</v>
      </c>
      <c r="H298" s="4" t="s">
        <v>1053</v>
      </c>
      <c r="I298" s="8" t="str">
        <f>IF(ISBLANK('Configure Workload Domain'!D394),"Value Missing",'Configure Workload Domain'!D394)</f>
        <v>Value Missing</v>
      </c>
    </row>
    <row r="299" spans="5:28" ht="20" customHeight="1" x14ac:dyDescent="0.2">
      <c r="E299" s="4" t="s">
        <v>1055</v>
      </c>
      <c r="F299" s="8" t="str">
        <f>IF(ISBLANK(input_mgmt_az2_secondary_storage_vlan),"Value Missing",input_mgmt_az2_secondary_storage_vlan)</f>
        <v>Value Missing</v>
      </c>
      <c r="H299" s="4" t="s">
        <v>1055</v>
      </c>
      <c r="I299" s="8" t="str">
        <f>IF(ISBLANK('Configure Workload Domain'!D284),"Value Missing",'Configure Workload Domain'!D284)</f>
        <v>Value Missing</v>
      </c>
    </row>
    <row r="300" spans="5:28" ht="20" customHeight="1" x14ac:dyDescent="0.2">
      <c r="E300" s="4" t="s">
        <v>1058</v>
      </c>
      <c r="F300" s="8" t="str">
        <f>IF(ISBLANK(input_mgmt_az1_uplink01_vlan),"Value Missing",input_mgmt_az1_uplink01_vlan)</f>
        <v>Value Missing</v>
      </c>
      <c r="H300" s="4" t="s">
        <v>706</v>
      </c>
      <c r="I300" s="8" t="str">
        <f>IF(ISBLANK(input_wld_az2_storage_cluster_vlan),"Value Missing",input_wld_az2_storage_cluster_vlan)</f>
        <v>Value Missing</v>
      </c>
    </row>
    <row r="301" spans="5:28" ht="20" customHeight="1" x14ac:dyDescent="0.2">
      <c r="E301" s="4" t="s">
        <v>1060</v>
      </c>
      <c r="F301" s="8" t="str">
        <f>IF(ISBLANK(input_mgmt_az1_uplink02_vlan),"Value Missing",input_mgmt_az1_uplink02_vlan)</f>
        <v>Value Missing</v>
      </c>
      <c r="H301" s="4" t="s">
        <v>1058</v>
      </c>
      <c r="I301" s="8" t="str">
        <f>IF(ISBLANK(input_wld_az1_uplink01_vlan),"Value Missing",input_wld_az1_uplink01_vlan)</f>
        <v>Value Missing</v>
      </c>
    </row>
    <row r="302" spans="5:28" ht="20" customHeight="1" x14ac:dyDescent="0.2">
      <c r="E302" s="4" t="s">
        <v>1062</v>
      </c>
      <c r="F302" s="8" t="str">
        <f>IF(ISBLANK(input_mgmt_az1_edge_overlay_vlan),"Value Missing",input_mgmt_az1_edge_overlay_vlan)</f>
        <v>Value Missing</v>
      </c>
      <c r="H302" s="4" t="s">
        <v>1060</v>
      </c>
      <c r="I302" s="8" t="str">
        <f>IF(ISBLANK(input_wld_az1_uplink02_vlan),"Value Missing",input_wld_az1_uplink02_vlan)</f>
        <v>Value Missing</v>
      </c>
    </row>
    <row r="303" spans="5:28" ht="20" customHeight="1" x14ac:dyDescent="0.2">
      <c r="E303" s="4" t="s">
        <v>1064</v>
      </c>
      <c r="F303" s="8" t="str">
        <f>IF(ISBLANK(input_mgmt_az1_rtep_overlay_vlan),"Value Missing",input_mgmt_az1_rtep_overlay_vlan)</f>
        <v>Value Missing</v>
      </c>
      <c r="H303" s="4" t="s">
        <v>1062</v>
      </c>
      <c r="I303" s="8" t="str">
        <f>IF(ISBLANK(input_wld_az1_edge_overlay_vlan),"Value Missing",input_wld_az1_edge_overlay_vlan)</f>
        <v>Value Missing</v>
      </c>
    </row>
    <row r="304" spans="5:28" ht="20" customHeight="1" x14ac:dyDescent="0.2">
      <c r="E304" s="4" t="s">
        <v>1066</v>
      </c>
      <c r="F304" s="8" t="str">
        <f>IF(ISBLANK(input_mgmt_az1_vrms_vlan),"Value Missing",input_mgmt_az1_vrms_vlan)</f>
        <v>Value Missing</v>
      </c>
      <c r="H304" s="4" t="s">
        <v>1064</v>
      </c>
      <c r="I304" s="8" t="str">
        <f>IF(ISBLANK(input_wld_az1_rtep_overlay_vlan),"Value Missing",input_wld_az1_rtep_overlay_vlan)</f>
        <v>Value Missing</v>
      </c>
    </row>
    <row r="305" spans="5:9" ht="20" customHeight="1" x14ac:dyDescent="0.2">
      <c r="E305" s="2"/>
      <c r="F305" s="2"/>
      <c r="H305" s="4" t="s">
        <v>1066</v>
      </c>
      <c r="I305" s="8" t="str">
        <f>IF(ISBLANK(input_wld_az1_vrms_vlan),"Value Missing",input_wld_az1_vrms_vlan)</f>
        <v>Value Missing</v>
      </c>
    </row>
    <row r="306" spans="5:9" ht="20" customHeight="1" x14ac:dyDescent="0.2">
      <c r="E306" s="14" t="s">
        <v>1344</v>
      </c>
      <c r="F306" s="15"/>
    </row>
    <row r="307" spans="5:9" ht="20" customHeight="1" x14ac:dyDescent="0.2">
      <c r="E307" s="17" t="s">
        <v>254</v>
      </c>
      <c r="F307" s="20" t="s">
        <v>1342</v>
      </c>
      <c r="H307" s="14" t="s">
        <v>1345</v>
      </c>
      <c r="I307" s="15"/>
    </row>
    <row r="308" spans="5:9" ht="20" customHeight="1" x14ac:dyDescent="0.2">
      <c r="E308" s="4" t="s">
        <v>1047</v>
      </c>
      <c r="F308" s="8"/>
      <c r="H308" s="17" t="s">
        <v>254</v>
      </c>
      <c r="I308" s="18" t="s">
        <v>1346</v>
      </c>
    </row>
    <row r="309" spans="5:9" ht="20" customHeight="1" x14ac:dyDescent="0.2">
      <c r="E309" s="4" t="s">
        <v>1049</v>
      </c>
      <c r="F309" s="8" t="str">
        <f>IF(ISBLANK('Configure Management Domain'!D298),"Value Missing",'Configure Management Domain'!D298)</f>
        <v>Value Missing</v>
      </c>
      <c r="G309" s="33"/>
      <c r="H309" s="4" t="s">
        <v>1047</v>
      </c>
      <c r="I309" s="8"/>
    </row>
    <row r="310" spans="5:9" ht="20" customHeight="1" x14ac:dyDescent="0.2">
      <c r="E310" s="4" t="s">
        <v>244</v>
      </c>
      <c r="F310" s="8" t="str">
        <f>IF(OR(mgmt_az2_vmotion_network="Value Missing",mgmt_az2_vmotion_network="Value Missing"),"Value Missing",(CONCATENATE(mgmt_az2_vmotion_network,"/",VLOOKUP(mgmt_az2_vmotion_mask,table_mask_to_cidr,2,FALSE))))</f>
        <v>Value Missing</v>
      </c>
      <c r="H310" s="4" t="s">
        <v>1049</v>
      </c>
      <c r="I310" s="8" t="str">
        <f>IF(ISBLANK('Configure Workload Domain'!D242),"Value Missing",'Configure Workload Domain'!D242)</f>
        <v>Value Missing</v>
      </c>
    </row>
    <row r="311" spans="5:9" ht="20" customHeight="1" x14ac:dyDescent="0.2">
      <c r="E311" s="23" t="str">
        <f>CONCATENATE("Principal Storage Network ",wld_principal_storage_chosen)</f>
        <v>Principal Storage Network vSAN-ESA</v>
      </c>
      <c r="F311" s="8" t="str">
        <f>IF(OR(mgmt_az2_vsan_network="Value Missing",mgmt_az2_vsan_network="Value Missing"),"Value Missing",(CONCATENATE(mgmt_az2_vsan_network,"/",VLOOKUP(mgmt_az2_vsan_mask,table_mask_to_cidr,2,FALSE))))</f>
        <v>Value Missing</v>
      </c>
      <c r="H311" s="4" t="s">
        <v>244</v>
      </c>
      <c r="I311" s="8" t="str">
        <f>IF(OR(ISBLANK(input_wld_az2_vmotion_network),input_wld_az2_vmotion_network="Value Missing"),"Value Missing",(CONCATENATE(input_wld_az2_vmotion_network,"/",VLOOKUP(input_wld_az2_vmotion_mask,table_mask_to_cidr,2,FALSE))))</f>
        <v>Value Missing</v>
      </c>
    </row>
    <row r="312" spans="5:9" ht="20" customHeight="1" x14ac:dyDescent="0.2">
      <c r="E312" s="4" t="s">
        <v>1053</v>
      </c>
      <c r="F312" s="8" t="str">
        <f>IF(ISBLANK(input_mgmt_az2_host_overlay_cidr),"Value Missing",input_mgmt_az2_host_overlay_cidr)</f>
        <v>Value Missing</v>
      </c>
      <c r="H312" s="23" t="s">
        <v>1343</v>
      </c>
      <c r="I312" s="8" t="str">
        <f>IF(OR(ISBLANK(input_wld_az2_principal_storage_network),input_wld_az2_principal_storage_network="Value Missing"),"Value Missing",(CONCATENATE(input_wld_az2_principal_storage_network,"/",VLOOKUP(input_wld_az2_principal_storage_mask,table_mask_to_cidr,2,FALSE))))</f>
        <v>Value Missing</v>
      </c>
    </row>
    <row r="313" spans="5:9" ht="20" customHeight="1" x14ac:dyDescent="0.2">
      <c r="E313" s="4" t="s">
        <v>1055</v>
      </c>
      <c r="F313" s="8" t="str">
        <f>IF(OR(mgmt_az2_secondary_storage_network="Value Missing",mgmt_az2_secondary_storage_network="Value Missing"),"Value Missing",(CONCATENATE(mgmt_az2_secondary_storage_network,"/",VLOOKUP(mgmt_az2_vmotion_mask,table_mask_to_cidr,2,FALSE))))</f>
        <v>Value Missing</v>
      </c>
      <c r="H313" s="4" t="s">
        <v>1053</v>
      </c>
      <c r="I313" s="8" t="str">
        <f>IF(ISBLANK(input_wld_az2_host_overlay_cidr),"Value Missing",input_wld_az2_host_overlay_cidr)</f>
        <v>Value Missing</v>
      </c>
    </row>
    <row r="314" spans="5:9" ht="20" customHeight="1" x14ac:dyDescent="0.2">
      <c r="E314" s="4" t="s">
        <v>1058</v>
      </c>
      <c r="F314" s="8" t="str">
        <f>IF(ISBLANK(input_mgmt_az1_uplink01_cidr),"Value Missing",input_mgmt_az1_uplink01_cidr)</f>
        <v>Value Missing</v>
      </c>
      <c r="H314" s="4" t="s">
        <v>1055</v>
      </c>
      <c r="I314" s="8" t="str">
        <f>IF(OR(wld_az2_secondary_storage_network="Value Missing",wld_az2_secondary_storage_mask="Value Missing"),"Value Missing",(CONCATENATE(wld_az2_secondary_storage_network,"/",VLOOKUP(wld_az2_secondary_storage_mask,table_mask_to_cidr,2,FALSE))))</f>
        <v>Value Missing</v>
      </c>
    </row>
    <row r="315" spans="5:9" ht="20" customHeight="1" x14ac:dyDescent="0.2">
      <c r="E315" s="4" t="s">
        <v>1060</v>
      </c>
      <c r="F315" s="8" t="str">
        <f>IF(ISBLANK(input_mgmt_az1_uplink02_cidr),"Value Missing",input_mgmt_az1_uplink02_cidr)</f>
        <v>Value Missing</v>
      </c>
      <c r="H315" s="4" t="s">
        <v>706</v>
      </c>
      <c r="I315" s="8" t="str">
        <f>IF(OR(ISBLANK(wld_az2_storage_cluster_network),wld_az2_storage_cluster_mask="Value Missing"),"Value Missing",(CONCATENATE(wld_az2_storage_cluster_network,"/",VLOOKUP(wld_az2_storage_cluster_mask,table_mask_to_cidr,2,FALSE))))</f>
        <v>Value Missing</v>
      </c>
    </row>
    <row r="316" spans="5:9" ht="20" customHeight="1" x14ac:dyDescent="0.2">
      <c r="E316" s="4" t="s">
        <v>1062</v>
      </c>
      <c r="F316" s="8" t="str">
        <f>IF(ISBLANK(input_mgmt_az1_edge_overlay_cidr),"Value Missing",input_mgmt_az1_edge_overlay_cidr)</f>
        <v>Value Missing</v>
      </c>
      <c r="H316" s="4" t="s">
        <v>1058</v>
      </c>
      <c r="I316" s="8" t="str">
        <f>IF(ISBLANK(input_wld_az1_uplink01_cidr),"Value Missing",input_wld_az1_uplink01_cidr)</f>
        <v>Value Missing</v>
      </c>
    </row>
    <row r="317" spans="5:9" ht="20" customHeight="1" x14ac:dyDescent="0.2">
      <c r="E317" s="4" t="s">
        <v>1064</v>
      </c>
      <c r="F317" s="8" t="str">
        <f>IF(ISBLANK(input_mgmt_az1_rtep_overlay_cidr),"Value Missing",input_mgmt_az1_rtep_overlay_cidr)</f>
        <v>Value Missing</v>
      </c>
      <c r="H317" s="4" t="s">
        <v>1060</v>
      </c>
      <c r="I317" s="8" t="str">
        <f>IF(ISBLANK(input_wld_az1_uplink02_cidr),"Value Missing",input_wld_az1_uplink02_cidr)</f>
        <v>Value Missing</v>
      </c>
    </row>
    <row r="318" spans="5:9" ht="20" customHeight="1" x14ac:dyDescent="0.2">
      <c r="E318" s="4" t="s">
        <v>1066</v>
      </c>
      <c r="F318" s="8"/>
      <c r="H318" s="4" t="s">
        <v>1062</v>
      </c>
      <c r="I318" s="8" t="str">
        <f>IF(ISBLANK(input_wld_az1_edge_overlay_cidr),"Value Missing",input_wld_az1_edge_overlay_cidr)</f>
        <v>Value Missing</v>
      </c>
    </row>
    <row r="319" spans="5:9" ht="20" customHeight="1" x14ac:dyDescent="0.2">
      <c r="E319" s="6"/>
      <c r="F319" s="6"/>
      <c r="H319" s="4" t="s">
        <v>1064</v>
      </c>
      <c r="I319" s="8" t="str">
        <f>IF(ISBLANK(input_wld_az1_rtep_overlay_cidr),"Value Missing",input_wld_az1_rtep_overlay_cidr)</f>
        <v>Value Missing</v>
      </c>
    </row>
    <row r="320" spans="5:9" ht="20" customHeight="1" x14ac:dyDescent="0.2">
      <c r="E320" s="14" t="s">
        <v>1347</v>
      </c>
      <c r="F320" s="15"/>
      <c r="H320" s="4" t="s">
        <v>1066</v>
      </c>
      <c r="I320" s="8" t="str">
        <f>IF(ISBLANK(input_wld_az1_vrms_cidr),"Value Missing",input_wld_az1_vrms_cidr)</f>
        <v>Value Missing</v>
      </c>
    </row>
    <row r="321" spans="5:9" ht="20" customHeight="1" x14ac:dyDescent="0.2">
      <c r="E321" s="17" t="s">
        <v>254</v>
      </c>
      <c r="F321" s="20" t="s">
        <v>1342</v>
      </c>
      <c r="H321" s="6"/>
      <c r="I321" s="6"/>
    </row>
    <row r="322" spans="5:9" ht="20" customHeight="1" x14ac:dyDescent="0.2">
      <c r="E322" s="4" t="s">
        <v>1047</v>
      </c>
      <c r="F322" s="8"/>
      <c r="G322" s="33"/>
      <c r="H322" s="14" t="s">
        <v>1348</v>
      </c>
      <c r="I322" s="15"/>
    </row>
    <row r="323" spans="5:9" ht="20" customHeight="1" x14ac:dyDescent="0.2">
      <c r="E323" s="4" t="s">
        <v>1049</v>
      </c>
      <c r="F323" s="8" t="str">
        <f>IF(ISBLANK(input_mgmt_az2_mgmt_cidr),"Value Missing",LEFT(mgmt_az2_mgmt_cidr,(FIND("/",mgmt_az2_mgmt_cidr)-1)))</f>
        <v>Value Missing</v>
      </c>
      <c r="G323" s="33"/>
      <c r="H323" s="17" t="s">
        <v>254</v>
      </c>
      <c r="I323" s="18" t="s">
        <v>1346</v>
      </c>
    </row>
    <row r="324" spans="5:9" ht="20" customHeight="1" x14ac:dyDescent="0.2">
      <c r="E324" s="4" t="s">
        <v>244</v>
      </c>
      <c r="F324" s="8" t="str">
        <f>IF(ISBLANK(input_mgmt_az2_vmotion_network),"Value Missing",input_mgmt_az2_vmotion_network)</f>
        <v>Value Missing</v>
      </c>
      <c r="H324" s="4" t="s">
        <v>1047</v>
      </c>
      <c r="I324" s="8" t="s">
        <v>588</v>
      </c>
    </row>
    <row r="325" spans="5:9" ht="20" customHeight="1" x14ac:dyDescent="0.2">
      <c r="E325" s="23" t="str">
        <f>CONCATENATE("Principal Storage Network ",wld_principal_storage_chosen)</f>
        <v>Principal Storage Network vSAN-ESA</v>
      </c>
      <c r="F325" s="8" t="str">
        <f>IF(ISBLANK(input_mgmt_az2_vsan_network),"Value Missing",input_mgmt_az2_vsan_network)</f>
        <v>Value Missing</v>
      </c>
      <c r="H325" s="4" t="s">
        <v>1049</v>
      </c>
      <c r="I325" s="8" t="str">
        <f>IF(OR(ISBLANK(wld_az2_mgmt_cidr),wld_az2_mgmt_cidr="Value Missing"),"Value Missing",LEFT(wld_az2_mgmt_cidr,(FIND("/",wld_az2_mgmt_cidr)-1)))</f>
        <v>Value Missing</v>
      </c>
    </row>
    <row r="326" spans="5:9" ht="20" customHeight="1" x14ac:dyDescent="0.2">
      <c r="E326" s="4" t="s">
        <v>1053</v>
      </c>
      <c r="F326" s="8" t="str">
        <f>IF(OR(ISBLANK(mgmt_az2_host_overlay_cidr),mgmt_az2_host_overlay_cidr="Value Missing"),"Value Missing",LEFT(mgmt_az2_host_overlay_cidr,(FIND("/",mgmt_az2_host_overlay_cidr)-1)))</f>
        <v>Value Missing</v>
      </c>
      <c r="H326" s="4" t="s">
        <v>244</v>
      </c>
      <c r="I326" s="8" t="str">
        <f>IF(ISBLANK(input_wld_az2_vmotion_network),"Value Missing",input_wld_az2_vmotion_network)</f>
        <v>Value Missing</v>
      </c>
    </row>
    <row r="327" spans="5:9" ht="20" customHeight="1" x14ac:dyDescent="0.2">
      <c r="E327" s="4" t="s">
        <v>1055</v>
      </c>
      <c r="F327" s="8" t="str">
        <f>IF(ISBLANK(input_mgmt_az2_secondary_storage_network),"Value Missing",input_mgmt_az2_secondary_storage_network)</f>
        <v>Value Missing</v>
      </c>
      <c r="H327" s="23" t="s">
        <v>1343</v>
      </c>
      <c r="I327" s="8" t="str">
        <f>IF(ISBLANK(input_wld_az2_principal_storage_network),"Value Missing",input_wld_az2_principal_storage_network)</f>
        <v>Value Missing</v>
      </c>
    </row>
    <row r="328" spans="5:9" ht="20" customHeight="1" x14ac:dyDescent="0.2">
      <c r="E328" s="4" t="s">
        <v>1058</v>
      </c>
      <c r="F328" s="8" t="str">
        <f>IF(mgmt_az1_uplink01_cidr="Value Missing",mgmt_az1_uplink01_cidr,LEFT(mgmt_az1_uplink01_cidr,(FIND("/",mgmt_az1_uplink01_cidr)-1)))</f>
        <v>Value Missing</v>
      </c>
      <c r="H328" s="4" t="s">
        <v>1053</v>
      </c>
      <c r="I328" s="8" t="str">
        <f>IF(OR(ISBLANK(wld_az2_host_overlay_cidr),wld_az2_host_overlay_cidr="Value Missing"),"Value Missing",LEFT(wld_az2_host_overlay_cidr,(FIND("/",wld_az2_host_overlay_cidr)-1)))</f>
        <v>Value Missing</v>
      </c>
    </row>
    <row r="329" spans="5:9" ht="20" customHeight="1" x14ac:dyDescent="0.2">
      <c r="E329" s="4" t="s">
        <v>1060</v>
      </c>
      <c r="F329" s="8" t="str">
        <f>IF(mgmt_az1_uplink02_cidr="Value Missing",mgmt_az1_uplink02_cidr,LEFT(mgmt_az1_uplink02_cidr,(FIND("/",mgmt_az1_uplink02_cidr)-1)))</f>
        <v>Value Missing</v>
      </c>
      <c r="H329" s="4" t="s">
        <v>1055</v>
      </c>
      <c r="I329" s="2" t="str">
        <f>IF(ISBLANK(input_wld_az2_secondary_storage_network),"Value Missing",input_wld_az2_secondary_storage_network)</f>
        <v>Value Missing</v>
      </c>
    </row>
    <row r="330" spans="5:9" ht="20" customHeight="1" x14ac:dyDescent="0.2">
      <c r="E330" s="4" t="s">
        <v>1062</v>
      </c>
      <c r="F330" s="8" t="str">
        <f>IF(mgmt_az1_edge_overlay_cidr="Value Missing",mgmt_az1_edge_overlay_cidr,(LEFT(mgmt_az1_edge_overlay_cidr,(FIND("/",mgmt_az1_edge_overlay_cidr)-1))))</f>
        <v>Value Missing</v>
      </c>
      <c r="H330" s="4" t="s">
        <v>706</v>
      </c>
      <c r="I330" s="2" t="str">
        <f>IF(ISBLANK(input_wld_az2_storage_cluster_network),"Value Missing",input_wld_az2_storage_cluster_network)</f>
        <v>Value Missing</v>
      </c>
    </row>
    <row r="331" spans="5:9" ht="20" customHeight="1" x14ac:dyDescent="0.2">
      <c r="E331" s="4" t="s">
        <v>1064</v>
      </c>
      <c r="F331" s="8" t="str">
        <f>mgmt_az1_rtep_overlay_cidr</f>
        <v>Value Missing</v>
      </c>
      <c r="H331" s="4" t="s">
        <v>1058</v>
      </c>
      <c r="I331" s="8" t="str">
        <f>wld_az1_uplink01_network</f>
        <v>Value Missing</v>
      </c>
    </row>
    <row r="332" spans="5:9" ht="20" customHeight="1" x14ac:dyDescent="0.2">
      <c r="E332" s="4" t="s">
        <v>1066</v>
      </c>
      <c r="F332" s="8"/>
      <c r="H332" s="4" t="s">
        <v>1060</v>
      </c>
      <c r="I332" s="8" t="str">
        <f>wld_az1_uplink02_network</f>
        <v>Value Missing</v>
      </c>
    </row>
    <row r="333" spans="5:9" ht="20" customHeight="1" x14ac:dyDescent="0.2">
      <c r="E333" s="2"/>
      <c r="F333" s="2"/>
      <c r="H333" s="4" t="s">
        <v>1062</v>
      </c>
      <c r="I333" s="8" t="str">
        <f>wld_az1_edge_overlay_network</f>
        <v>Value Missing</v>
      </c>
    </row>
    <row r="334" spans="5:9" ht="20" customHeight="1" x14ac:dyDescent="0.2">
      <c r="E334" s="14" t="s">
        <v>1349</v>
      </c>
      <c r="F334" s="15"/>
      <c r="H334" s="4" t="s">
        <v>1064</v>
      </c>
      <c r="I334" s="8" t="str">
        <f>IF(ISBLANK(input_wld_az1_rtep_overlay_cidr),"Value Missing",input_wld_az1_rtep_overlay_cidr)</f>
        <v>Value Missing</v>
      </c>
    </row>
    <row r="335" spans="5:9" ht="20" customHeight="1" x14ac:dyDescent="0.2">
      <c r="E335" s="17" t="s">
        <v>254</v>
      </c>
      <c r="F335" s="20" t="s">
        <v>1342</v>
      </c>
      <c r="H335" s="4" t="s">
        <v>1066</v>
      </c>
      <c r="I335" s="8" t="str">
        <f>IF(ISBLANK(input_wld_az1_vrms_cidr),"Value Missing",input_wld_az1_vrms_cidr)</f>
        <v>Value Missing</v>
      </c>
    </row>
    <row r="336" spans="5:9" ht="20" customHeight="1" x14ac:dyDescent="0.2">
      <c r="E336" s="4" t="s">
        <v>1047</v>
      </c>
      <c r="F336" s="8"/>
    </row>
    <row r="337" spans="5:9" ht="20" customHeight="1" x14ac:dyDescent="0.2">
      <c r="E337" s="4" t="s">
        <v>1049</v>
      </c>
      <c r="F337" s="8" t="str">
        <f>IF(mgmt_az2_mgmt_cidr="Value Missing","Value Missing",VLOOKUP(INT(RIGHT(mgmt_az2_mgmt_cidr,LEN(mgmt_az2_mgmt_cidr)-FIND("/",mgmt_az2_mgmt_cidr))),table_cidr_to_mask,2,FALSE))</f>
        <v>Value Missing</v>
      </c>
      <c r="G337" s="33"/>
      <c r="H337" s="14" t="s">
        <v>1350</v>
      </c>
      <c r="I337" s="15"/>
    </row>
    <row r="338" spans="5:9" ht="20" customHeight="1" x14ac:dyDescent="0.2">
      <c r="E338" s="4" t="s">
        <v>244</v>
      </c>
      <c r="F338" s="8" t="str">
        <f>IF(ISBLANK(input_mgmt_az2_vmotion_mask),"Value Missing",input_mgmt_az2_vmotion_mask)</f>
        <v>Value Missing</v>
      </c>
      <c r="H338" s="17" t="s">
        <v>254</v>
      </c>
      <c r="I338" s="18" t="s">
        <v>1346</v>
      </c>
    </row>
    <row r="339" spans="5:9" ht="20" customHeight="1" x14ac:dyDescent="0.2">
      <c r="E339" s="23" t="str">
        <f>CONCATENATE("Principal Storage Network ",wld_principal_storage_chosen)</f>
        <v>Principal Storage Network vSAN-ESA</v>
      </c>
      <c r="F339" s="8" t="str">
        <f>IF(ISBLANK(input_mgmt_az2_vsan_mask),"Value Missing",input_mgmt_az2_vsan_mask)</f>
        <v>Value Missing</v>
      </c>
      <c r="H339" s="4" t="s">
        <v>1047</v>
      </c>
      <c r="I339" s="8" t="s">
        <v>588</v>
      </c>
    </row>
    <row r="340" spans="5:9" ht="20" customHeight="1" x14ac:dyDescent="0.2">
      <c r="E340" s="4" t="s">
        <v>1053</v>
      </c>
      <c r="F340" s="8" t="str">
        <f>IF(mgmt_az2_host_overlay_cidr="Value Missing","Value Missing",(VLOOKUP(INT(RIGHT(mgmt_az2_host_overlay_cidr,LEN(mgmt_az2_host_overlay_cidr)-FIND("/",mgmt_az2_host_overlay_cidr))),table_cidr_to_mask,2,FALSE)))</f>
        <v>Value Missing</v>
      </c>
      <c r="H340" s="4" t="s">
        <v>1049</v>
      </c>
      <c r="I340" s="8" t="str">
        <f>IF(wld_az2_mgmt_cidr="Value Missing","Value Missing",VLOOKUP(INT(RIGHT(wld_az2_mgmt_cidr,LEN(wld_az2_mgmt_cidr)-FIND("/",wld_az2_mgmt_cidr))),table_cidr_to_mask,2,FALSE))</f>
        <v>Value Missing</v>
      </c>
    </row>
    <row r="341" spans="5:9" ht="20" customHeight="1" x14ac:dyDescent="0.2">
      <c r="E341" s="4" t="s">
        <v>1055</v>
      </c>
      <c r="F341" s="8" t="str">
        <f>IF(ISBLANK(input_mgmt_az2_secondary_storage_mask),"Value Missing",input_mgmt_az2_secondary_storage_mask)</f>
        <v>Value Missing</v>
      </c>
      <c r="H341" s="4" t="s">
        <v>244</v>
      </c>
      <c r="I341" s="8" t="str">
        <f>IF(ISBLANK(input_wld_az2_vmotion_mask),"Value Missing",input_wld_az2_vmotion_mask)</f>
        <v>Value Missing</v>
      </c>
    </row>
    <row r="342" spans="5:9" ht="20" customHeight="1" x14ac:dyDescent="0.2">
      <c r="E342" s="4" t="s">
        <v>1058</v>
      </c>
      <c r="F342" s="8" t="str">
        <f>mgmt_az1_uplink01_mask</f>
        <v>Value Missing</v>
      </c>
      <c r="H342" s="23" t="s">
        <v>1343</v>
      </c>
      <c r="I342" s="8" t="str">
        <f>IF(ISBLANK(input_wld_az2_principal_storage_mask),"Value Missing",input_wld_az2_principal_storage_mask)</f>
        <v>Value Missing</v>
      </c>
    </row>
    <row r="343" spans="5:9" ht="20" customHeight="1" x14ac:dyDescent="0.2">
      <c r="E343" s="4" t="s">
        <v>1060</v>
      </c>
      <c r="F343" s="8" t="str">
        <f>mgmt_az1_uplink02_mask</f>
        <v>Value Missing</v>
      </c>
      <c r="H343" s="4" t="s">
        <v>1053</v>
      </c>
      <c r="I343" s="8" t="str">
        <f>IF(wld_az2_host_overlay_cidr="Value Missing","Value Missing",(VLOOKUP(INT(RIGHT(wld_az2_host_overlay_cidr,LEN(wld_az2_host_overlay_cidr)-FIND("/",wld_az2_host_overlay_cidr))),table_cidr_to_mask,2,FALSE)))</f>
        <v>Value Missing</v>
      </c>
    </row>
    <row r="344" spans="5:9" ht="20" customHeight="1" x14ac:dyDescent="0.2">
      <c r="E344" s="4" t="s">
        <v>1062</v>
      </c>
      <c r="F344" s="8" t="str">
        <f>mgmt_az1_edge_overlay_mask</f>
        <v>Value Missing</v>
      </c>
      <c r="H344" s="4" t="s">
        <v>1055</v>
      </c>
      <c r="I344" s="2">
        <f>input_wld_az2_secondary_storage_mask</f>
        <v>0</v>
      </c>
    </row>
    <row r="345" spans="5:9" ht="20" customHeight="1" x14ac:dyDescent="0.2">
      <c r="E345" s="4" t="s">
        <v>1064</v>
      </c>
      <c r="F345" s="8"/>
      <c r="H345" s="4" t="s">
        <v>706</v>
      </c>
      <c r="I345" s="2" t="str">
        <f>IF(ISBLANK(input_wld_az2_storage_cluster_mask),"Value Missing",input_wld_az2_storage_cluster_mask)</f>
        <v>Value Missing</v>
      </c>
    </row>
    <row r="346" spans="5:9" ht="20" customHeight="1" x14ac:dyDescent="0.2">
      <c r="E346" s="4" t="s">
        <v>1066</v>
      </c>
      <c r="F346" s="8" t="str">
        <f>IF(mgmt_az2_mgmt_cidr="Value Missing","Value Missing",VLOOKUP(INT(RIGHT(mgmt_az2_mgmt_cidr,LEN(mgmt_az2_mgmt_cidr)-FIND("/",mgmt_az2_mgmt_cidr))),table_cidr_to_mask,2,FALSE))</f>
        <v>Value Missing</v>
      </c>
      <c r="H346" s="4" t="s">
        <v>1058</v>
      </c>
      <c r="I346" s="8" t="str">
        <f>wld_az1_uplink01_mask</f>
        <v>Value Missing</v>
      </c>
    </row>
    <row r="347" spans="5:9" ht="20" customHeight="1" x14ac:dyDescent="0.2">
      <c r="E347" s="2"/>
      <c r="F347" s="2"/>
      <c r="H347" s="4" t="s">
        <v>1060</v>
      </c>
      <c r="I347" s="8" t="str">
        <f>wld_az1_uplink02_mask</f>
        <v>Value Missing</v>
      </c>
    </row>
    <row r="348" spans="5:9" ht="20" customHeight="1" x14ac:dyDescent="0.2">
      <c r="E348" s="14" t="s">
        <v>1351</v>
      </c>
      <c r="F348" s="15"/>
      <c r="H348" s="4" t="s">
        <v>1062</v>
      </c>
      <c r="I348" s="8" t="str">
        <f>wld_az1_edge_overlay_mask</f>
        <v>Value Missing</v>
      </c>
    </row>
    <row r="349" spans="5:9" ht="20" customHeight="1" x14ac:dyDescent="0.2">
      <c r="E349" s="17" t="s">
        <v>254</v>
      </c>
      <c r="F349" s="18" t="s">
        <v>1342</v>
      </c>
      <c r="H349" s="4" t="s">
        <v>1064</v>
      </c>
      <c r="I349" s="8" t="str">
        <f>IF(ISBLANK(input_wld_az1_rtep_overlay_cidr),"Value Missing",input_wld_az1_rtep_overlay_cidr)</f>
        <v>Value Missing</v>
      </c>
    </row>
    <row r="350" spans="5:9" ht="20" customHeight="1" x14ac:dyDescent="0.2">
      <c r="E350" s="4" t="s">
        <v>1047</v>
      </c>
      <c r="F350" s="8"/>
      <c r="H350" s="4" t="s">
        <v>1066</v>
      </c>
      <c r="I350" s="8" t="str">
        <f>IF(ISBLANK(input_wld_az1_vrms_cidr),"Value Missing",input_wld_az1_vrms_cidr)</f>
        <v>Value Missing</v>
      </c>
    </row>
    <row r="351" spans="5:9" ht="20" customHeight="1" x14ac:dyDescent="0.2">
      <c r="E351" s="4" t="s">
        <v>1049</v>
      </c>
      <c r="F351" s="8" t="str">
        <f>IF(ISBLANK('Configure Management Domain'!D297),"Value Missing",'Configure Management Domain'!D297)</f>
        <v>Value Missing</v>
      </c>
      <c r="G351" s="33"/>
    </row>
    <row r="352" spans="5:9" ht="20" customHeight="1" x14ac:dyDescent="0.2">
      <c r="E352" s="4" t="s">
        <v>244</v>
      </c>
      <c r="F352" s="8" t="str">
        <f>IF(ISBLANK(input_mgmt_az2_vmotion_gateway_ip),"Value Missing",input_mgmt_az2_vmotion_gateway_ip)</f>
        <v>Value Missing</v>
      </c>
      <c r="H352" s="14" t="s">
        <v>1352</v>
      </c>
      <c r="I352" s="15"/>
    </row>
    <row r="353" spans="2:37" ht="20" customHeight="1" x14ac:dyDescent="0.2">
      <c r="E353" s="23" t="str">
        <f>CONCATENATE("Principal Storage Network ",wld_principal_storage_chosen)</f>
        <v>Principal Storage Network vSAN-ESA</v>
      </c>
      <c r="F353" s="8" t="str">
        <f>IF(ISBLANK('Configure Management Domain'!D335),"Value Missing",'Configure Management Domain'!D335)</f>
        <v>Value Missing</v>
      </c>
      <c r="H353" s="17" t="s">
        <v>254</v>
      </c>
      <c r="I353" s="18" t="s">
        <v>1346</v>
      </c>
    </row>
    <row r="354" spans="2:37" ht="20" customHeight="1" x14ac:dyDescent="0.2">
      <c r="B354" s="2"/>
      <c r="C354" s="2"/>
      <c r="E354" s="4" t="s">
        <v>1053</v>
      </c>
      <c r="F354" s="8" t="str">
        <f>IF(ISBLANK('Configure Management Domain'!D437),"Value Missing",'Configure Management Domain'!D437)</f>
        <v>Value Missing</v>
      </c>
      <c r="H354" s="4" t="s">
        <v>1047</v>
      </c>
      <c r="I354" s="8" t="s">
        <v>588</v>
      </c>
    </row>
    <row r="355" spans="2:37" ht="20" customHeight="1" x14ac:dyDescent="0.2">
      <c r="B355" s="2"/>
      <c r="C355" s="2"/>
      <c r="E355" s="4" t="s">
        <v>1055</v>
      </c>
      <c r="F355" s="8" t="str">
        <f>IF(ISBLANK(input_mgmt_az2_secondary_storage_gateway_ip),"Value Missing",input_mgmt_az2_secondary_storage_gateway_ip)</f>
        <v>Value Missing</v>
      </c>
      <c r="H355" s="4" t="s">
        <v>1049</v>
      </c>
      <c r="I355" s="8" t="str">
        <f>IF(ISBLANK('Configure Workload Domain'!D241),"Value Missing",'Configure Workload Domain'!D241)</f>
        <v>Value Missing</v>
      </c>
    </row>
    <row r="356" spans="2:37" ht="20" customHeight="1" x14ac:dyDescent="0.2">
      <c r="B356" s="2"/>
      <c r="C356" s="2"/>
      <c r="E356" s="4" t="s">
        <v>1058</v>
      </c>
      <c r="F356" s="8" t="str">
        <f>IF(ISBLANK(mgmt_az1_uplink01_gateway_ip),"Value Missing",mgmt_az1_uplink01_gateway_ip)</f>
        <v>Value Missing</v>
      </c>
      <c r="H356" s="4" t="s">
        <v>244</v>
      </c>
      <c r="I356" s="8" t="str">
        <f>IF(ISBLANK(input_wld_az2_vmotion_gateway_ip),"Value Missing",input_wld_az2_vmotion_gateway_ip)</f>
        <v>Value Missing</v>
      </c>
    </row>
    <row r="357" spans="2:37" ht="20" customHeight="1" x14ac:dyDescent="0.2">
      <c r="B357" s="2"/>
      <c r="C357" s="2"/>
      <c r="E357" s="4" t="s">
        <v>1060</v>
      </c>
      <c r="F357" s="8" t="str">
        <f>IF(ISBLANK(input_mgmt_az1_uplink02_gateway_ip),"Value Missing",mgmt_az1_uplink02_gateway_ip)</f>
        <v>Value Missing</v>
      </c>
      <c r="H357" s="23" t="s">
        <v>1343</v>
      </c>
      <c r="I357" s="8" t="str">
        <f>IF(ISBLANK(input_wld_az2_principal_storage_gateway_ip),"Value Missing",input_wld_az2_principal_storage_gateway_ip)</f>
        <v>Value Missing</v>
      </c>
    </row>
    <row r="358" spans="2:37" ht="20" customHeight="1" x14ac:dyDescent="0.2">
      <c r="B358" s="2"/>
      <c r="C358" s="2"/>
      <c r="E358" s="4" t="s">
        <v>1062</v>
      </c>
      <c r="F358" s="8" t="str">
        <f>IF(ISBLANK(input_mgmt_az1_edge_overlay_gateway_ip),"Value Missing",input_mgmt_az1_edge_overlay_gateway_ip)</f>
        <v>Value Missing</v>
      </c>
      <c r="H358" s="4" t="s">
        <v>1053</v>
      </c>
      <c r="I358" s="8" t="str">
        <f>IF(ISBLANK(input_wld_az2_host_overlay_gateway_ip),"Value Missing",input_wld_az2_host_overlay_gateway_ip)</f>
        <v>Value Missing</v>
      </c>
    </row>
    <row r="359" spans="2:37" ht="20" customHeight="1" x14ac:dyDescent="0.2">
      <c r="B359" s="2"/>
      <c r="C359" s="2"/>
      <c r="E359" s="4" t="s">
        <v>1064</v>
      </c>
      <c r="F359" s="8" t="str">
        <f>IF(ISBLANK(input_mgmt_az1_rtep_overlay_gateway_ip),"Value Missing",input_mgmt_az1_rtep_overlay_gateway_ip)</f>
        <v>Value Missing</v>
      </c>
      <c r="H359" s="4" t="s">
        <v>1055</v>
      </c>
      <c r="I359" s="8" t="str">
        <f>IF(ISBLANK(input_wld_az2_secondary_storage_gateway_ip),"Value Missing",input_wld_az2_secondary_storage_gateway_ip)</f>
        <v>Value Missing</v>
      </c>
    </row>
    <row r="360" spans="2:37" ht="20" customHeight="1" x14ac:dyDescent="0.2">
      <c r="B360" s="2"/>
      <c r="C360" s="2"/>
      <c r="E360" s="4" t="s">
        <v>1066</v>
      </c>
      <c r="F360" s="8"/>
      <c r="H360" s="4" t="s">
        <v>706</v>
      </c>
      <c r="I360" s="8" t="str">
        <f>IF(ISBLANK(input_wld_az2_storage_cluster_gateway_ip),"Value Missing",input_wld_az2_storage_cluster_gateway_ip)</f>
        <v>Value Missing</v>
      </c>
    </row>
    <row r="361" spans="2:37" ht="20" customHeight="1" x14ac:dyDescent="0.2">
      <c r="B361" s="2"/>
      <c r="C361" s="2"/>
      <c r="E361" s="2"/>
      <c r="F361" s="2"/>
      <c r="G361" s="33"/>
      <c r="H361" s="4" t="s">
        <v>1058</v>
      </c>
      <c r="I361" s="8" t="str">
        <f>wld_az1_uplink01_gateway_ip</f>
        <v>Value Missing</v>
      </c>
    </row>
    <row r="362" spans="2:37" ht="20" customHeight="1" x14ac:dyDescent="0.2">
      <c r="B362" s="2"/>
      <c r="C362" s="2"/>
      <c r="E362" s="14" t="s">
        <v>1353</v>
      </c>
      <c r="F362" s="15"/>
      <c r="H362" s="4" t="s">
        <v>1060</v>
      </c>
      <c r="I362" s="8" t="str">
        <f>wld_az1_uplink02_gateway_ip</f>
        <v>Value Missing</v>
      </c>
    </row>
    <row r="363" spans="2:37" ht="20" customHeight="1" x14ac:dyDescent="0.2">
      <c r="B363" s="2"/>
      <c r="C363" s="2"/>
      <c r="E363" s="17" t="s">
        <v>254</v>
      </c>
      <c r="F363" s="18" t="s">
        <v>1342</v>
      </c>
      <c r="H363" s="4" t="s">
        <v>1062</v>
      </c>
      <c r="I363" s="8" t="str">
        <f>wld_az1_edge_overlay_gateway_ip</f>
        <v>Value Missing</v>
      </c>
    </row>
    <row r="364" spans="2:37" ht="20" customHeight="1" x14ac:dyDescent="0.2">
      <c r="B364" s="2"/>
      <c r="C364" s="2"/>
      <c r="E364" s="4" t="s">
        <v>1047</v>
      </c>
      <c r="F364" s="8"/>
      <c r="H364" s="4" t="s">
        <v>1064</v>
      </c>
      <c r="I364" s="8" t="str">
        <f>wld_az1_rtep_overlay_gateway_ip</f>
        <v>Value Missing</v>
      </c>
    </row>
    <row r="365" spans="2:37" ht="20" customHeight="1" x14ac:dyDescent="0.2">
      <c r="B365" s="2"/>
      <c r="C365" s="2"/>
      <c r="E365" s="4" t="s">
        <v>1049</v>
      </c>
      <c r="F365" s="8" t="str">
        <f>IF(ISBLANK('Configure Management Domain'!D299),"Value Missing",'Configure Management Domain'!D299)</f>
        <v>Value Missing</v>
      </c>
      <c r="H365" s="4" t="s">
        <v>1066</v>
      </c>
      <c r="I365" s="8" t="str">
        <f>wld_az1_vrms_gateway_ip</f>
        <v>Value Missing</v>
      </c>
    </row>
    <row r="366" spans="2:37" ht="20" customHeight="1" x14ac:dyDescent="0.2">
      <c r="B366" s="2"/>
      <c r="C366" s="2"/>
      <c r="E366" s="4" t="s">
        <v>244</v>
      </c>
      <c r="F366" s="8" t="str">
        <f>IF(ISBLANK('Configure Management Domain'!D324),"Value Missing",'Configure Management Domain'!D324)</f>
        <v>Value Missing</v>
      </c>
    </row>
    <row r="367" spans="2:37" ht="20" customHeight="1" x14ac:dyDescent="0.2">
      <c r="B367" s="2"/>
      <c r="C367" s="2"/>
      <c r="E367" s="23" t="str">
        <f>CONCATENATE("Principal Storage Network ",wld_principal_storage_chosen)</f>
        <v>Principal Storage Network vSAN-ESA</v>
      </c>
      <c r="F367" s="8" t="str">
        <f>IF(ISBLANK('Configure Management Domain'!D332),"Value Missing",'Configure Management Domain'!D332)</f>
        <v>Value Missing</v>
      </c>
      <c r="H367" s="14" t="s">
        <v>1354</v>
      </c>
      <c r="I367" s="15"/>
    </row>
    <row r="368" spans="2:37" s="2" customFormat="1" ht="20" customHeight="1" x14ac:dyDescent="0.2">
      <c r="E368" s="4" t="s">
        <v>1053</v>
      </c>
      <c r="F368" s="8" t="str">
        <f>IF(ISBLANK(input_mgmt_az2_host_overlay_mtu),"Value Missing",input_mgmt_az2_host_overlay_mtu)</f>
        <v>Value Missing</v>
      </c>
      <c r="G368" s="9"/>
      <c r="H368" s="17" t="s">
        <v>254</v>
      </c>
      <c r="I368" s="18" t="s">
        <v>1346</v>
      </c>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row>
    <row r="369" spans="5:37" s="2" customFormat="1" ht="20" customHeight="1" x14ac:dyDescent="0.2">
      <c r="E369" s="4" t="s">
        <v>1055</v>
      </c>
      <c r="F369" s="8" t="str">
        <f>IF(ISBLANK(input_mgmt_az2_secondary_storage_mtu),"Value Missing",input_mgmt_az2_secondary_storage_mtu)</f>
        <v>Value Missing</v>
      </c>
      <c r="G369" s="9"/>
      <c r="H369" s="4" t="s">
        <v>1047</v>
      </c>
      <c r="I369" s="8"/>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row>
    <row r="370" spans="5:37" s="2" customFormat="1" ht="20" customHeight="1" x14ac:dyDescent="0.2">
      <c r="E370" s="4" t="s">
        <v>1058</v>
      </c>
      <c r="F370" s="8" t="str">
        <f>IF(ISBLANK(input_mgmt_az1_uplink01_mtu),"Value Missing",input_mgmt_az1_uplink01_mtu)</f>
        <v>Value Missing</v>
      </c>
      <c r="G370" s="9"/>
      <c r="H370" s="4" t="s">
        <v>1049</v>
      </c>
      <c r="I370" s="8" t="str">
        <f>IF(ISBLANK('Configure Workload Domain'!D243),"Value Missing",'Configure Workload Domain'!D243)</f>
        <v>Value Missing</v>
      </c>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row>
    <row r="371" spans="5:37" s="2" customFormat="1" ht="20" customHeight="1" x14ac:dyDescent="0.2">
      <c r="E371" s="4" t="s">
        <v>1060</v>
      </c>
      <c r="F371" s="8" t="str">
        <f>IF(ISBLANK(input_mgmt_az1_uplink02_mtu),"Value Missing",input_mgmt_az1_uplink02_mtu)</f>
        <v>Value Missing</v>
      </c>
      <c r="G371" s="9"/>
      <c r="H371" s="4" t="s">
        <v>244</v>
      </c>
      <c r="I371" s="8" t="str">
        <f>IF(ISBLANK(input_wld_az2_vmotion_mtu),"Value Missing",input_wld_az2_vmotion_mtu)</f>
        <v>Value Missing</v>
      </c>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row>
    <row r="372" spans="5:37" s="2" customFormat="1" ht="20" customHeight="1" x14ac:dyDescent="0.2">
      <c r="E372" s="4" t="s">
        <v>1062</v>
      </c>
      <c r="F372" s="8" t="s">
        <v>588</v>
      </c>
      <c r="G372" s="9"/>
      <c r="H372" s="23" t="s">
        <v>1343</v>
      </c>
      <c r="I372" s="8" t="str">
        <f>IF(ISBLANK(input_wld_az2_principal_storage_mtu),"Value Missing",input_wld_az2_principal_storage_mtu)</f>
        <v>Value Missing</v>
      </c>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row>
    <row r="373" spans="5:37" s="2" customFormat="1" ht="20" customHeight="1" x14ac:dyDescent="0.2">
      <c r="E373" s="4" t="s">
        <v>1064</v>
      </c>
      <c r="F373" s="8"/>
      <c r="G373" s="9"/>
      <c r="H373" s="4" t="s">
        <v>1053</v>
      </c>
      <c r="I373" s="8" t="str">
        <f>IF(ISBLANK(input_wld_az2_host_overlay_mtu),"Value Missing",input_wld_az2_host_overlay_mtu)</f>
        <v>Value Missing</v>
      </c>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row>
    <row r="374" spans="5:37" s="2" customFormat="1" ht="20" customHeight="1" x14ac:dyDescent="0.2">
      <c r="E374" s="4" t="s">
        <v>1066</v>
      </c>
      <c r="F374" s="8"/>
      <c r="G374" s="33"/>
      <c r="H374" s="4" t="s">
        <v>1055</v>
      </c>
      <c r="I374" s="8" t="str">
        <f>IF(ISBLANK('Configure Workload Domain'!D285),"Value Missing",'Configure Workload Domain'!D285)</f>
        <v>Value Missing</v>
      </c>
      <c r="J374" s="21"/>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row>
    <row r="375" spans="5:37" s="2" customFormat="1" ht="20" customHeight="1" x14ac:dyDescent="0.2">
      <c r="G375" s="9"/>
      <c r="H375" s="4" t="s">
        <v>706</v>
      </c>
      <c r="I375" s="8" t="str">
        <f>IF(ISBLANK(input_wld_az2_storage_cluster_mtu),"Value Missing",input_wld_az2_storage_cluster_mtu)</f>
        <v>Value Missing</v>
      </c>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row>
    <row r="376" spans="5:37" s="2" customFormat="1" ht="20" customHeight="1" x14ac:dyDescent="0.2">
      <c r="E376" s="14" t="s">
        <v>1355</v>
      </c>
      <c r="F376" s="15"/>
      <c r="G376" s="9"/>
      <c r="H376" s="4" t="s">
        <v>1058</v>
      </c>
      <c r="I376" s="8" t="str">
        <f>IF(ISBLANK(input_wld_az1_uplink01_mtu),"Value Missing",input_wld_az1_uplink01_mtu)</f>
        <v>Value Missing</v>
      </c>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row>
    <row r="377" spans="5:37" s="2" customFormat="1" ht="20" customHeight="1" x14ac:dyDescent="0.2">
      <c r="E377" s="17" t="s">
        <v>254</v>
      </c>
      <c r="F377" s="20" t="s">
        <v>1342</v>
      </c>
      <c r="G377" s="9"/>
      <c r="H377" s="4" t="s">
        <v>1060</v>
      </c>
      <c r="I377" s="8" t="str">
        <f>IF(ISBLANK(input_wld_az1_uplink02_mtu),"Value Missing",input_wld_az1_uplink02_mtu)</f>
        <v>Value Missing</v>
      </c>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row>
    <row r="378" spans="5:37" s="2" customFormat="1" ht="20" customHeight="1" x14ac:dyDescent="0.2">
      <c r="E378" s="4" t="s">
        <v>1029</v>
      </c>
      <c r="F378" s="8" t="str">
        <f>mgmt_en_asn</f>
        <v>Value Missing</v>
      </c>
      <c r="G378" s="9"/>
      <c r="H378" s="4" t="s">
        <v>1062</v>
      </c>
      <c r="I378" s="8" t="str">
        <f>wld_az1_edge_overlay_mtu</f>
        <v>N/A</v>
      </c>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row>
    <row r="379" spans="5:37" s="2" customFormat="1" ht="20" customHeight="1" x14ac:dyDescent="0.2">
      <c r="E379" s="4" t="s">
        <v>165</v>
      </c>
      <c r="F379" s="8" t="str">
        <f>IF(ISBLANK('Configure Management Domain'!D455),"Value Missing",'Configure Management Domain'!D455)</f>
        <v>Value Missing</v>
      </c>
      <c r="G379" s="9"/>
      <c r="H379" s="4" t="s">
        <v>1064</v>
      </c>
      <c r="I379" s="8">
        <f>wld_az1_rtep_overlay_mtu</f>
        <v>0</v>
      </c>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row>
    <row r="380" spans="5:37" s="2" customFormat="1" ht="20" customHeight="1" x14ac:dyDescent="0.2">
      <c r="E380" s="4" t="s">
        <v>166</v>
      </c>
      <c r="F380" s="8" t="str">
        <f>IF(ISBLANK('Configure Management Domain'!D456),"Value Missing",'Configure Management Domain'!D456)</f>
        <v>Value Missing</v>
      </c>
      <c r="G380" s="9"/>
      <c r="H380" s="4" t="s">
        <v>1066</v>
      </c>
      <c r="I380" s="8" t="str">
        <f>wld_az1_vrms_mtu</f>
        <v>Value Missing</v>
      </c>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row>
    <row r="381" spans="5:37" s="2" customFormat="1" ht="20" customHeight="1" x14ac:dyDescent="0.2">
      <c r="E381" s="4" t="s">
        <v>167</v>
      </c>
      <c r="F381" s="8" t="str">
        <f>IF(ISBLANK(input_mgmt_az2_tor1_peer_bgp_password),"Value Missing",input_mgmt_az2_tor1_peer_bgp_password)</f>
        <v>Value Missing</v>
      </c>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row>
    <row r="382" spans="5:37" s="2" customFormat="1" ht="20" customHeight="1" x14ac:dyDescent="0.2">
      <c r="E382" s="4" t="s">
        <v>168</v>
      </c>
      <c r="F382" s="8" t="str">
        <f>IF(ISBLANK('Configure Management Domain'!D460),"Value Missing",'Configure Management Domain'!D460)</f>
        <v>Value Missing</v>
      </c>
      <c r="G382" s="9"/>
      <c r="H382" s="14" t="s">
        <v>1356</v>
      </c>
      <c r="I382" s="15"/>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row>
    <row r="383" spans="5:37" s="2" customFormat="1" ht="20" customHeight="1" x14ac:dyDescent="0.2">
      <c r="E383" s="4" t="s">
        <v>169</v>
      </c>
      <c r="F383" s="8" t="str">
        <f>IF(ISBLANK('Configure Management Domain'!D463),"Value Missing",'Configure Management Domain'!D463)</f>
        <v>Value Missing</v>
      </c>
      <c r="G383" s="9"/>
      <c r="H383" s="17" t="s">
        <v>254</v>
      </c>
      <c r="I383" s="20" t="s">
        <v>1342</v>
      </c>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row>
    <row r="384" spans="5:37" s="2" customFormat="1" ht="20" customHeight="1" x14ac:dyDescent="0.2">
      <c r="E384" s="4" t="s">
        <v>170</v>
      </c>
      <c r="F384" s="8" t="str">
        <f>IF(ISBLANK('Configure Management Domain'!D464),"Value Missing",'Configure Management Domain'!D464)</f>
        <v>Value Missing</v>
      </c>
      <c r="G384" s="9"/>
      <c r="H384" s="4" t="s">
        <v>1029</v>
      </c>
      <c r="I384" s="8" t="str">
        <f>wld_en_asn</f>
        <v>Value Missing</v>
      </c>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row>
    <row r="385" spans="2:37" s="2" customFormat="1" ht="20" customHeight="1" x14ac:dyDescent="0.2">
      <c r="E385" s="7"/>
      <c r="F385" s="7"/>
      <c r="G385" s="9"/>
      <c r="H385" s="4" t="s">
        <v>165</v>
      </c>
      <c r="I385" s="8" t="str">
        <f>IF(ISBLANK('Configure Workload Domain'!D416),"Value Missing",'Configure Workload Domain'!D416)</f>
        <v>Value Missing</v>
      </c>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row>
    <row r="386" spans="2:37" s="2" customFormat="1" ht="20" customHeight="1" x14ac:dyDescent="0.2">
      <c r="E386" s="14" t="s">
        <v>1357</v>
      </c>
      <c r="F386" s="15"/>
      <c r="G386" s="9"/>
      <c r="H386" s="4" t="s">
        <v>166</v>
      </c>
      <c r="I386" s="8" t="str">
        <f>IF(ISBLANK('Configure Workload Domain'!D417),"Value Missing",'Configure Workload Domain'!D417)</f>
        <v>Value Missing</v>
      </c>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row>
    <row r="387" spans="2:37" s="2" customFormat="1" ht="20" customHeight="1" x14ac:dyDescent="0.2">
      <c r="E387" s="17" t="s">
        <v>254</v>
      </c>
      <c r="F387" s="20" t="s">
        <v>1346</v>
      </c>
      <c r="G387" s="33"/>
      <c r="H387" s="4" t="s">
        <v>167</v>
      </c>
      <c r="I387" s="8" t="str">
        <f>IF(ISBLANK('Configure Workload Domain'!D420),"Value Missing",'Configure Workload Domain'!D420)</f>
        <v>Value Missing</v>
      </c>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row>
    <row r="388" spans="2:37" s="2" customFormat="1" ht="20" customHeight="1" x14ac:dyDescent="0.2">
      <c r="E388" s="4" t="s">
        <v>1047</v>
      </c>
      <c r="F388" s="8"/>
      <c r="G388" s="9"/>
      <c r="H388" s="4" t="s">
        <v>168</v>
      </c>
      <c r="I388" s="8" t="str">
        <f>IF(ISBLANK('Configure Workload Domain'!D421),"Value Missing",'Configure Workload Domain'!D421)</f>
        <v>Value Missing</v>
      </c>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row>
    <row r="389" spans="2:37" s="2" customFormat="1" ht="20" customHeight="1" x14ac:dyDescent="0.2">
      <c r="E389" s="4" t="s">
        <v>1049</v>
      </c>
      <c r="F389" s="8" t="str">
        <f>IF('Value Reference Tables - MR'!$F126="Value Missing","Value Missing",CONCATENATE("az2_",'Value Reference Tables - MR'!$F126))</f>
        <v>Value Missing</v>
      </c>
      <c r="G389" s="9"/>
      <c r="H389" s="4" t="s">
        <v>169</v>
      </c>
      <c r="I389" s="8" t="str">
        <f>IF(ISBLANK('Configure Workload Domain'!D422),"Value Missing",'Configure Workload Domain'!D422)</f>
        <v>Value Missing</v>
      </c>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row>
    <row r="390" spans="2:37" s="2" customFormat="1" ht="20" customHeight="1" x14ac:dyDescent="0.2">
      <c r="E390" s="4" t="s">
        <v>244</v>
      </c>
      <c r="F390" s="8" t="str">
        <f>IF('Value Reference Tables - MR'!$F127="Value Missing","Value Missing",CONCATENATE("az2_",'Value Reference Tables - MR'!$F127))</f>
        <v>Value Missing</v>
      </c>
      <c r="G390" s="9"/>
      <c r="H390" s="4" t="s">
        <v>170</v>
      </c>
      <c r="I390" s="8" t="str">
        <f>IF(ISBLANK('Configure Workload Domain'!D425),"Value Missing",'Configure Workload Domain'!D425)</f>
        <v>Value Missing</v>
      </c>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row>
    <row r="391" spans="2:37" s="2" customFormat="1" ht="20" customHeight="1" x14ac:dyDescent="0.2">
      <c r="E391" s="4" t="s">
        <v>250</v>
      </c>
      <c r="F391" s="8" t="str">
        <f>IF('Value Reference Tables - MR'!$F128="Value Missing","Value Missing",CONCATENATE("az2_",'Value Reference Tables - MR'!$F128))</f>
        <v>Value Missing</v>
      </c>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row>
    <row r="392" spans="2:37" s="2" customFormat="1" ht="20" customHeight="1" x14ac:dyDescent="0.2">
      <c r="E392" s="4" t="s">
        <v>1053</v>
      </c>
      <c r="F392" s="8" t="str">
        <f>mgmt_az1_host_overlay_pg</f>
        <v>N/A</v>
      </c>
      <c r="G392" s="9"/>
      <c r="H392" s="14" t="s">
        <v>1358</v>
      </c>
      <c r="I392" s="15"/>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row>
    <row r="393" spans="2:37" s="2" customFormat="1" ht="20" customHeight="1" x14ac:dyDescent="0.2">
      <c r="E393" s="4" t="s">
        <v>1066</v>
      </c>
      <c r="F393" s="8"/>
      <c r="G393" s="9"/>
      <c r="H393" s="17" t="s">
        <v>254</v>
      </c>
      <c r="I393" s="20" t="s">
        <v>1346</v>
      </c>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row>
    <row r="394" spans="2:37" s="2" customFormat="1" ht="20" customHeight="1" x14ac:dyDescent="0.2">
      <c r="E394" s="4" t="s">
        <v>1058</v>
      </c>
      <c r="F394" s="8" t="str">
        <f>mgmt_cl01_az1_uplink01_pg</f>
        <v>Value Missing</v>
      </c>
      <c r="G394" s="33"/>
      <c r="H394" s="4" t="s">
        <v>1047</v>
      </c>
      <c r="I394" s="41"/>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row>
    <row r="395" spans="2:37" s="2" customFormat="1" ht="20" customHeight="1" x14ac:dyDescent="0.2">
      <c r="E395" s="4" t="s">
        <v>1060</v>
      </c>
      <c r="F395" s="8" t="str">
        <f>mgmt_cl01_az1_uplink02_pg</f>
        <v>Value Missing</v>
      </c>
      <c r="G395" s="33"/>
      <c r="H395" s="4" t="s">
        <v>1049</v>
      </c>
      <c r="I395" s="8" t="str">
        <f>IF('Value Reference Tables - MR'!$I126="Value Missing","Value Missing",CONCATENATE("az2_",'Value Reference Tables - MR'!$I126))</f>
        <v>Value Missing</v>
      </c>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row>
    <row r="396" spans="2:37" s="2" customFormat="1" ht="20" customHeight="1" x14ac:dyDescent="0.2">
      <c r="E396" s="23" t="s">
        <v>1062</v>
      </c>
      <c r="F396" s="8" t="str">
        <f>mgmt_az1_edge_overlay_pg</f>
        <v>N/A</v>
      </c>
      <c r="G396" s="9"/>
      <c r="H396" s="4" t="s">
        <v>244</v>
      </c>
      <c r="I396" s="8" t="str">
        <f>IF('Value Reference Tables - MR'!$I127="Value Missing","Value Missing",CONCATENATE("az2_",'Value Reference Tables - MR'!$I127))</f>
        <v>Value Missing</v>
      </c>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row>
    <row r="397" spans="2:37" s="2" customFormat="1" ht="20" customHeight="1" x14ac:dyDescent="0.2">
      <c r="E397" s="4" t="s">
        <v>1156</v>
      </c>
      <c r="F397" s="8" t="str">
        <f>mgmt_az1_rtep_overlay_pg</f>
        <v>N/A</v>
      </c>
      <c r="G397" s="9"/>
      <c r="H397" s="4" t="s">
        <v>250</v>
      </c>
      <c r="I397" s="8" t="str">
        <f>IF('Value Reference Tables - MR'!$I128="Value Missing","Value Missing",CONCATENATE("az2_",'Value Reference Tables - MR'!$I128))</f>
        <v>Value Missing</v>
      </c>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row>
    <row r="398" spans="2:37" s="2" customFormat="1" ht="20" customHeight="1" x14ac:dyDescent="0.2">
      <c r="G398" s="9"/>
      <c r="H398" s="4" t="s">
        <v>1053</v>
      </c>
      <c r="I398" s="8" t="str">
        <f>mgmt_az2_host_overlay_pg</f>
        <v>N/A</v>
      </c>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row>
    <row r="399" spans="2:37" s="2" customFormat="1" ht="20" customHeight="1" x14ac:dyDescent="0.2">
      <c r="E399" s="27" t="s">
        <v>1359</v>
      </c>
      <c r="F399" s="15"/>
      <c r="G399" s="9"/>
      <c r="H399" s="4" t="s">
        <v>1066</v>
      </c>
      <c r="I399" s="8"/>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row>
    <row r="400" spans="2:37" s="2" customFormat="1" ht="20" customHeight="1" x14ac:dyDescent="0.2">
      <c r="B400" s="9"/>
      <c r="C400" s="9"/>
      <c r="E400" s="17" t="s">
        <v>254</v>
      </c>
      <c r="F400" s="20" t="s">
        <v>1346</v>
      </c>
      <c r="G400" s="9"/>
      <c r="H400" s="4" t="s">
        <v>1058</v>
      </c>
      <c r="I400" s="8" t="str">
        <f>wld_cl01_az1_uplink01_pg</f>
        <v>Value Missing</v>
      </c>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row>
    <row r="401" spans="2:37" s="2" customFormat="1" ht="20" customHeight="1" x14ac:dyDescent="0.2">
      <c r="B401" s="9"/>
      <c r="C401" s="9"/>
      <c r="E401" s="28" t="s">
        <v>1191</v>
      </c>
      <c r="F401" s="8" t="str">
        <f>IF(ISBLANK('Configure Management Domain'!D328),"Value Missing",'Configure Management Domain'!D328)</f>
        <v>Value Missing</v>
      </c>
      <c r="G401" s="9"/>
      <c r="H401" s="4" t="s">
        <v>1060</v>
      </c>
      <c r="I401" s="8" t="str">
        <f>wld_cl01_az1_uplink02_pg</f>
        <v>Value Missing</v>
      </c>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row>
    <row r="402" spans="2:37" s="2" customFormat="1" ht="20" customHeight="1" x14ac:dyDescent="0.2">
      <c r="B402" s="9"/>
      <c r="C402" s="9"/>
      <c r="E402" s="28" t="s">
        <v>1192</v>
      </c>
      <c r="F402" s="8" t="str">
        <f>IF(ISBLANK('Configure Management Domain'!D329),"Value Missing",'Configure Management Domain'!D329)</f>
        <v>Value Missing</v>
      </c>
      <c r="G402" s="9"/>
      <c r="H402" s="23" t="s">
        <v>1062</v>
      </c>
      <c r="I402" s="8" t="str">
        <f>wld_az1_edge_overlay_pg</f>
        <v>N/A</v>
      </c>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row>
    <row r="403" spans="2:37" s="2" customFormat="1" ht="20" customHeight="1" x14ac:dyDescent="0.2">
      <c r="B403" s="9"/>
      <c r="C403" s="9"/>
      <c r="E403" s="28" t="s">
        <v>1193</v>
      </c>
      <c r="F403" s="8" t="str">
        <f>IF(ISBLANK('Configure Management Domain'!D336),"Value Missing",'Configure Management Domain'!D336)</f>
        <v>Value Missing</v>
      </c>
      <c r="G403" s="9"/>
      <c r="H403" s="4" t="s">
        <v>1156</v>
      </c>
      <c r="I403" s="8" t="str">
        <f>mgmt_az1_rtep_overlay_pg</f>
        <v>N/A</v>
      </c>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row>
    <row r="404" spans="2:37" s="2" customFormat="1" ht="20" customHeight="1" x14ac:dyDescent="0.2">
      <c r="B404" s="9"/>
      <c r="C404" s="9"/>
      <c r="E404" s="28" t="s">
        <v>1194</v>
      </c>
      <c r="F404" s="8" t="str">
        <f>IF(ISBLANK('Configure Management Domain'!D337),"Value Missing",'Configure Management Domain'!D337)</f>
        <v>Value Missing</v>
      </c>
      <c r="G404" s="33"/>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row>
    <row r="405" spans="2:37" s="2" customFormat="1" ht="20" customHeight="1" x14ac:dyDescent="0.2">
      <c r="B405" s="9"/>
      <c r="C405" s="9"/>
      <c r="E405" s="28" t="s">
        <v>1195</v>
      </c>
      <c r="F405" s="8" t="str">
        <f>IF(ISBLANK('Configure Management Domain'!D440),"Value Missing",'Configure Management Domain'!D440)</f>
        <v>Value Missing</v>
      </c>
      <c r="G405" s="9"/>
      <c r="H405" s="27" t="s">
        <v>1360</v>
      </c>
      <c r="I405" s="15"/>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row>
    <row r="406" spans="2:37" s="2" customFormat="1" ht="20" customHeight="1" x14ac:dyDescent="0.2">
      <c r="B406" s="9"/>
      <c r="C406" s="9"/>
      <c r="E406" s="28" t="s">
        <v>1196</v>
      </c>
      <c r="F406" s="8" t="str">
        <f>IF(ISBLANK('Configure Management Domain'!D441),"Value Missing",'Configure Management Domain'!D441)</f>
        <v>Value Missing</v>
      </c>
      <c r="G406" s="9"/>
      <c r="H406" s="17" t="s">
        <v>254</v>
      </c>
      <c r="I406" s="20" t="s">
        <v>1346</v>
      </c>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row>
    <row r="407" spans="2:37" s="2" customFormat="1" ht="20" customHeight="1" x14ac:dyDescent="0.2">
      <c r="B407" s="9"/>
      <c r="C407" s="9"/>
      <c r="E407" s="23" t="s">
        <v>1197</v>
      </c>
      <c r="F407" s="8" t="str">
        <f>IF(ISBLANK(input_mgmt_az2_secondary_storage_pool_start_ip),"Value Missing",input_mgmt_az2_secondary_storage_pool_start_ip)</f>
        <v>Value Missing</v>
      </c>
      <c r="G407" s="9"/>
      <c r="H407" s="28" t="s">
        <v>1191</v>
      </c>
      <c r="I407" s="8" t="str">
        <f>IF(ISBLANK(input_wld_az2_vmotion_pool_start_ip),"Value Missing",input_wld_az2_vmotion_pool_start_ip)</f>
        <v>Value Missing</v>
      </c>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row>
    <row r="408" spans="2:37" s="2" customFormat="1" ht="20" customHeight="1" x14ac:dyDescent="0.2">
      <c r="B408" s="9"/>
      <c r="C408" s="9"/>
      <c r="E408" s="30" t="s">
        <v>1198</v>
      </c>
      <c r="F408" s="8" t="str">
        <f>IF(ISBLANK(input_mgmt_az2_secondary_storage_pool_end_ip),"Value Missing",input_mgmt_az2_secondary_storage_pool_end_ip)</f>
        <v>Value Missing</v>
      </c>
      <c r="G408" s="9"/>
      <c r="H408" s="28" t="s">
        <v>1192</v>
      </c>
      <c r="I408" s="8" t="str">
        <f>IF(ISBLANK(input_wld_az2_vmotion_pool_end_ip),"Value Missing",input_wld_az2_vmotion_pool_end_ip)</f>
        <v>Value Missing</v>
      </c>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row>
    <row r="409" spans="2:37" s="2" customFormat="1" ht="20" customHeight="1" x14ac:dyDescent="0.2">
      <c r="B409" s="9"/>
      <c r="C409" s="9"/>
      <c r="E409" s="28" t="s">
        <v>1201</v>
      </c>
      <c r="F409" s="8"/>
      <c r="G409" s="9"/>
      <c r="H409" s="28" t="s">
        <v>1193</v>
      </c>
      <c r="I409" s="8" t="str">
        <f>IF(ISBLANK(input_wld_az2_principal_storage_pool_start_ip),"Value Missing",input_wld_az2_principal_storage_pool_start_ip)</f>
        <v>Value Missing</v>
      </c>
      <c r="J409" s="21"/>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row>
    <row r="410" spans="2:37" s="2" customFormat="1" ht="20" customHeight="1" x14ac:dyDescent="0.2">
      <c r="B410" s="9"/>
      <c r="C410" s="9"/>
      <c r="E410" s="28" t="s">
        <v>1202</v>
      </c>
      <c r="F410" s="8"/>
      <c r="G410" s="9"/>
      <c r="H410" s="28" t="s">
        <v>1194</v>
      </c>
      <c r="I410" s="8" t="str">
        <f>IF(ISBLANK(input_wld_az2_principal_storage_pool_end_ip),"Value Missing",input_wld_az2_principal_storage_pool_end_ip)</f>
        <v>Value Missing</v>
      </c>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row>
    <row r="411" spans="2:37" s="2" customFormat="1" ht="20" customHeight="1" x14ac:dyDescent="0.2">
      <c r="B411" s="9"/>
      <c r="C411" s="9"/>
      <c r="G411" s="9"/>
      <c r="H411" s="28" t="s">
        <v>1195</v>
      </c>
      <c r="I411" s="8" t="str">
        <f>IF(ISBLANK('Configure Workload Domain'!D398),"Value Missing",'Configure Workload Domain'!D398)</f>
        <v>Value Missing</v>
      </c>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row>
    <row r="412" spans="2:37" s="2" customFormat="1" ht="20" customHeight="1" x14ac:dyDescent="0.2">
      <c r="B412" s="9"/>
      <c r="C412" s="9"/>
      <c r="E412" s="27" t="s">
        <v>1361</v>
      </c>
      <c r="F412" s="15"/>
      <c r="G412" s="9"/>
      <c r="H412" s="28" t="s">
        <v>1196</v>
      </c>
      <c r="I412" s="8" t="str">
        <f>IF(ISBLANK('Configure Workload Domain'!D399),"Value Missing",'Configure Workload Domain'!D399)</f>
        <v>Value Missing</v>
      </c>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row>
    <row r="413" spans="2:37" s="2" customFormat="1" ht="20" customHeight="1" x14ac:dyDescent="0.2">
      <c r="B413" s="9"/>
      <c r="C413" s="9"/>
      <c r="E413" s="19" t="s">
        <v>254</v>
      </c>
      <c r="F413" s="20" t="s">
        <v>1346</v>
      </c>
      <c r="G413" s="9"/>
      <c r="H413" s="23" t="s">
        <v>1197</v>
      </c>
      <c r="I413" s="8" t="str">
        <f>IF(ISBLANK(input_wld_az2_secondary_storage_pool_start_ip),"Value Missing",input_wld_az2_secondary_storage_pool_start_ip)</f>
        <v>Value Missing</v>
      </c>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row>
    <row r="414" spans="2:37" s="2" customFormat="1" ht="20" customHeight="1" x14ac:dyDescent="0.2">
      <c r="B414" s="9"/>
      <c r="C414" s="9"/>
      <c r="E414" s="28" t="s">
        <v>1212</v>
      </c>
      <c r="F414" s="8" t="str">
        <f>IF(ISBLANK(input_mgmt_az2_pool_name),"Value Missing",input_mgmt_az2_pool_name)</f>
        <v>Value Missing</v>
      </c>
      <c r="G414" s="9"/>
      <c r="H414" s="30" t="s">
        <v>1198</v>
      </c>
      <c r="I414" s="8" t="str">
        <f>IF(ISBLANK(input_wld_az2_secondary_storage_pool_end_ip),"Value Missing",input_wld_az2_secondary_storage_pool_end_ip)</f>
        <v>Value Missing</v>
      </c>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row>
    <row r="415" spans="2:37" s="2" customFormat="1" ht="20" customHeight="1" x14ac:dyDescent="0.2">
      <c r="B415" s="9"/>
      <c r="C415" s="9"/>
      <c r="E415" s="28" t="s">
        <v>1213</v>
      </c>
      <c r="F415" s="8" t="str">
        <f>IF(ISBLANK(input_mgmt_az2_host_overlay_network_profile_name),"Value Missing",input_mgmt_az2_host_overlay_network_profile_name)</f>
        <v>Value Missing</v>
      </c>
      <c r="G415" s="9"/>
      <c r="H415" s="4" t="s">
        <v>706</v>
      </c>
      <c r="I415" s="8" t="str">
        <f>IF(ISBLANK(input_wld_az2_storage_cluster_pool_start_ip),"Value Missing",input_wld_az2_storage_cluster_pool_start_ip)</f>
        <v>Value Missing</v>
      </c>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row>
    <row r="416" spans="2:37" ht="20" customHeight="1" x14ac:dyDescent="0.2">
      <c r="E416" s="28" t="s">
        <v>1216</v>
      </c>
      <c r="F416" s="8" t="str">
        <f>IF(ISBLANK(input_mgmt_az2_host_overlay_network_pool_name),"Value Missing",input_mgmt_az2_host_overlay_network_pool_name)</f>
        <v>Value Missing</v>
      </c>
      <c r="H416" s="4" t="s">
        <v>706</v>
      </c>
      <c r="I416" s="8" t="str">
        <f>IF(ISBLANK(input_wld_az2_storage_cluster_pool_end_ip),"Value Missing",input_wld_az2_storage_cluster_pool_end_ip)</f>
        <v>Value Missing</v>
      </c>
    </row>
    <row r="417" spans="5:10" ht="20" customHeight="1" x14ac:dyDescent="0.2">
      <c r="E417" s="28" t="s">
        <v>1219</v>
      </c>
      <c r="F417" s="8" t="str">
        <f>IF(ISBLANK(input_mgmt_az2_host_overlay_uplink_profile_name),"Value Missing",input_mgmt_az2_host_overlay_uplink_profile_name)</f>
        <v>Value Missing</v>
      </c>
      <c r="H417" s="28" t="s">
        <v>1201</v>
      </c>
      <c r="I417" s="42"/>
    </row>
    <row r="418" spans="5:10" ht="20" customHeight="1" x14ac:dyDescent="0.2">
      <c r="E418" s="7"/>
      <c r="F418" s="7"/>
      <c r="H418" s="28" t="s">
        <v>1202</v>
      </c>
      <c r="I418" s="42"/>
    </row>
    <row r="419" spans="5:10" ht="20" customHeight="1" x14ac:dyDescent="0.2">
      <c r="E419" s="627" t="s">
        <v>1362</v>
      </c>
      <c r="F419" s="628"/>
    </row>
    <row r="420" spans="5:10" ht="20" customHeight="1" x14ac:dyDescent="0.2">
      <c r="E420" s="19" t="s">
        <v>254</v>
      </c>
      <c r="F420" s="20" t="s">
        <v>1346</v>
      </c>
      <c r="H420" s="27" t="s">
        <v>1363</v>
      </c>
      <c r="I420" s="15"/>
    </row>
    <row r="421" spans="5:10" ht="20" customHeight="1" x14ac:dyDescent="0.2">
      <c r="E421" s="4" t="s">
        <v>1229</v>
      </c>
      <c r="F421" s="39"/>
      <c r="H421" s="19" t="s">
        <v>254</v>
      </c>
      <c r="I421" s="20" t="s">
        <v>1346</v>
      </c>
    </row>
    <row r="422" spans="5:10" ht="20" customHeight="1" x14ac:dyDescent="0.2">
      <c r="E422" s="4" t="s">
        <v>1238</v>
      </c>
      <c r="F422" s="8"/>
      <c r="H422" s="28" t="s">
        <v>1212</v>
      </c>
      <c r="I422" s="8" t="str">
        <f>IF(ISBLANK(input_wld_az2_pool_name),"Value Missing",input_wld_az2_pool_name)</f>
        <v>Value Missing</v>
      </c>
    </row>
    <row r="423" spans="5:10" ht="20" customHeight="1" x14ac:dyDescent="0.2">
      <c r="E423" s="4" t="s">
        <v>1364</v>
      </c>
      <c r="F423" s="8"/>
      <c r="H423" s="28" t="s">
        <v>1213</v>
      </c>
      <c r="I423" s="8" t="str">
        <f>IF(ISBLANK(input_wld_az2_host_overlay_network_profile_name),"Value Missing",input_wld_az2_host_overlay_network_profile_name)</f>
        <v>Value Missing</v>
      </c>
    </row>
    <row r="424" spans="5:10" ht="20" customHeight="1" x14ac:dyDescent="0.2">
      <c r="E424" s="4" t="s">
        <v>1365</v>
      </c>
      <c r="F424" s="8"/>
      <c r="H424" s="28" t="s">
        <v>1216</v>
      </c>
      <c r="I424" s="8" t="str">
        <f>IF(ISBLANK(input_wld_az2_host_overlay_network_pool_name),"Value Missing",input_wld_az2_host_overlay_network_pool_name)</f>
        <v>Value Missing</v>
      </c>
    </row>
    <row r="425" spans="5:10" ht="20" customHeight="1" x14ac:dyDescent="0.2">
      <c r="E425" s="4" t="s">
        <v>1366</v>
      </c>
      <c r="F425" s="8"/>
      <c r="H425" s="28" t="s">
        <v>1219</v>
      </c>
      <c r="I425" s="8" t="str">
        <f>IF(ISBLANK(input_wld_az2_host_overlay_uplink_profile_name),"Value Missing",input_wld_az2_host_overlay_uplink_profile_name)</f>
        <v>Value Missing</v>
      </c>
    </row>
    <row r="426" spans="5:10" ht="20" customHeight="1" x14ac:dyDescent="0.2">
      <c r="E426" s="4" t="s">
        <v>1367</v>
      </c>
      <c r="F426" s="8"/>
    </row>
    <row r="427" spans="5:10" ht="20" customHeight="1" x14ac:dyDescent="0.2">
      <c r="E427" s="4" t="s">
        <v>1368</v>
      </c>
      <c r="F427" s="8"/>
      <c r="H427" s="627" t="s">
        <v>1369</v>
      </c>
      <c r="I427" s="628"/>
      <c r="J427" s="2"/>
    </row>
    <row r="428" spans="5:10" ht="20" customHeight="1" x14ac:dyDescent="0.2">
      <c r="E428" s="6"/>
      <c r="F428" s="6"/>
      <c r="H428" s="19" t="s">
        <v>254</v>
      </c>
      <c r="I428" s="20" t="s">
        <v>1346</v>
      </c>
      <c r="J428" s="21"/>
    </row>
    <row r="429" spans="5:10" ht="20" customHeight="1" x14ac:dyDescent="0.2">
      <c r="E429" s="27" t="s">
        <v>1370</v>
      </c>
      <c r="F429" s="15"/>
      <c r="G429" s="2"/>
      <c r="H429" s="4" t="s">
        <v>1229</v>
      </c>
      <c r="I429" s="39"/>
    </row>
    <row r="430" spans="5:10" ht="20" customHeight="1" x14ac:dyDescent="0.2">
      <c r="E430" s="19" t="s">
        <v>254</v>
      </c>
      <c r="F430" s="20" t="s">
        <v>1346</v>
      </c>
      <c r="G430" s="2"/>
      <c r="H430" s="4" t="s">
        <v>1238</v>
      </c>
      <c r="I430" s="8"/>
    </row>
    <row r="431" spans="5:10" ht="20" customHeight="1" x14ac:dyDescent="0.2">
      <c r="E431" s="4" t="s">
        <v>1255</v>
      </c>
      <c r="F431" s="8" t="str">
        <f>IF(ISBLANK(input_mgmt_az2_host1_mgmt_ip),"Value Missing",input_mgmt_az2_host1_mgmt_ip)</f>
        <v>Value Missing</v>
      </c>
      <c r="G431" s="2"/>
      <c r="H431" s="4" t="s">
        <v>1364</v>
      </c>
      <c r="I431" s="8"/>
    </row>
    <row r="432" spans="5:10" ht="20" customHeight="1" x14ac:dyDescent="0.2">
      <c r="E432" s="4" t="s">
        <v>1256</v>
      </c>
      <c r="F432" s="8" t="str">
        <f>IF(ISBLANK(input_mgmt_az2_host2_mgmt_ip),"Value Missing",input_mgmt_az2_host2_mgmt_ip)</f>
        <v>Value Missing</v>
      </c>
      <c r="G432" s="2"/>
      <c r="H432" s="4" t="s">
        <v>1365</v>
      </c>
      <c r="I432" s="8"/>
    </row>
    <row r="433" spans="5:9" ht="20" customHeight="1" x14ac:dyDescent="0.2">
      <c r="E433" s="4" t="s">
        <v>1257</v>
      </c>
      <c r="F433" s="8" t="str">
        <f>IF(ISBLANK(input_mgmt_az2_host3_mgmt_ip),"Value Missing",input_mgmt_az2_host3_mgmt_ip)</f>
        <v>Value Missing</v>
      </c>
      <c r="G433" s="2"/>
      <c r="H433" s="4" t="s">
        <v>1366</v>
      </c>
      <c r="I433" s="8"/>
    </row>
    <row r="434" spans="5:9" ht="20" customHeight="1" x14ac:dyDescent="0.2">
      <c r="E434" s="4" t="s">
        <v>1258</v>
      </c>
      <c r="F434" s="8" t="str">
        <f>IF(ISBLANK(input_mgmt_az2_host4_mgmt_ip),"Value Missing",input_mgmt_az2_host4_mgmt_ip)</f>
        <v>Value Missing</v>
      </c>
      <c r="G434" s="2"/>
      <c r="H434" s="4" t="s">
        <v>1367</v>
      </c>
      <c r="I434" s="8"/>
    </row>
    <row r="435" spans="5:9" ht="20" customHeight="1" x14ac:dyDescent="0.2">
      <c r="E435" s="4" t="s">
        <v>1259</v>
      </c>
      <c r="F435" s="8" t="str">
        <f>IF(ISBLANK(input_mgmt_az2_host5_mgmt_ip),"Value Missing",input_mgmt_az2_host5_mgmt_ip)</f>
        <v>Value Missing</v>
      </c>
      <c r="G435" s="2"/>
      <c r="H435" s="4" t="s">
        <v>1368</v>
      </c>
      <c r="I435" s="8"/>
    </row>
    <row r="436" spans="5:9" ht="20" customHeight="1" x14ac:dyDescent="0.2">
      <c r="E436" s="4" t="s">
        <v>1260</v>
      </c>
      <c r="F436" s="8" t="str">
        <f>IF(ISBLANK(input_mgmt_az2_host6_mgmt_ip),"Value Missing",input_mgmt_az2_host6_mgmt_ip)</f>
        <v>Value Missing</v>
      </c>
      <c r="G436" s="2"/>
      <c r="H436" s="6"/>
      <c r="I436" s="6"/>
    </row>
    <row r="437" spans="5:9" ht="20" customHeight="1" x14ac:dyDescent="0.2">
      <c r="E437" s="4" t="s">
        <v>1261</v>
      </c>
      <c r="F437" s="8" t="str">
        <f>IF(ISBLANK(input_mgmt_az2_host7_mgmt_ip),"Value Missing",input_mgmt_az2_host7_mgmt_ip)</f>
        <v>Value Missing</v>
      </c>
      <c r="G437" s="2"/>
      <c r="H437" s="27" t="s">
        <v>1371</v>
      </c>
      <c r="I437" s="15"/>
    </row>
    <row r="438" spans="5:9" ht="20" customHeight="1" x14ac:dyDescent="0.2">
      <c r="E438" s="4" t="s">
        <v>1262</v>
      </c>
      <c r="F438" s="8" t="str">
        <f>IF(ISBLANK(input_mgmt_az2_host8_mgmt_ip),"Value Missing",input_mgmt_az2_host8_mgmt_ip)</f>
        <v>Value Missing</v>
      </c>
      <c r="G438" s="2"/>
      <c r="H438" s="19" t="s">
        <v>254</v>
      </c>
      <c r="I438" s="20" t="s">
        <v>1346</v>
      </c>
    </row>
    <row r="439" spans="5:9" ht="20" customHeight="1" x14ac:dyDescent="0.2">
      <c r="E439" s="4" t="s">
        <v>1263</v>
      </c>
      <c r="F439" s="8" t="str">
        <f>IF(ISBLANK(input_mgmt_az2_host9_mgmt_ip),"Value Missing",input_mgmt_az2_host9_mgmt_ip)</f>
        <v>Value Missing</v>
      </c>
      <c r="G439" s="21"/>
      <c r="H439" s="4" t="s">
        <v>1255</v>
      </c>
      <c r="I439" s="8" t="str">
        <f>IF(ISBLANK('Configure Workload Domain'!D245),"Value Missing",'Configure Workload Domain'!D245)</f>
        <v>Value Missing</v>
      </c>
    </row>
    <row r="440" spans="5:9" ht="20" customHeight="1" x14ac:dyDescent="0.2">
      <c r="E440" s="4" t="s">
        <v>1264</v>
      </c>
      <c r="F440" s="8" t="str">
        <f>IF(ISBLANK(input_mgmt_az2_host10_mgmt_ip),"Value Missing",input_mgmt_az2_host10_mgmt_ip)</f>
        <v>Value Missing</v>
      </c>
      <c r="G440" s="2"/>
      <c r="H440" s="4" t="s">
        <v>1256</v>
      </c>
      <c r="I440" s="8" t="str">
        <f>IF(ISBLANK('Configure Workload Domain'!D246),"Value Missing",'Configure Workload Domain'!D246)</f>
        <v>Value Missing</v>
      </c>
    </row>
    <row r="441" spans="5:9" ht="20" customHeight="1" x14ac:dyDescent="0.2">
      <c r="E441" s="4" t="s">
        <v>1265</v>
      </c>
      <c r="F441" s="8" t="str">
        <f>IF(ISBLANK(input_mgmt_az2_host11_mgmt_ip),"Value Missing",input_mgmt_az2_host11_mgmt_ip)</f>
        <v>Value Missing</v>
      </c>
      <c r="G441" s="2"/>
      <c r="H441" s="4" t="s">
        <v>1257</v>
      </c>
      <c r="I441" s="8" t="str">
        <f>IF(ISBLANK('Configure Workload Domain'!D247),"Value Missing",'Configure Workload Domain'!D247)</f>
        <v>Value Missing</v>
      </c>
    </row>
    <row r="442" spans="5:9" ht="20" customHeight="1" x14ac:dyDescent="0.2">
      <c r="E442" s="4" t="s">
        <v>1266</v>
      </c>
      <c r="F442" s="8" t="str">
        <f>IF(ISBLANK(input_mgmt_az2_host12_mgmt_ip),"Value Missing",input_mgmt_az2_host12_mgmt_ip)</f>
        <v>Value Missing</v>
      </c>
      <c r="G442" s="2"/>
      <c r="H442" s="4" t="s">
        <v>1258</v>
      </c>
      <c r="I442" s="8" t="str">
        <f>IF(ISBLANK('Configure Workload Domain'!D248),"Value Missing",'Configure Workload Domain'!D248)</f>
        <v>Value Missing</v>
      </c>
    </row>
    <row r="443" spans="5:9" ht="20" customHeight="1" x14ac:dyDescent="0.2">
      <c r="E443" s="4" t="s">
        <v>1267</v>
      </c>
      <c r="F443" s="8" t="str">
        <f>IF(ISBLANK(input_mgmt_az2_host13_mgmt_ip),"Value Missing",input_mgmt_az2_host13_mgmt_ip)</f>
        <v>Value Missing</v>
      </c>
      <c r="G443" s="2"/>
      <c r="H443" s="4" t="s">
        <v>1259</v>
      </c>
      <c r="I443" s="8" t="str">
        <f>IF(ISBLANK('Configure Workload Domain'!D249),"Value Missing",'Configure Workload Domain'!D249)</f>
        <v>Value Missing</v>
      </c>
    </row>
    <row r="444" spans="5:9" ht="20" customHeight="1" x14ac:dyDescent="0.2">
      <c r="E444" s="4" t="s">
        <v>1268</v>
      </c>
      <c r="F444" s="8" t="str">
        <f>IF(ISBLANK(input_mgmt_az2_host14_mgmt_ip),"Value Missing",input_mgmt_az2_host14_mgmt_ip)</f>
        <v>Value Missing</v>
      </c>
      <c r="G444" s="2"/>
      <c r="H444" s="4" t="s">
        <v>1260</v>
      </c>
      <c r="I444" s="8" t="str">
        <f>IF(ISBLANK('Configure Workload Domain'!D250),"Value Missing",'Configure Workload Domain'!D250)</f>
        <v>Value Missing</v>
      </c>
    </row>
    <row r="445" spans="5:9" ht="20" customHeight="1" x14ac:dyDescent="0.2">
      <c r="E445" s="4" t="s">
        <v>1269</v>
      </c>
      <c r="F445" s="8" t="str">
        <f>IF(ISBLANK(input_mgmt_az2_host15_mgmt_ip),"Value Missing",input_mgmt_az2_host15_mgmt_ip)</f>
        <v>Value Missing</v>
      </c>
      <c r="G445" s="2"/>
      <c r="H445" s="4" t="s">
        <v>1261</v>
      </c>
      <c r="I445" s="8" t="str">
        <f>IF(ISBLANK('Configure Workload Domain'!D251),"Value Missing",'Configure Workload Domain'!D251)</f>
        <v>Value Missing</v>
      </c>
    </row>
    <row r="446" spans="5:9" ht="20" customHeight="1" x14ac:dyDescent="0.2">
      <c r="E446" s="4" t="s">
        <v>1270</v>
      </c>
      <c r="F446" s="8" t="str">
        <f>IF(ISBLANK(input_mgmt_az2_host16_mgmt_ip),"Value Missing",input_mgmt_az2_host16_mgmt_ip)</f>
        <v>Value Missing</v>
      </c>
      <c r="G446" s="2"/>
      <c r="H446" s="4" t="s">
        <v>1262</v>
      </c>
      <c r="I446" s="8" t="str">
        <f>IF(ISBLANK('Configure Workload Domain'!D252),"Value Missing",'Configure Workload Domain'!D252)</f>
        <v>Value Missing</v>
      </c>
    </row>
    <row r="447" spans="5:9" ht="20" customHeight="1" x14ac:dyDescent="0.2">
      <c r="E447" s="4" t="s">
        <v>1271</v>
      </c>
      <c r="F447" s="8" t="str">
        <f>IF(ISBLANK('Site Protection &amp; DR'!D193),"Value Missing",'Site Protection &amp; DR'!D193)</f>
        <v>Value Missing</v>
      </c>
      <c r="G447" s="2"/>
      <c r="H447" s="4" t="s">
        <v>1263</v>
      </c>
      <c r="I447" s="8" t="str">
        <f>IF(ISBLANK('Configure Workload Domain'!D253),"Value Missing",'Configure Workload Domain'!D253)</f>
        <v>Value Missing</v>
      </c>
    </row>
    <row r="448" spans="5:9" ht="20" customHeight="1" x14ac:dyDescent="0.2">
      <c r="E448" s="4" t="s">
        <v>1272</v>
      </c>
      <c r="F448" s="8" t="str">
        <f>IF(ISBLANK('Site Protection &amp; DR'!D194),"Value Missing",'Site Protection &amp; DR'!D194)</f>
        <v>Value Missing</v>
      </c>
      <c r="G448" s="2"/>
      <c r="H448" s="4" t="s">
        <v>1264</v>
      </c>
      <c r="I448" s="8" t="str">
        <f>IF(ISBLANK('Configure Workload Domain'!D254),"Value Missing",'Configure Workload Domain'!D254)</f>
        <v>Value Missing</v>
      </c>
    </row>
    <row r="449" spans="5:9" ht="20" customHeight="1" x14ac:dyDescent="0.2">
      <c r="E449" s="4" t="s">
        <v>1280</v>
      </c>
      <c r="F449" s="8" t="str">
        <f>IF(ISBLANK('Site Protection &amp; DR'!D195),"Value Missing",'Site Protection &amp; DR'!D195)</f>
        <v>Value Missing</v>
      </c>
      <c r="G449" s="2"/>
      <c r="H449" s="4" t="s">
        <v>1265</v>
      </c>
      <c r="I449" s="8" t="str">
        <f>IF(ISBLANK('Configure Workload Domain'!D255),"Value Missing",'Configure Workload Domain'!D255)</f>
        <v>Value Missing</v>
      </c>
    </row>
    <row r="450" spans="5:9" ht="20" customHeight="1" x14ac:dyDescent="0.2">
      <c r="E450" s="4" t="s">
        <v>1281</v>
      </c>
      <c r="F450" s="8" t="str">
        <f>IF(ISBLANK('Site Protection &amp; DR'!D196),"Value Missing",'Site Protection &amp; DR'!D196)</f>
        <v>Value Missing</v>
      </c>
      <c r="G450" s="2"/>
      <c r="H450" s="4" t="s">
        <v>1266</v>
      </c>
      <c r="I450" s="8" t="str">
        <f>IF(ISBLANK('Configure Workload Domain'!D256),"Value Missing",'Configure Workload Domain'!D256)</f>
        <v>Value Missing</v>
      </c>
    </row>
    <row r="451" spans="5:9" ht="20" customHeight="1" x14ac:dyDescent="0.2">
      <c r="E451" s="4" t="s">
        <v>1283</v>
      </c>
      <c r="F451" s="8" t="str">
        <f>IF(ISBLANK('Site Protection &amp; DR'!D197),"Value Missing",'Site Protection &amp; DR'!D197)</f>
        <v>Value Missing</v>
      </c>
      <c r="G451" s="2"/>
      <c r="H451" s="4" t="s">
        <v>1267</v>
      </c>
      <c r="I451" s="8" t="str">
        <f>IF(ISBLANK('Configure Workload Domain'!D257),"Value Missing",'Configure Workload Domain'!D257)</f>
        <v>Value Missing</v>
      </c>
    </row>
    <row r="452" spans="5:9" ht="20" customHeight="1" x14ac:dyDescent="0.2">
      <c r="E452" s="4" t="s">
        <v>1285</v>
      </c>
      <c r="F452" s="8" t="str">
        <f>IF(ISBLANK('Site Protection &amp; DR'!D198),"Value Missing",'Site Protection &amp; DR'!D198)</f>
        <v>Value Missing</v>
      </c>
      <c r="G452" s="2"/>
      <c r="H452" s="4" t="s">
        <v>1268</v>
      </c>
      <c r="I452" s="8" t="str">
        <f>IF(ISBLANK('Configure Workload Domain'!D258),"Value Missing",'Configure Workload Domain'!D258)</f>
        <v>Value Missing</v>
      </c>
    </row>
    <row r="453" spans="5:9" ht="20" customHeight="1" x14ac:dyDescent="0.2">
      <c r="E453" s="4" t="s">
        <v>1287</v>
      </c>
      <c r="F453" s="8" t="str">
        <f>IF(ISBLANK('Site Protection &amp; DR'!D199),"Value Missing",'Site Protection &amp; DR'!D199)</f>
        <v>Value Missing</v>
      </c>
      <c r="G453" s="2"/>
      <c r="H453" s="4" t="s">
        <v>1269</v>
      </c>
      <c r="I453" s="8" t="str">
        <f>IF(ISBLANK('Configure Workload Domain'!D259),"Value Missing",'Configure Workload Domain'!D259)</f>
        <v>Value Missing</v>
      </c>
    </row>
    <row r="454" spans="5:9" ht="20" customHeight="1" x14ac:dyDescent="0.2">
      <c r="E454" s="4" t="s">
        <v>1289</v>
      </c>
      <c r="F454" s="8" t="str">
        <f>IF(ISBLANK('Site Protection &amp; DR'!D200),"Value Missing",'Site Protection &amp; DR'!D200)</f>
        <v>Value Missing</v>
      </c>
      <c r="G454" s="2"/>
      <c r="H454" s="4" t="s">
        <v>1270</v>
      </c>
      <c r="I454" s="8" t="str">
        <f>IF(ISBLANK('Configure Workload Domain'!D260),"Value Missing",'Configure Workload Domain'!D260)</f>
        <v>Value Missing</v>
      </c>
    </row>
    <row r="455" spans="5:9" ht="20" customHeight="1" x14ac:dyDescent="0.2">
      <c r="E455" s="4" t="s">
        <v>1291</v>
      </c>
      <c r="F455" s="8" t="str">
        <f>IF(ISBLANK('Site Protection &amp; DR'!D201),"Value Missing",'Site Protection &amp; DR'!D201)</f>
        <v>Value Missing</v>
      </c>
      <c r="G455" s="2"/>
      <c r="H455" s="4" t="s">
        <v>1271</v>
      </c>
      <c r="I455" s="8" t="str">
        <f>IF(ISBLANK('Dumping Ground'!D310),"Value Missing",'Dumping Ground'!D310)</f>
        <v>Value Missing</v>
      </c>
    </row>
    <row r="456" spans="5:9" ht="20" customHeight="1" x14ac:dyDescent="0.2">
      <c r="E456" s="4" t="s">
        <v>1293</v>
      </c>
      <c r="F456" s="8" t="str">
        <f>IF(ISBLANK('Site Protection &amp; DR'!D202),"Value Missing",'Site Protection &amp; DR'!D202)</f>
        <v>Value Missing</v>
      </c>
      <c r="G456" s="2"/>
      <c r="H456" s="4" t="s">
        <v>1272</v>
      </c>
      <c r="I456" s="8" t="str">
        <f>IF(ISBLANK('Dumping Ground'!D311),"Value Missing",'Dumping Ground'!D311)</f>
        <v>Value Missing</v>
      </c>
    </row>
    <row r="457" spans="5:9" ht="20" customHeight="1" x14ac:dyDescent="0.2">
      <c r="E457" s="4" t="s">
        <v>1295</v>
      </c>
      <c r="F457" s="8" t="str">
        <f>IF(ISBLANK('Site Protection &amp; DR'!D203),"Value Missing",'Site Protection &amp; DR'!D203)</f>
        <v>Value Missing</v>
      </c>
      <c r="G457" s="2"/>
      <c r="H457" s="4" t="s">
        <v>1280</v>
      </c>
      <c r="I457" s="8" t="str">
        <f>IF(ISBLANK('Dumping Ground'!D312),"Value Missing",'Dumping Ground'!D312)</f>
        <v>Value Missing</v>
      </c>
    </row>
    <row r="458" spans="5:9" ht="20" customHeight="1" x14ac:dyDescent="0.2">
      <c r="E458" s="4" t="s">
        <v>1297</v>
      </c>
      <c r="F458" s="8" t="str">
        <f>IF(ISBLANK('Site Protection &amp; DR'!D204),"Value Missing",'Site Protection &amp; DR'!D204)</f>
        <v>Value Missing</v>
      </c>
      <c r="G458" s="21"/>
      <c r="H458" s="4" t="s">
        <v>1281</v>
      </c>
      <c r="I458" s="8" t="str">
        <f>IF(ISBLANK('Dumping Ground'!D313),"Value Missing",'Dumping Ground'!D313)</f>
        <v>Value Missing</v>
      </c>
    </row>
    <row r="459" spans="5:9" ht="20" customHeight="1" x14ac:dyDescent="0.2">
      <c r="E459" s="4" t="s">
        <v>1299</v>
      </c>
      <c r="F459" s="8" t="str">
        <f>IF(ISBLANK('Site Protection &amp; DR'!D205),"Value Missing",'Site Protection &amp; DR'!D205)</f>
        <v>Value Missing</v>
      </c>
      <c r="G459" s="2"/>
      <c r="H459" s="4" t="s">
        <v>1283</v>
      </c>
      <c r="I459" s="8" t="str">
        <f>IF(ISBLANK('Dumping Ground'!D314),"Value Missing",'Dumping Ground'!D314)</f>
        <v>Value Missing</v>
      </c>
    </row>
    <row r="460" spans="5:9" ht="20" customHeight="1" x14ac:dyDescent="0.2">
      <c r="E460" s="4" t="s">
        <v>1301</v>
      </c>
      <c r="F460" s="8" t="str">
        <f>IF(ISBLANK('Site Protection &amp; DR'!D206),"Value Missing",'Site Protection &amp; DR'!D206)</f>
        <v>Value Missing</v>
      </c>
      <c r="G460" s="2"/>
      <c r="H460" s="4" t="s">
        <v>1285</v>
      </c>
      <c r="I460" s="8" t="str">
        <f>IF(ISBLANK('Dumping Ground'!D315),"Value Missing",'Dumping Ground'!D315)</f>
        <v>Value Missing</v>
      </c>
    </row>
    <row r="461" spans="5:9" ht="20" customHeight="1" x14ac:dyDescent="0.2">
      <c r="E461" s="4" t="s">
        <v>1303</v>
      </c>
      <c r="F461" s="8" t="str">
        <f>IF(ISBLANK('Site Protection &amp; DR'!D207),"Value Missing",'Site Protection &amp; DR'!D207)</f>
        <v>Value Missing</v>
      </c>
      <c r="G461" s="2"/>
      <c r="H461" s="4" t="s">
        <v>1287</v>
      </c>
      <c r="I461" s="8" t="str">
        <f>IF(ISBLANK('Dumping Ground'!D316),"Value Missing",'Dumping Ground'!D316)</f>
        <v>Value Missing</v>
      </c>
    </row>
    <row r="462" spans="5:9" ht="20" customHeight="1" x14ac:dyDescent="0.2">
      <c r="E462" s="4" t="s">
        <v>1305</v>
      </c>
      <c r="F462" s="8" t="str">
        <f>IF(ISBLANK('Site Protection &amp; DR'!D208),"Value Missing",'Site Protection &amp; DR'!D208)</f>
        <v>Value Missing</v>
      </c>
      <c r="G462" s="2"/>
      <c r="H462" s="4" t="s">
        <v>1289</v>
      </c>
      <c r="I462" s="8" t="str">
        <f>IF(ISBLANK('Dumping Ground'!D317),"Value Missing",'Dumping Ground'!D317)</f>
        <v>Value Missing</v>
      </c>
    </row>
    <row r="463" spans="5:9" ht="20" customHeight="1" x14ac:dyDescent="0.2">
      <c r="E463" s="2"/>
      <c r="F463" s="2"/>
      <c r="G463" s="2"/>
      <c r="H463" s="4" t="s">
        <v>1291</v>
      </c>
      <c r="I463" s="8" t="str">
        <f>IF(ISBLANK('Dumping Ground'!D318),"Value Missing",'Dumping Ground'!D318)</f>
        <v>Value Missing</v>
      </c>
    </row>
    <row r="464" spans="5:9" ht="20" customHeight="1" x14ac:dyDescent="0.2">
      <c r="E464" s="627" t="s">
        <v>1372</v>
      </c>
      <c r="F464" s="628"/>
      <c r="G464" s="2"/>
      <c r="H464" s="4" t="s">
        <v>1293</v>
      </c>
      <c r="I464" s="8" t="str">
        <f>IF(ISBLANK('Dumping Ground'!D319),"Value Missing",'Dumping Ground'!D319)</f>
        <v>Value Missing</v>
      </c>
    </row>
    <row r="465" spans="5:9" ht="20" customHeight="1" x14ac:dyDescent="0.2">
      <c r="E465" s="19" t="s">
        <v>254</v>
      </c>
      <c r="F465" s="20" t="s">
        <v>1346</v>
      </c>
      <c r="G465" s="2"/>
      <c r="H465" s="4" t="s">
        <v>1295</v>
      </c>
      <c r="I465" s="8" t="str">
        <f>IF(ISBLANK('Dumping Ground'!D320),"Value Missing",'Dumping Ground'!D320)</f>
        <v>Value Missing</v>
      </c>
    </row>
    <row r="466" spans="5:9" ht="20" customHeight="1" x14ac:dyDescent="0.2">
      <c r="E466" s="4" t="s">
        <v>1282</v>
      </c>
      <c r="F466" s="8" t="str">
        <f>IF(mgmt_az2_host1_fqdn="Value Missing",mgmt_az2_host1_fqdn,LEFT(mgmt_az2_host1_fqdn,FIND(".",mgmt_az2_host1_fqdn)-1))</f>
        <v>Value Missing</v>
      </c>
      <c r="G466" s="2"/>
      <c r="H466" s="4" t="s">
        <v>1297</v>
      </c>
      <c r="I466" s="8" t="str">
        <f>IF(ISBLANK('Dumping Ground'!D321),"Value Missing",'Dumping Ground'!D321)</f>
        <v>Value Missing</v>
      </c>
    </row>
    <row r="467" spans="5:9" ht="20" customHeight="1" x14ac:dyDescent="0.2">
      <c r="E467" s="4" t="s">
        <v>1284</v>
      </c>
      <c r="F467" s="8" t="str">
        <f>IF(mgmt_az2_host2_fqdn="Value Missing",mgmt_az2_host2_fqdn,LEFT(mgmt_az2_host2_fqdn,FIND(".",mgmt_az2_host2_fqdn)-1))</f>
        <v>Value Missing</v>
      </c>
      <c r="G467" s="2"/>
      <c r="H467" s="4" t="s">
        <v>1299</v>
      </c>
      <c r="I467" s="8" t="str">
        <f>IF(ISBLANK('Dumping Ground'!D322),"Value Missing",'Dumping Ground'!D322)</f>
        <v>Value Missing</v>
      </c>
    </row>
    <row r="468" spans="5:9" ht="20" customHeight="1" x14ac:dyDescent="0.2">
      <c r="E468" s="4" t="s">
        <v>1286</v>
      </c>
      <c r="F468" s="8" t="str">
        <f>IF(mgmt_az2_host3_fqdn="Value Missing",mgmt_az2_host3_fqdn,LEFT(mgmt_az2_host3_fqdn,FIND(".",mgmt_az2_host3_fqdn)-1))</f>
        <v>Value Missing</v>
      </c>
      <c r="G468" s="2"/>
      <c r="H468" s="4" t="s">
        <v>1301</v>
      </c>
      <c r="I468" s="8" t="str">
        <f>IF(ISBLANK('Dumping Ground'!D323),"Value Missing",'Dumping Ground'!D323)</f>
        <v>Value Missing</v>
      </c>
    </row>
    <row r="469" spans="5:9" ht="20" customHeight="1" x14ac:dyDescent="0.2">
      <c r="E469" s="4" t="s">
        <v>1288</v>
      </c>
      <c r="F469" s="8" t="str">
        <f>IF(mgmt_az2_host4_fqdn="Value Missing",mgmt_az2_host4_fqdn,LEFT(mgmt_az2_host4_fqdn,FIND(".",mgmt_az2_host4_fqdn)-1))</f>
        <v>Value Missing</v>
      </c>
      <c r="G469" s="2"/>
      <c r="H469" s="4" t="s">
        <v>1303</v>
      </c>
      <c r="I469" s="8" t="str">
        <f>IF(ISBLANK('Dumping Ground'!D324),"Value Missing",'Dumping Ground'!D324)</f>
        <v>Value Missing</v>
      </c>
    </row>
    <row r="470" spans="5:9" ht="20" customHeight="1" x14ac:dyDescent="0.2">
      <c r="E470" s="4" t="s">
        <v>1290</v>
      </c>
      <c r="F470" s="8" t="str">
        <f>IF(mgmt_az2_host5_fqdn="Value Missing",mgmt_az2_host5_fqdn,LEFT(mgmt_az2_host5_fqdn,FIND(".",mgmt_az2_host5_fqdn)-1))</f>
        <v>Value Missing</v>
      </c>
      <c r="G470" s="2"/>
      <c r="H470" s="4" t="s">
        <v>1305</v>
      </c>
      <c r="I470" s="8" t="str">
        <f>IF(ISBLANK('Dumping Ground'!D325),"Value Missing",'Dumping Ground'!D325)</f>
        <v>Value Missing</v>
      </c>
    </row>
    <row r="471" spans="5:9" ht="20" customHeight="1" x14ac:dyDescent="0.2">
      <c r="E471" s="4" t="s">
        <v>1292</v>
      </c>
      <c r="F471" s="8" t="str">
        <f>IF(mgmt_az2_host6_fqdn="Value Missing",mgmt_az2_host6_fqdn,LEFT(mgmt_az2_host6_fqdn,FIND(".",mgmt_az2_host6_fqdn)-1))</f>
        <v>Value Missing</v>
      </c>
      <c r="G471" s="2"/>
      <c r="I471" s="25"/>
    </row>
    <row r="472" spans="5:9" ht="20" customHeight="1" x14ac:dyDescent="0.2">
      <c r="E472" s="4" t="s">
        <v>1294</v>
      </c>
      <c r="F472" s="8" t="str">
        <f>IF(mgmt_az2_host7_fqdn="Value Missing",mgmt_az2_host7_fqdn,LEFT(mgmt_az2_host7_fqdn,FIND(".",mgmt_az2_host7_fqdn)-1))</f>
        <v>Value Missing</v>
      </c>
      <c r="G472" s="2"/>
      <c r="H472" s="627" t="s">
        <v>1373</v>
      </c>
      <c r="I472" s="628"/>
    </row>
    <row r="473" spans="5:9" ht="20" customHeight="1" x14ac:dyDescent="0.2">
      <c r="E473" s="4" t="s">
        <v>1296</v>
      </c>
      <c r="F473" s="8" t="str">
        <f>IF(mgmt_az2_host8_fqdn="Value Missing",mgmt_az2_host8_fqdn,LEFT(mgmt_az2_host8_fqdn,FIND(".",mgmt_az2_host8_fqdn)-1))</f>
        <v>Value Missing</v>
      </c>
      <c r="G473" s="2"/>
      <c r="H473" s="19" t="s">
        <v>254</v>
      </c>
      <c r="I473" s="20" t="s">
        <v>1346</v>
      </c>
    </row>
    <row r="474" spans="5:9" ht="20" customHeight="1" x14ac:dyDescent="0.2">
      <c r="E474" s="4" t="s">
        <v>1298</v>
      </c>
      <c r="F474" s="8" t="str">
        <f>IF(mgmt_az2_host9_fqdn="Value Missing",mgmt_az2_host9_fqdn,LEFT(mgmt_az2_host9_fqdn,FIND(".",mgmt_az2_host9_fqdn)-1))</f>
        <v>Value Missing</v>
      </c>
      <c r="G474" s="2"/>
      <c r="H474" s="4" t="s">
        <v>1282</v>
      </c>
      <c r="I474" s="8" t="str">
        <f>IF(wld_az2_host1_fqdn="Value Missing",wld_az2_host1_fqdn,LEFT(wld_az2_host1_fqdn,FIND(".",wld_az2_host1_fqdn)-1))</f>
        <v>Value Missing</v>
      </c>
    </row>
    <row r="475" spans="5:9" ht="20" customHeight="1" x14ac:dyDescent="0.2">
      <c r="E475" s="4" t="s">
        <v>1300</v>
      </c>
      <c r="F475" s="8" t="str">
        <f>IF(mgmt_az2_host10_fqdn="Value Missing",mgmt_az2_host10_fqdn,LEFT(mgmt_az2_host10_fqdn,FIND(".",mgmt_az2_host10_fqdn)-1))</f>
        <v>Value Missing</v>
      </c>
      <c r="H475" s="4" t="s">
        <v>1284</v>
      </c>
      <c r="I475" s="8" t="str">
        <f>IF(wld_az2_host2_fqdn="Value Missing",wld_az2_host2_fqdn,LEFT(wld_az2_host2_fqdn,FIND(".",wld_az2_host2_fqdn)-1))</f>
        <v>Value Missing</v>
      </c>
    </row>
    <row r="476" spans="5:9" ht="20" customHeight="1" x14ac:dyDescent="0.2">
      <c r="E476" s="4" t="s">
        <v>1302</v>
      </c>
      <c r="F476" s="8" t="str">
        <f>IF(mgmt_az2_host11_fqdn="Value Missing",mgmt_az2_host11_fqdn,LEFT(mgmt_az2_host11_fqdn,FIND(".",mgmt_az2_host11_fqdn)-1))</f>
        <v>Value Missing</v>
      </c>
      <c r="H476" s="4" t="s">
        <v>1286</v>
      </c>
      <c r="I476" s="8" t="str">
        <f>IF(wld_az2_host3_fqdn="Value Missing",wld_az2_host3_fqdn,LEFT(wld_az2_host3_fqdn,FIND(".",wld_az2_host3_fqdn)-1))</f>
        <v>Value Missing</v>
      </c>
    </row>
    <row r="477" spans="5:9" ht="20" customHeight="1" x14ac:dyDescent="0.2">
      <c r="E477" s="4" t="s">
        <v>1304</v>
      </c>
      <c r="F477" s="8" t="str">
        <f>IF(mgmt_az2_host12_fqdn="Value Missing",mgmt_az2_host12_fqdn,LEFT(mgmt_az2_host12_fqdn,FIND(".",mgmt_az2_host12_fqdn)-1))</f>
        <v>Value Missing</v>
      </c>
      <c r="H477" s="4" t="s">
        <v>1288</v>
      </c>
      <c r="I477" s="8" t="str">
        <f>IF(wld_az2_host4_fqdn="Value Missing",wld_az2_host4_fqdn,LEFT(wld_az2_host4_fqdn,FIND(".",wld_az2_host4_fqdn)-1))</f>
        <v>Value Missing</v>
      </c>
    </row>
    <row r="478" spans="5:9" ht="20" customHeight="1" x14ac:dyDescent="0.2">
      <c r="E478" s="4" t="s">
        <v>1306</v>
      </c>
      <c r="F478" s="8" t="str">
        <f>IF(mgmt_az2_host13_fqdn="Value Missing",mgmt_az2_host13_fqdn,LEFT(mgmt_az2_host13_fqdn,FIND(".",mgmt_az2_host13_fqdn)-1))</f>
        <v>Value Missing</v>
      </c>
      <c r="H478" s="4" t="s">
        <v>1290</v>
      </c>
      <c r="I478" s="8" t="str">
        <f>IF(wld_az2_host5_fqdn="Value Missing",wld_az2_host5_fqdn,LEFT(wld_az2_host5_fqdn,FIND(".",wld_az2_host5_fqdn)-1))</f>
        <v>Value Missing</v>
      </c>
    </row>
    <row r="479" spans="5:9" ht="20" customHeight="1" x14ac:dyDescent="0.2">
      <c r="E479" s="4" t="s">
        <v>1307</v>
      </c>
      <c r="F479" s="8" t="str">
        <f>IF(mgmt_az2_host14_fqdn="Value Missing",mgmt_az2_host14_fqdn,LEFT(mgmt_az2_host14_fqdn,FIND(".",mgmt_az2_host14_fqdn)-1))</f>
        <v>Value Missing</v>
      </c>
      <c r="H479" s="4" t="s">
        <v>1292</v>
      </c>
      <c r="I479" s="8" t="str">
        <f>IF(wld_az2_host6_fqdn="Value Missing",wld_az2_host6_fqdn,LEFT(wld_az2_host6_fqdn,FIND(".",wld_az2_host6_fqdn)-1))</f>
        <v>Value Missing</v>
      </c>
    </row>
    <row r="480" spans="5:9" ht="20" customHeight="1" x14ac:dyDescent="0.2">
      <c r="E480" s="4" t="s">
        <v>1310</v>
      </c>
      <c r="F480" s="8" t="str">
        <f>IF(mgmt_az2_host15_fqdn="Value Missing",mgmt_az2_host15_fqdn,LEFT(mgmt_az2_host15_fqdn,FIND(".",mgmt_az2_host15_fqdn)-1))</f>
        <v>Value Missing</v>
      </c>
      <c r="H480" s="4" t="s">
        <v>1294</v>
      </c>
      <c r="I480" s="8" t="str">
        <f>IF(wld_az2_host7_fqdn="Value Missing",wld_az2_host7_fqdn,LEFT(wld_az2_host7_fqdn,FIND(".",wld_az2_host7_fqdn)-1))</f>
        <v>Value Missing</v>
      </c>
    </row>
    <row r="481" spans="5:9" ht="20" customHeight="1" x14ac:dyDescent="0.2">
      <c r="E481" s="4" t="s">
        <v>1311</v>
      </c>
      <c r="F481" s="8" t="str">
        <f>IF(mgmt_az2_host16_fqdn="Value Missing",mgmt_az2_host16_fqdn,LEFT(mgmt_az2_host16_fqdn,FIND(".",mgmt_az2_host16_fqdn)-1))</f>
        <v>Value Missing</v>
      </c>
      <c r="H481" s="4" t="s">
        <v>1296</v>
      </c>
      <c r="I481" s="8" t="str">
        <f>IF(wld_az2_host8_fqdn="Value Missing",wld_az2_host8_fqdn,LEFT(wld_az2_host8_fqdn,FIND(".",wld_az2_host8_fqdn)-1))</f>
        <v>Value Missing</v>
      </c>
    </row>
    <row r="482" spans="5:9" ht="20" customHeight="1" x14ac:dyDescent="0.2">
      <c r="E482" s="2"/>
      <c r="F482" s="2"/>
      <c r="H482" s="4" t="s">
        <v>1298</v>
      </c>
      <c r="I482" s="8" t="str">
        <f>IF(wld_az2_host9_fqdn="Value Missing",wld_az2_host9_fqdn,LEFT(wld_az2_host9_fqdn,FIND(".",wld_az2_host9_fqdn)-1))</f>
        <v>Value Missing</v>
      </c>
    </row>
    <row r="483" spans="5:9" ht="20" customHeight="1" x14ac:dyDescent="0.2">
      <c r="E483" s="14" t="s">
        <v>1374</v>
      </c>
      <c r="F483" s="16"/>
      <c r="H483" s="4" t="s">
        <v>1300</v>
      </c>
      <c r="I483" s="8" t="str">
        <f>IF(wld_az2_host10_fqdn="Value Missing",wld_az2_host10_fqdn,LEFT(wld_az2_host10_fqdn,FIND(".",wld_az2_host10_fqdn)-1))</f>
        <v>Value Missing</v>
      </c>
    </row>
    <row r="484" spans="5:9" ht="20" customHeight="1" x14ac:dyDescent="0.2">
      <c r="E484" s="19" t="s">
        <v>254</v>
      </c>
      <c r="F484" s="20" t="s">
        <v>1346</v>
      </c>
      <c r="H484" s="4" t="s">
        <v>1302</v>
      </c>
      <c r="I484" s="8" t="str">
        <f>IF(wld_az2_host11_fqdn="Value Missing",wld_az2_host11_fqdn,LEFT(wld_az2_host11_fqdn,FIND(".",wld_az2_host11_fqdn)-1))</f>
        <v>Value Missing</v>
      </c>
    </row>
    <row r="485" spans="5:9" ht="20" customHeight="1" x14ac:dyDescent="0.2">
      <c r="E485" s="4" t="s">
        <v>1282</v>
      </c>
      <c r="F485" s="8" t="str">
        <f>IF(ISBLANK(input_mgmt_az2_host1_fqdn),"Value Missing",input_mgmt_az2_host1_fqdn)</f>
        <v>Value Missing</v>
      </c>
      <c r="H485" s="4" t="s">
        <v>1304</v>
      </c>
      <c r="I485" s="8" t="str">
        <f>IF(wld_az2_host12_fqdn="Value Missing",wld_az2_host12_fqdn,LEFT(wld_az2_host12_fqdn,FIND(".",wld_az2_host12_fqdn)-1))</f>
        <v>Value Missing</v>
      </c>
    </row>
    <row r="486" spans="5:9" ht="20" customHeight="1" x14ac:dyDescent="0.2">
      <c r="E486" s="4" t="s">
        <v>1284</v>
      </c>
      <c r="F486" s="8" t="str">
        <f>IF(ISBLANK(input_mgmt_az2_host2_fqdn),"Value Missing",input_mgmt_az2_host2_fqdn)</f>
        <v>Value Missing</v>
      </c>
      <c r="H486" s="4" t="s">
        <v>1306</v>
      </c>
      <c r="I486" s="8" t="str">
        <f>IF(wld_az2_host13_fqdn="Value Missing",wld_az2_host13_fqdn,LEFT(wld_az2_host13_fqdn,FIND(".",wld_az2_host13_fqdn)-1))</f>
        <v>Value Missing</v>
      </c>
    </row>
    <row r="487" spans="5:9" ht="20" customHeight="1" x14ac:dyDescent="0.2">
      <c r="E487" s="4" t="s">
        <v>1286</v>
      </c>
      <c r="F487" s="8" t="str">
        <f>IF(ISBLANK(input_mgmt_az2_host3_fqdn),"Value Missing",input_mgmt_az2_host3_fqdn)</f>
        <v>Value Missing</v>
      </c>
      <c r="H487" s="4" t="s">
        <v>1307</v>
      </c>
      <c r="I487" s="8" t="str">
        <f>IF(wld_az2_host14_fqdn="Value Missing",wld_az2_host14_fqdn,LEFT(wld_az2_host14_fqdn,FIND(".",wld_az2_host14_fqdn)-1))</f>
        <v>Value Missing</v>
      </c>
    </row>
    <row r="488" spans="5:9" ht="20" customHeight="1" x14ac:dyDescent="0.2">
      <c r="E488" s="4" t="s">
        <v>1288</v>
      </c>
      <c r="F488" s="8" t="str">
        <f>IF(ISBLANK(input_mgmt_az2_host4_fqdn),"Value Missing",input_mgmt_az2_host4_fqdn)</f>
        <v>Value Missing</v>
      </c>
      <c r="H488" s="4" t="s">
        <v>1310</v>
      </c>
      <c r="I488" s="8" t="str">
        <f>IF(wld_az2_host15_fqdn="Value Missing",wld_az2_host15_fqdn,LEFT(wld_az2_host15_fqdn,FIND(".",wld_az2_host15_fqdn)-1))</f>
        <v>Value Missing</v>
      </c>
    </row>
    <row r="489" spans="5:9" ht="20" customHeight="1" x14ac:dyDescent="0.2">
      <c r="E489" s="4" t="s">
        <v>1290</v>
      </c>
      <c r="F489" s="8" t="str">
        <f>IF(ISBLANK(input_mgmt_az2_host5_fqdn),"Value Missing",input_mgmt_az2_host5_fqdn)</f>
        <v>Value Missing</v>
      </c>
      <c r="H489" s="4" t="s">
        <v>1311</v>
      </c>
      <c r="I489" s="8" t="str">
        <f>IF(wld_az2_host16_fqdn="Value Missing",wld_az2_host16_fqdn,LEFT(wld_az2_host16_fqdn,FIND(".",wld_az2_host16_fqdn)-1))</f>
        <v>Value Missing</v>
      </c>
    </row>
    <row r="490" spans="5:9" ht="20" customHeight="1" x14ac:dyDescent="0.2">
      <c r="E490" s="4" t="s">
        <v>1292</v>
      </c>
      <c r="F490" s="8" t="str">
        <f>IF(ISBLANK(input_mgmt_az2_host6_fqdn),"Value Missing",input_mgmt_az2_host6_fqdn)</f>
        <v>Value Missing</v>
      </c>
      <c r="I490" s="25"/>
    </row>
    <row r="491" spans="5:9" ht="20" customHeight="1" x14ac:dyDescent="0.2">
      <c r="E491" s="4" t="s">
        <v>1294</v>
      </c>
      <c r="F491" s="8" t="str">
        <f>IF(ISBLANK(input_mgmt_az2_host7_fqdn),"Value Missing",input_mgmt_az2_host7_fqdn)</f>
        <v>Value Missing</v>
      </c>
      <c r="H491" s="14" t="s">
        <v>1320</v>
      </c>
      <c r="I491" s="16"/>
    </row>
    <row r="492" spans="5:9" ht="20" customHeight="1" x14ac:dyDescent="0.2">
      <c r="E492" s="4" t="s">
        <v>1296</v>
      </c>
      <c r="F492" s="8" t="str">
        <f>IF(ISBLANK(input_mgmt_az2_host8_fqdn),"Value Missing",input_mgmt_az2_host8_fqdn)</f>
        <v>Value Missing</v>
      </c>
      <c r="H492" s="19" t="s">
        <v>254</v>
      </c>
      <c r="I492" s="20" t="s">
        <v>1346</v>
      </c>
    </row>
    <row r="493" spans="5:9" ht="20" customHeight="1" x14ac:dyDescent="0.2">
      <c r="E493" s="4" t="s">
        <v>1298</v>
      </c>
      <c r="F493" s="8" t="str">
        <f>IF(ISBLANK(input_mgmt_az2_host9_fqdn),"Value Missing",input_mgmt_az2_host9_fqdn)</f>
        <v>Value Missing</v>
      </c>
      <c r="H493" s="4" t="s">
        <v>1282</v>
      </c>
      <c r="I493" s="8" t="str">
        <f>IF(ISBLANK(input_wld_az2_host1_fqdn),"Value Missing",input_wld_az2_host1_fqdn)</f>
        <v>Value Missing</v>
      </c>
    </row>
    <row r="494" spans="5:9" ht="20" customHeight="1" x14ac:dyDescent="0.2">
      <c r="E494" s="4" t="s">
        <v>1300</v>
      </c>
      <c r="F494" s="8" t="str">
        <f>IF(ISBLANK(input_mgmt_az2_host10_fqdn),"Value Missing",input_mgmt_az2_host10_fqdn)</f>
        <v>Value Missing</v>
      </c>
      <c r="H494" s="4" t="s">
        <v>1284</v>
      </c>
      <c r="I494" s="8" t="str">
        <f>IF(ISBLANK(input_wld_az2_host2_fqdn),"Value Missing",input_wld_az2_host2_fqdn)</f>
        <v>Value Missing</v>
      </c>
    </row>
    <row r="495" spans="5:9" ht="20" customHeight="1" x14ac:dyDescent="0.2">
      <c r="E495" s="4" t="s">
        <v>1302</v>
      </c>
      <c r="F495" s="8" t="str">
        <f>IF(ISBLANK(input_mgmt_az2_host11_fqdn),"Value Missing",input_mgmt_az2_host11_fqdn)</f>
        <v>Value Missing</v>
      </c>
      <c r="H495" s="4" t="s">
        <v>1286</v>
      </c>
      <c r="I495" s="8" t="str">
        <f>IF(ISBLANK(input_wld_az2_host3_fqdn),"Value Missing",input_wld_az2_host3_fqdn)</f>
        <v>Value Missing</v>
      </c>
    </row>
    <row r="496" spans="5:9" ht="20" customHeight="1" x14ac:dyDescent="0.2">
      <c r="E496" s="4" t="s">
        <v>1304</v>
      </c>
      <c r="F496" s="8" t="str">
        <f>IF(ISBLANK(input_mgmt_az2_host12_fqdn),"Value Missing",input_mgmt_az2_host12_fqdn)</f>
        <v>Value Missing</v>
      </c>
      <c r="H496" s="4" t="s">
        <v>1288</v>
      </c>
      <c r="I496" s="8" t="str">
        <f>IF(ISBLANK(input_wld_az2_host4_fqdn),"Value Missing",input_wld_az2_host4_fqdn)</f>
        <v>Value Missing</v>
      </c>
    </row>
    <row r="497" spans="5:9" ht="20" customHeight="1" x14ac:dyDescent="0.2">
      <c r="E497" s="4" t="s">
        <v>1306</v>
      </c>
      <c r="F497" s="8" t="str">
        <f>IF(ISBLANK(input_mgmt_az2_host13_fqdn),"Value Missing",input_mgmt_az2_host13_fqdn)</f>
        <v>Value Missing</v>
      </c>
      <c r="H497" s="4" t="s">
        <v>1290</v>
      </c>
      <c r="I497" s="8" t="str">
        <f>IF(ISBLANK(input_wld_az2_host5_fqdn),"Value Missing",input_wld_az2_host5_fqdn)</f>
        <v>Value Missing</v>
      </c>
    </row>
    <row r="498" spans="5:9" ht="20" customHeight="1" x14ac:dyDescent="0.2">
      <c r="E498" s="4" t="s">
        <v>1307</v>
      </c>
      <c r="F498" s="8" t="str">
        <f>IF(ISBLANK(input_mgmt_az2_host14_fqdn),"Value Missing",input_mgmt_az2_host14_fqdn)</f>
        <v>Value Missing</v>
      </c>
      <c r="H498" s="4" t="s">
        <v>1292</v>
      </c>
      <c r="I498" s="8" t="str">
        <f>IF(ISBLANK(input_wld_az2_host6_fqdn),"Value Missing",input_wld_az2_host6_fqdn)</f>
        <v>Value Missing</v>
      </c>
    </row>
    <row r="499" spans="5:9" ht="20" customHeight="1" x14ac:dyDescent="0.2">
      <c r="E499" s="4" t="s">
        <v>1310</v>
      </c>
      <c r="F499" s="8" t="str">
        <f>IF(ISBLANK(input_mgmt_az2_host15_fqdn),"Value Missing",input_mgmt_az2_host15_fqdn)</f>
        <v>Value Missing</v>
      </c>
      <c r="H499" s="4" t="s">
        <v>1294</v>
      </c>
      <c r="I499" s="8" t="str">
        <f>IF(ISBLANK(input_wld_az2_host7_fqdn),"Value Missing",input_wld_az2_host7_fqdn)</f>
        <v>Value Missing</v>
      </c>
    </row>
    <row r="500" spans="5:9" ht="20" customHeight="1" x14ac:dyDescent="0.2">
      <c r="E500" s="4" t="s">
        <v>1311</v>
      </c>
      <c r="F500" s="8" t="str">
        <f>IF(ISBLANK(input_mgmt_az2_host16_fqdn),"Value Missing",input_mgmt_az2_host16_fqdn)</f>
        <v>Value Missing</v>
      </c>
      <c r="H500" s="4" t="s">
        <v>1296</v>
      </c>
      <c r="I500" s="8" t="str">
        <f>IF(ISBLANK(input_wld_az2_host8_fqdn),"Value Missing",input_wld_az2_host8_fqdn)</f>
        <v>Value Missing</v>
      </c>
    </row>
    <row r="501" spans="5:9" ht="20" customHeight="1" x14ac:dyDescent="0.2">
      <c r="E501" s="2"/>
      <c r="F501" s="2"/>
      <c r="H501" s="4" t="s">
        <v>1298</v>
      </c>
      <c r="I501" s="8" t="str">
        <f>IF(ISBLANK(input_wld_az2_host9_fqdn),"Value Missing",input_wld_az2_host9_fqdn)</f>
        <v>Value Missing</v>
      </c>
    </row>
    <row r="502" spans="5:9" ht="20" customHeight="1" x14ac:dyDescent="0.2">
      <c r="H502" s="4" t="s">
        <v>1300</v>
      </c>
      <c r="I502" s="8" t="str">
        <f>IF(ISBLANK(input_wld_az2_host10_fqdn),"Value Missing",input_wld_az2_host10_fqdn)</f>
        <v>Value Missing</v>
      </c>
    </row>
    <row r="503" spans="5:9" ht="20" customHeight="1" x14ac:dyDescent="0.2">
      <c r="H503" s="4" t="s">
        <v>1302</v>
      </c>
      <c r="I503" s="8" t="str">
        <f>IF(ISBLANK(input_wld_az2_host11_fqdn),"Value Missing",input_wld_az2_host11_fqdn)</f>
        <v>Value Missing</v>
      </c>
    </row>
    <row r="504" spans="5:9" ht="20" customHeight="1" x14ac:dyDescent="0.2">
      <c r="H504" s="4" t="s">
        <v>1304</v>
      </c>
      <c r="I504" s="8" t="str">
        <f>IF(ISBLANK(input_wld_az2_host12_fqdn),"Value Missing",input_wld_az2_host12_fqdn)</f>
        <v>Value Missing</v>
      </c>
    </row>
    <row r="505" spans="5:9" ht="20" customHeight="1" x14ac:dyDescent="0.2">
      <c r="H505" s="4" t="s">
        <v>1306</v>
      </c>
      <c r="I505" s="8" t="str">
        <f>IF(ISBLANK(input_wld_az2_host13_fqdn),"Value Missing",input_wld_az2_host13_fqdn)</f>
        <v>Value Missing</v>
      </c>
    </row>
    <row r="506" spans="5:9" ht="20" customHeight="1" x14ac:dyDescent="0.2">
      <c r="H506" s="4" t="s">
        <v>1307</v>
      </c>
      <c r="I506" s="8" t="str">
        <f>IF(ISBLANK(input_wld_az2_host14_fqdn),"Value Missing",input_wld_az2_host14_fqdn)</f>
        <v>Value Missing</v>
      </c>
    </row>
    <row r="507" spans="5:9" ht="20" customHeight="1" x14ac:dyDescent="0.2">
      <c r="H507" s="4" t="s">
        <v>1310</v>
      </c>
      <c r="I507" s="8" t="str">
        <f>IF(ISBLANK(input_wld_az2_host15_fqdn),"Value Missing",input_wld_az2_host15_fqdn)</f>
        <v>Value Missing</v>
      </c>
    </row>
    <row r="508" spans="5:9" ht="20" customHeight="1" x14ac:dyDescent="0.2">
      <c r="H508" s="4" t="s">
        <v>1311</v>
      </c>
      <c r="I508" s="8" t="str">
        <f>IF(ISBLANK(input_wld_az2_host16_fqdn),"Value Missing",input_wld_az2_host16_fqdn)</f>
        <v>Value Missing</v>
      </c>
    </row>
    <row r="509" spans="5:9" ht="20" customHeight="1" x14ac:dyDescent="0.2">
      <c r="I509" s="25"/>
    </row>
  </sheetData>
  <sheetProtection algorithmName="SHA-512" hashValue="Pd0c4l4uFYSX7P0CwhmPJYO9ks6GFy3v3ssqVU7TL2oQwCXSvSa2JNQJyLgMVh7lvUyeZDzC799lM6XmHQBWZA==" saltValue="oN9SlSJcFnI/dn9G4py73w==" spinCount="100000" sheet="1" objects="1" scenarios="1"/>
  <mergeCells count="33">
    <mergeCell ref="AG6:AH6"/>
    <mergeCell ref="AG17:AH17"/>
    <mergeCell ref="Z192:AA192"/>
    <mergeCell ref="AC192:AD192"/>
    <mergeCell ref="K192:L192"/>
    <mergeCell ref="N192:O192"/>
    <mergeCell ref="Q192:R192"/>
    <mergeCell ref="T192:U192"/>
    <mergeCell ref="W192:X192"/>
    <mergeCell ref="N216:O216"/>
    <mergeCell ref="K216:L216"/>
    <mergeCell ref="Q216:R216"/>
    <mergeCell ref="Z216:AA216"/>
    <mergeCell ref="AC216:AD216"/>
    <mergeCell ref="T216:U216"/>
    <mergeCell ref="W216:X216"/>
    <mergeCell ref="E232:F232"/>
    <mergeCell ref="E464:F464"/>
    <mergeCell ref="H472:I472"/>
    <mergeCell ref="H192:I192"/>
    <mergeCell ref="H232:I232"/>
    <mergeCell ref="E419:F419"/>
    <mergeCell ref="H427:I427"/>
    <mergeCell ref="E192:F192"/>
    <mergeCell ref="B42:C42"/>
    <mergeCell ref="B50:C50"/>
    <mergeCell ref="B58:C58"/>
    <mergeCell ref="E2:M2"/>
    <mergeCell ref="E3:M3"/>
    <mergeCell ref="B6:C6"/>
    <mergeCell ref="B21:C21"/>
    <mergeCell ref="B30:C30"/>
    <mergeCell ref="E6:F6"/>
  </mergeCells>
  <conditionalFormatting sqref="C8:C19 C33:C35 C37:C40 C44:C48 C52:C56 C60">
    <cfRule type="notContainsBlanks" dxfId="1338" priority="330">
      <formula>LEN(TRIM(C8))&gt;0</formula>
    </cfRule>
  </conditionalFormatting>
  <conditionalFormatting sqref="C23:C28">
    <cfRule type="notContainsBlanks" dxfId="1335" priority="284">
      <formula>LEN(TRIM(C23))&gt;0</formula>
    </cfRule>
  </conditionalFormatting>
  <conditionalFormatting sqref="F135:F136">
    <cfRule type="expression" dxfId="1329" priority="99">
      <formula>mgmt_domain_existing_vcf_operations_chosen="Selected"</formula>
    </cfRule>
    <cfRule type="notContainsBlanks" dxfId="1327" priority="101">
      <formula>LEN(TRIM(F135))&gt;0</formula>
    </cfRule>
    <cfRule type="containsBlanks" dxfId="1326" priority="102">
      <formula>LEN(TRIM(F135))=0</formula>
    </cfRule>
  </conditionalFormatting>
  <conditionalFormatting sqref="F150:F151">
    <cfRule type="expression" dxfId="1325" priority="107">
      <formula>mgmt_domain_existing_vcf_operations_chosen="Selected"</formula>
    </cfRule>
    <cfRule type="notContainsBlanks" dxfId="1323" priority="109">
      <formula>LEN(TRIM(F150))&gt;0</formula>
    </cfRule>
    <cfRule type="containsBlanks" dxfId="1322" priority="110">
      <formula>LEN(TRIM(F150))=0</formula>
    </cfRule>
  </conditionalFormatting>
  <conditionalFormatting sqref="F161">
    <cfRule type="expression" dxfId="1321" priority="103">
      <formula>mgmt_domain_existing_vcf_operations_chosen="Selected"</formula>
    </cfRule>
    <cfRule type="notContainsBlanks" dxfId="1319" priority="105">
      <formula>LEN(TRIM(F161))&gt;0</formula>
    </cfRule>
    <cfRule type="containsBlanks" dxfId="1318" priority="106">
      <formula>LEN(TRIM(F161))=0</formula>
    </cfRule>
  </conditionalFormatting>
  <conditionalFormatting sqref="F186">
    <cfRule type="expression" dxfId="1317" priority="255">
      <formula>mgmt_domain_existing_vcf_operations_chosen="Selected"</formula>
    </cfRule>
    <cfRule type="notContainsBlanks" dxfId="1315" priority="257">
      <formula>LEN(TRIM(F186))&gt;0</formula>
    </cfRule>
    <cfRule type="containsBlanks" dxfId="1314" priority="258">
      <formula>LEN(TRIM(F186))=0</formula>
    </cfRule>
    <cfRule type="expression" dxfId="1313" priority="259">
      <formula>(VROPS_Result="Excluded")</formula>
    </cfRule>
    <cfRule type="expression" dxfId="1308" priority="264">
      <formula>AND((VRLI_Result="Excluded"),(VROPS_Result="Excluded"),(VRA_Result="Excluded"))</formula>
    </cfRule>
    <cfRule type="expression" dxfId="1305" priority="267">
      <formula>mgmt_domain_existing_vcf_operations_chosen="Selected"</formula>
    </cfRule>
    <cfRule type="notContainsBlanks" dxfId="1303" priority="269">
      <formula>LEN(TRIM(F186))&gt;0</formula>
    </cfRule>
    <cfRule type="containsBlanks" dxfId="1302" priority="270">
      <formula>LEN(TRIM(F186))=0</formula>
    </cfRule>
    <cfRule type="expression" dxfId="1301" priority="271">
      <formula>(VROPS_Result="Excluded")</formula>
    </cfRule>
    <cfRule type="expression" dxfId="1296" priority="276">
      <formula>AND((VRLI_Result="Excluded"),(VROPS_Result="Excluded"),(VRA_Result="Excluded"))</formula>
    </cfRule>
  </conditionalFormatting>
  <conditionalFormatting sqref="I156">
    <cfRule type="expression" dxfId="1286" priority="87">
      <formula>mgmt_domain_existing_vcf_operations_chosen="Selected"</formula>
    </cfRule>
    <cfRule type="notContainsBlanks" dxfId="1284" priority="89">
      <formula>LEN(TRIM(I156))&gt;0</formula>
    </cfRule>
    <cfRule type="containsBlanks" dxfId="1283" priority="90">
      <formula>LEN(TRIM(I156))=0</formula>
    </cfRule>
    <cfRule type="expression" dxfId="1282" priority="91">
      <formula>(VROPS_Result="Excluded")</formula>
    </cfRule>
    <cfRule type="expression" dxfId="1277" priority="96">
      <formula>AND((VRLI_Result="Excluded"),(VROPS_Result="Excluded"),(VRA_Result="Excluded"))</formula>
    </cfRule>
  </conditionalFormatting>
  <conditionalFormatting sqref="L276 N276 P276">
    <cfRule type="notContainsBlanks" dxfId="1267" priority="85" stopIfTrue="1">
      <formula>LEN(TRIM(L276))&gt;0</formula>
    </cfRule>
    <cfRule type="containsBlanks" dxfId="1266" priority="86">
      <formula>LEN(TRIM(L276))=0</formula>
    </cfRule>
  </conditionalFormatting>
  <conditionalFormatting sqref="L277 N277 P277">
    <cfRule type="notContainsBlanks" dxfId="1265" priority="78" stopIfTrue="1">
      <formula>LEN(TRIM(L277))&gt;0</formula>
    </cfRule>
    <cfRule type="containsBlanks" dxfId="1264" priority="79">
      <formula>LEN(TRIM(L277))=0</formula>
    </cfRule>
  </conditionalFormatting>
  <conditionalFormatting sqref="L278 N278 P278">
    <cfRule type="notContainsBlanks" dxfId="1263" priority="71" stopIfTrue="1">
      <formula>LEN(TRIM(L278))&gt;0</formula>
    </cfRule>
    <cfRule type="containsBlanks" dxfId="1262" priority="72">
      <formula>LEN(TRIM(L278))=0</formula>
    </cfRule>
  </conditionalFormatting>
  <conditionalFormatting sqref="L279 N279 P279">
    <cfRule type="notContainsBlanks" dxfId="1261" priority="64" stopIfTrue="1">
      <formula>LEN(TRIM(L279))&gt;0</formula>
    </cfRule>
    <cfRule type="containsBlanks" dxfId="1260" priority="65">
      <formula>LEN(TRIM(L279))=0</formula>
    </cfRule>
  </conditionalFormatting>
  <conditionalFormatting sqref="L280 N280 P280">
    <cfRule type="notContainsBlanks" dxfId="1259" priority="57" stopIfTrue="1">
      <formula>LEN(TRIM(L280))&gt;0</formula>
    </cfRule>
    <cfRule type="containsBlanks" dxfId="1258" priority="58">
      <formula>LEN(TRIM(L280))=0</formula>
    </cfRule>
  </conditionalFormatting>
  <conditionalFormatting sqref="L281 N281 P281">
    <cfRule type="notContainsBlanks" dxfId="1257" priority="50" stopIfTrue="1">
      <formula>LEN(TRIM(L281))&gt;0</formula>
    </cfRule>
    <cfRule type="containsBlanks" dxfId="1256" priority="51">
      <formula>LEN(TRIM(L281))=0</formula>
    </cfRule>
  </conditionalFormatting>
  <conditionalFormatting sqref="M271 K276:L276 N276:R276">
    <cfRule type="expression" dxfId="1255" priority="82">
      <formula>wld_multi_rack_count_chosen&lt;2</formula>
    </cfRule>
  </conditionalFormatting>
  <conditionalFormatting sqref="M271:M276 K276:L281 N276:R281">
    <cfRule type="expression" dxfId="1254" priority="45">
      <formula>OR(wld_domain_result="Excluded",wld_multirack_result="Excluded")</formula>
    </cfRule>
    <cfRule type="expression" dxfId="1253" priority="46">
      <formula>wld_multi_rack_count_chosen="Exclude"</formula>
    </cfRule>
  </conditionalFormatting>
  <conditionalFormatting sqref="M272 K277:L277 N277:R277">
    <cfRule type="expression" dxfId="1252" priority="75">
      <formula>wld_multi_rack_count_chosen&lt;3</formula>
    </cfRule>
  </conditionalFormatting>
  <conditionalFormatting sqref="M273 K278:L278 N278:R278">
    <cfRule type="expression" dxfId="1251" priority="68">
      <formula>wld_multi_rack_count_chosen&lt;4</formula>
    </cfRule>
  </conditionalFormatting>
  <conditionalFormatting sqref="M274 K279:L279 N279:R279">
    <cfRule type="expression" dxfId="1250" priority="61">
      <formula>wld_multi_rack_count_chosen&lt;5</formula>
    </cfRule>
  </conditionalFormatting>
  <conditionalFormatting sqref="M275 K280:L280 N280:R280">
    <cfRule type="expression" dxfId="1249" priority="54">
      <formula>wld_multi_rack_count_chosen&lt;6</formula>
    </cfRule>
  </conditionalFormatting>
  <conditionalFormatting sqref="M276 K281:L281 N281:R281">
    <cfRule type="expression" dxfId="1248" priority="47">
      <formula>wld_multi_rack_count_chosen&lt;7</formula>
    </cfRule>
  </conditionalFormatting>
  <conditionalFormatting sqref="R276">
    <cfRule type="notContainsBlanks" dxfId="1229" priority="83" stopIfTrue="1">
      <formula>LEN(TRIM(R276))&gt;0</formula>
    </cfRule>
    <cfRule type="containsBlanks" dxfId="1228" priority="84" stopIfTrue="1">
      <formula>LEN(TRIM(R276))=0</formula>
    </cfRule>
  </conditionalFormatting>
  <conditionalFormatting sqref="R277">
    <cfRule type="notContainsBlanks" dxfId="1227" priority="76" stopIfTrue="1">
      <formula>LEN(TRIM(R277))&gt;0</formula>
    </cfRule>
    <cfRule type="containsBlanks" dxfId="1226" priority="77" stopIfTrue="1">
      <formula>LEN(TRIM(R277))=0</formula>
    </cfRule>
  </conditionalFormatting>
  <conditionalFormatting sqref="R278">
    <cfRule type="notContainsBlanks" dxfId="1225" priority="69" stopIfTrue="1">
      <formula>LEN(TRIM(R278))&gt;0</formula>
    </cfRule>
    <cfRule type="containsBlanks" dxfId="1224" priority="70" stopIfTrue="1">
      <formula>LEN(TRIM(R278))=0</formula>
    </cfRule>
  </conditionalFormatting>
  <conditionalFormatting sqref="R279">
    <cfRule type="notContainsBlanks" dxfId="1223" priority="62" stopIfTrue="1">
      <formula>LEN(TRIM(R279))&gt;0</formula>
    </cfRule>
    <cfRule type="containsBlanks" dxfId="1222" priority="63" stopIfTrue="1">
      <formula>LEN(TRIM(R279))=0</formula>
    </cfRule>
  </conditionalFormatting>
  <conditionalFormatting sqref="R280">
    <cfRule type="notContainsBlanks" dxfId="1221" priority="55" stopIfTrue="1">
      <formula>LEN(TRIM(R280))&gt;0</formula>
    </cfRule>
    <cfRule type="containsBlanks" dxfId="1220" priority="56" stopIfTrue="1">
      <formula>LEN(TRIM(R280))=0</formula>
    </cfRule>
  </conditionalFormatting>
  <conditionalFormatting sqref="R281">
    <cfRule type="notContainsBlanks" dxfId="1219" priority="48" stopIfTrue="1">
      <formula>LEN(TRIM(R281))&gt;0</formula>
    </cfRule>
    <cfRule type="containsBlanks" dxfId="1218" priority="49" stopIfTrue="1">
      <formula>LEN(TRIM(R281))=0</formula>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325" operator="containsText" id="{30A3F409-3375-C04B-96F9-B67835A3D38B}">
            <xm:f>NOT(ISERROR(SEARCH("Value Missing",C8)))</xm:f>
            <xm:f>"Value Missing"</xm:f>
            <x14:dxf>
              <font>
                <color theme="1"/>
              </font>
              <fill>
                <patternFill>
                  <bgColor rgb="FFFFBE29"/>
                </patternFill>
              </fill>
            </x14:dxf>
          </x14:cfRule>
          <x14:cfRule type="containsText" priority="326" operator="containsText" id="{A65C3405-968D-A649-AF5B-232123F01C80}">
            <xm:f>NOT(ISERROR(SEARCH("Not Required",C8)))</xm:f>
            <xm:f>"Not Required"</xm:f>
            <x14:dxf>
              <font>
                <color theme="0"/>
              </font>
              <fill>
                <patternFill>
                  <bgColor rgb="FF4F5F69"/>
                </patternFill>
              </fill>
            </x14:dxf>
          </x14:cfRule>
          <xm:sqref>C8:C19 C33:C35 C37:C40 C44:C48 C52:C56 C60</xm:sqref>
        </x14:conditionalFormatting>
        <x14:conditionalFormatting xmlns:xm="http://schemas.microsoft.com/office/excel/2006/main">
          <x14:cfRule type="containsText" priority="282" operator="containsText" id="{2E06A456-9CFD-394A-87AD-D2A057EC4C00}">
            <xm:f>NOT(ISERROR(SEARCH("Value Missing",C23)))</xm:f>
            <xm:f>"Value Missing"</xm:f>
            <x14:dxf>
              <font>
                <color theme="1"/>
              </font>
              <fill>
                <patternFill>
                  <bgColor rgb="FFFFBE29"/>
                </patternFill>
              </fill>
            </x14:dxf>
          </x14:cfRule>
          <x14:cfRule type="containsText" priority="283" operator="containsText" id="{04254876-DA6D-6442-90ED-5779B82C483F}">
            <xm:f>NOT(ISERROR(SEARCH("Not Required",C23)))</xm:f>
            <xm:f>"Not Required"</xm:f>
            <x14:dxf>
              <font>
                <color theme="0"/>
              </font>
              <fill>
                <patternFill>
                  <bgColor rgb="FF4F5F69"/>
                </patternFill>
              </fill>
            </x14:dxf>
          </x14:cfRule>
          <xm:sqref>C23:C28</xm:sqref>
        </x14:conditionalFormatting>
        <x14:conditionalFormatting xmlns:xm="http://schemas.microsoft.com/office/excel/2006/main">
          <x14:cfRule type="notContainsText" priority="315" operator="notContains" id="{E2FC6685-011A-7D40-B36E-2F6CD984D011}">
            <xm:f>ISERROR(SEARCH("Value Missing",F38))</xm:f>
            <xm:f>"Value Missing"</xm:f>
            <x14:dxf>
              <font>
                <color theme="1"/>
              </font>
              <fill>
                <patternFill>
                  <bgColor rgb="FFEFFDE3"/>
                </patternFill>
              </fill>
            </x14:dxf>
          </x14:cfRule>
          <xm:sqref>F38:F49 I38:I49 L39:L47 O39:O47 R39:R47 F53:F64 I53:I64 L53:L64 O53:O64 R53:R64 U53:U64 X53:X64 AA53:AA64 AD53:AD64 I135:I136 I140:I151 I155 I157:I160 I271:I278 F271:F279 I339:I350</xm:sqref>
        </x14:conditionalFormatting>
        <x14:conditionalFormatting xmlns:xm="http://schemas.microsoft.com/office/excel/2006/main">
          <x14:cfRule type="containsText" priority="314" operator="containsText" id="{45CAB6F9-A76E-F144-8161-CEFD98D62362}">
            <xm:f>NOT(ISERROR(SEARCH("Not Required",F38)))</xm:f>
            <xm:f>"Not Required"</xm:f>
            <x14:dxf>
              <font>
                <color theme="0"/>
              </font>
              <fill>
                <patternFill>
                  <bgColor rgb="FF506069"/>
                </patternFill>
              </fill>
            </x14:dxf>
          </x14:cfRule>
          <xm:sqref>F38:F49 I38:I49 L39:L47 O39:O47 R39:R47 F53:F64 I53:I64 L53:L64 O53:O64 R53:R64 U53:U64 X53:X64 AA53:AA64 AD53:AD64 I135:I136 I140:I151 I155 I157:I160 I339:I350 I271:I278 F271:F279</xm:sqref>
        </x14:conditionalFormatting>
        <x14:conditionalFormatting xmlns:xm="http://schemas.microsoft.com/office/excel/2006/main">
          <x14:cfRule type="containsText" priority="25" operator="containsText" id="{F8F6D287-D5EC-A245-9627-98CF3DE76067}">
            <xm:f>NOT(ISERROR(SEARCH("Value Missing",F100)))</xm:f>
            <xm:f>"Value Missing"</xm:f>
            <x14:dxf>
              <font>
                <color theme="1"/>
              </font>
              <fill>
                <patternFill>
                  <bgColor rgb="FFFFBD29"/>
                </patternFill>
              </fill>
            </x14:dxf>
          </x14:cfRule>
          <x14:cfRule type="containsText" priority="26" operator="containsText" id="{322B45DF-0C3A-8341-85FC-40834E1CC103}">
            <xm:f>NOT(ISERROR(SEARCH("Not Required",F100)))</xm:f>
            <xm:f>"Not Required"</xm:f>
            <x14:dxf>
              <font>
                <color theme="0"/>
              </font>
              <fill>
                <patternFill>
                  <bgColor rgb="FF506069"/>
                </patternFill>
              </fill>
            </x14:dxf>
          </x14:cfRule>
          <x14:cfRule type="notContainsText" priority="27" operator="notContains" id="{5564705D-33A9-D14E-8CDD-B34AEA25C21F}">
            <xm:f>ISERROR(SEARCH("Value Missing",F100))</xm:f>
            <xm:f>"Value Missing"</xm:f>
            <x14:dxf>
              <font>
                <color theme="1"/>
              </font>
              <fill>
                <patternFill>
                  <bgColor rgb="FFEFFDE3"/>
                </patternFill>
              </fill>
            </x14:dxf>
          </x14:cfRule>
          <xm:sqref>F100:F111 I282:I289 F282:F290</xm:sqref>
        </x14:conditionalFormatting>
        <x14:conditionalFormatting xmlns:xm="http://schemas.microsoft.com/office/excel/2006/main">
          <x14:cfRule type="containsText" priority="100" stopIfTrue="1" operator="containsText" id="{5BF1A790-0B4D-5048-9ABD-D5312BB43F39}">
            <xm:f>NOT(ISERROR(SEARCH("Value Missing",F135)))</xm:f>
            <xm:f>"Value Missing"</xm:f>
            <x14:dxf>
              <font>
                <color rgb="FF0E223A"/>
              </font>
              <fill>
                <patternFill>
                  <bgColor rgb="FFFFBE29"/>
                </patternFill>
              </fill>
            </x14:dxf>
          </x14:cfRule>
          <xm:sqref>F135:F136</xm:sqref>
        </x14:conditionalFormatting>
        <x14:conditionalFormatting xmlns:xm="http://schemas.microsoft.com/office/excel/2006/main">
          <x14:cfRule type="containsText" priority="108" stopIfTrue="1" operator="containsText" id="{2025EE07-F0D2-5C4D-ADE3-0DD692DE1F78}">
            <xm:f>NOT(ISERROR(SEARCH("Value Missing",F150)))</xm:f>
            <xm:f>"Value Missing"</xm:f>
            <x14:dxf>
              <font>
                <color rgb="FF0E223A"/>
              </font>
              <fill>
                <patternFill>
                  <bgColor rgb="FFFFBE29"/>
                </patternFill>
              </fill>
            </x14:dxf>
          </x14:cfRule>
          <xm:sqref>F150:F151</xm:sqref>
        </x14:conditionalFormatting>
        <x14:conditionalFormatting xmlns:xm="http://schemas.microsoft.com/office/excel/2006/main">
          <x14:cfRule type="containsText" priority="104" stopIfTrue="1" operator="containsText" id="{2A22471B-5133-3C49-A30A-0F63C483BDB5}">
            <xm:f>NOT(ISERROR(SEARCH("Value Missing",F161)))</xm:f>
            <xm:f>"Value Missing"</xm:f>
            <x14:dxf>
              <font>
                <color rgb="FF0E223A"/>
              </font>
              <fill>
                <patternFill>
                  <bgColor rgb="FFFFBE29"/>
                </patternFill>
              </fill>
            </x14:dxf>
          </x14:cfRule>
          <xm:sqref>F161</xm:sqref>
        </x14:conditionalFormatting>
        <x14:conditionalFormatting xmlns:xm="http://schemas.microsoft.com/office/excel/2006/main">
          <x14:cfRule type="containsText" priority="256" stopIfTrue="1" operator="containsText" id="{7D4DEBEB-A173-7F4F-9C79-8ECC19831809}">
            <xm:f>NOT(ISERROR(SEARCH("Value Missing",F186)))</xm:f>
            <xm:f>"Value Missing"</xm:f>
            <x14:dxf>
              <font>
                <color rgb="FF0E223A"/>
              </font>
              <fill>
                <patternFill>
                  <bgColor rgb="FFFFBE29"/>
                </patternFill>
              </fill>
            </x14:dxf>
          </x14:cfRule>
          <x14:cfRule type="notContainsText" priority="260" operator="notContains" id="{60CD5978-8FB8-FF43-85E9-364702C0CAA9}">
            <xm:f>ISERROR(SEARCH("Value Missing",F186))</xm:f>
            <xm:f>"Value Missing"</xm:f>
            <x14:dxf>
              <font>
                <color rgb="FF006100"/>
              </font>
              <fill>
                <patternFill>
                  <bgColor rgb="FFC6EFCE"/>
                </patternFill>
              </fill>
            </x14:dxf>
          </x14:cfRule>
          <x14:cfRule type="containsText" priority="261" operator="containsText" id="{90CAD925-3107-4146-B9BB-526E697276DF}">
            <xm:f>NOT(ISERROR(SEARCH("Value Missing",F186)))</xm:f>
            <xm:f>"Value Missing"</xm:f>
            <x14:dxf>
              <font>
                <color rgb="FF9C0006"/>
              </font>
              <fill>
                <patternFill>
                  <bgColor rgb="FFFFC7CE"/>
                </patternFill>
              </fill>
            </x14:dxf>
          </x14:cfRule>
          <x14:cfRule type="notContainsText" priority="262" operator="notContains" id="{A64DB7C4-5E87-5A48-BE1E-79C5A5200141}">
            <xm:f>ISERROR(SEARCH("Value Missing",F186))</xm:f>
            <xm:f>"Value Missing"</xm:f>
            <x14:dxf>
              <font>
                <color rgb="FF006100"/>
              </font>
              <fill>
                <patternFill>
                  <bgColor rgb="FFC6EFCE"/>
                </patternFill>
              </fill>
            </x14:dxf>
          </x14:cfRule>
          <x14:cfRule type="containsText" priority="263" operator="containsText" id="{51D9070B-BE64-774E-9D04-DFDE224AE899}">
            <xm:f>NOT(ISERROR(SEARCH("Value Missing",F186)))</xm:f>
            <xm:f>"Value Missing"</xm:f>
            <x14:dxf>
              <font>
                <color rgb="FF9C0006"/>
              </font>
              <fill>
                <patternFill>
                  <bgColor rgb="FFFFC7CE"/>
                </patternFill>
              </fill>
            </x14:dxf>
          </x14:cfRule>
          <x14:cfRule type="notContainsText" priority="265" operator="notContains" id="{B7E4B134-1375-4741-ADC9-3D565C12F2AB}">
            <xm:f>ISERROR(SEARCH("Value Missing",F186))</xm:f>
            <xm:f>"Value Missing"</xm:f>
            <x14:dxf>
              <font>
                <color rgb="FF006100"/>
              </font>
              <fill>
                <patternFill>
                  <bgColor rgb="FFC6EFCE"/>
                </patternFill>
              </fill>
            </x14:dxf>
          </x14:cfRule>
          <x14:cfRule type="containsText" priority="266" operator="containsText" id="{3787AAFD-DADB-D94F-91BA-2E8FECD7C597}">
            <xm:f>NOT(ISERROR(SEARCH("Value Missing",F186)))</xm:f>
            <xm:f>"Value Missing"</xm:f>
            <x14:dxf>
              <font>
                <color rgb="FF9C0006"/>
              </font>
              <fill>
                <patternFill>
                  <bgColor rgb="FFFFC7CE"/>
                </patternFill>
              </fill>
            </x14:dxf>
          </x14:cfRule>
          <x14:cfRule type="containsText" priority="268" stopIfTrue="1" operator="containsText" id="{784E68FA-8023-794C-BD87-0A9D011C4959}">
            <xm:f>NOT(ISERROR(SEARCH("Value Missing",F186)))</xm:f>
            <xm:f>"Value Missing"</xm:f>
            <x14:dxf>
              <font>
                <color rgb="FF0E223A"/>
              </font>
              <fill>
                <patternFill>
                  <bgColor rgb="FFFFBE29"/>
                </patternFill>
              </fill>
            </x14:dxf>
          </x14:cfRule>
          <x14:cfRule type="notContainsText" priority="272" operator="notContains" id="{11FFCF3C-8326-444A-90E8-517EEE7E55A2}">
            <xm:f>ISERROR(SEARCH("Value Missing",F186))</xm:f>
            <xm:f>"Value Missing"</xm:f>
            <x14:dxf>
              <font>
                <color rgb="FF006100"/>
              </font>
              <fill>
                <patternFill>
                  <bgColor rgb="FFC6EFCE"/>
                </patternFill>
              </fill>
            </x14:dxf>
          </x14:cfRule>
          <x14:cfRule type="containsText" priority="273" operator="containsText" id="{C9672E1A-1695-594B-9F42-DB874E6191EC}">
            <xm:f>NOT(ISERROR(SEARCH("Value Missing",F186)))</xm:f>
            <xm:f>"Value Missing"</xm:f>
            <x14:dxf>
              <font>
                <color rgb="FF9C0006"/>
              </font>
              <fill>
                <patternFill>
                  <bgColor rgb="FFFFC7CE"/>
                </patternFill>
              </fill>
            </x14:dxf>
          </x14:cfRule>
          <x14:cfRule type="notContainsText" priority="274" operator="notContains" id="{C6A2A1FE-59E8-BB4C-8B10-B1342F266A20}">
            <xm:f>ISERROR(SEARCH("Value Missing",F186))</xm:f>
            <xm:f>"Value Missing"</xm:f>
            <x14:dxf>
              <font>
                <color rgb="FF006100"/>
              </font>
              <fill>
                <patternFill>
                  <bgColor rgb="FFC6EFCE"/>
                </patternFill>
              </fill>
            </x14:dxf>
          </x14:cfRule>
          <x14:cfRule type="containsText" priority="275" operator="containsText" id="{C16983BC-AF16-2841-9EA9-792057041EFE}">
            <xm:f>NOT(ISERROR(SEARCH("Value Missing",F186)))</xm:f>
            <xm:f>"Value Missing"</xm:f>
            <x14:dxf>
              <font>
                <color rgb="FF9C0006"/>
              </font>
              <fill>
                <patternFill>
                  <bgColor rgb="FFFFC7CE"/>
                </patternFill>
              </fill>
            </x14:dxf>
          </x14:cfRule>
          <x14:cfRule type="notContainsText" priority="277" operator="notContains" id="{5429F24B-9BF7-8141-9CCF-1F7920CF0406}">
            <xm:f>ISERROR(SEARCH("Value Missing",F186))</xm:f>
            <xm:f>"Value Missing"</xm:f>
            <x14:dxf>
              <font>
                <color rgb="FF006100"/>
              </font>
              <fill>
                <patternFill>
                  <bgColor rgb="FFC6EFCE"/>
                </patternFill>
              </fill>
            </x14:dxf>
          </x14:cfRule>
          <x14:cfRule type="containsText" priority="278" operator="containsText" id="{E627FF7E-80A3-9940-8316-1E369D6157AB}">
            <xm:f>NOT(ISERROR(SEARCH("Value Missing",F186)))</xm:f>
            <xm:f>"Value Missing"</xm:f>
            <x14:dxf>
              <font>
                <color rgb="FF9C0006"/>
              </font>
              <fill>
                <patternFill>
                  <bgColor rgb="FFFFC7CE"/>
                </patternFill>
              </fill>
            </x14:dxf>
          </x14:cfRule>
          <xm:sqref>F186</xm:sqref>
        </x14:conditionalFormatting>
        <x14:conditionalFormatting xmlns:xm="http://schemas.microsoft.com/office/excel/2006/main">
          <x14:cfRule type="containsText" priority="291" operator="containsText" id="{72CC92B6-7065-824D-B6B6-B08AC16DCD08}">
            <xm:f>NOT(ISERROR(SEARCH("Value Missing",F336)))</xm:f>
            <xm:f>"Value Missing"</xm:f>
            <x14:dxf>
              <font>
                <color theme="1"/>
              </font>
              <fill>
                <patternFill>
                  <bgColor rgb="FFFFBD29"/>
                </patternFill>
              </fill>
            </x14:dxf>
          </x14:cfRule>
          <x14:cfRule type="containsText" priority="292" operator="containsText" id="{28E521F9-4BBC-064B-BD7C-1DBEC7C58D3D}">
            <xm:f>NOT(ISERROR(SEARCH("Not Required",F336)))</xm:f>
            <xm:f>"Not Required"</xm:f>
            <x14:dxf>
              <font>
                <color theme="0"/>
              </font>
              <fill>
                <patternFill>
                  <bgColor rgb="FF506069"/>
                </patternFill>
              </fill>
            </x14:dxf>
          </x14:cfRule>
          <x14:cfRule type="notContainsText" priority="293" operator="notContains" id="{875F1B01-BDE0-FB4E-ACFA-043A2FD7BB3E}">
            <xm:f>ISERROR(SEARCH("Value Missing",F336))</xm:f>
            <xm:f>"Value Missing"</xm:f>
            <x14:dxf>
              <font>
                <color theme="1"/>
              </font>
              <fill>
                <patternFill>
                  <bgColor rgb="FFEFFDE3"/>
                </patternFill>
              </fill>
            </x14:dxf>
          </x14:cfRule>
          <xm:sqref>F336:F346</xm:sqref>
        </x14:conditionalFormatting>
        <x14:conditionalFormatting xmlns:xm="http://schemas.microsoft.com/office/excel/2006/main">
          <x14:cfRule type="containsText" priority="328" operator="containsText" id="{6FEEEEE0-7416-1E4F-A814-0143DEF4CFF3}">
            <xm:f>NOT(ISERROR(SEARCH("Value Missing",F8)))</xm:f>
            <xm:f>"Value Missing"</xm:f>
            <x14:dxf>
              <font>
                <color theme="1"/>
              </font>
              <fill>
                <patternFill>
                  <bgColor rgb="FFFFBD29"/>
                </patternFill>
              </fill>
            </x14:dxf>
          </x14:cfRule>
          <xm:sqref>I53:I54 I125:I136 I271:I278 F271:F279 F182:F190 AA8:AA14 F8:F19 I8:I19 L8:L19 O8:O19 R8:R19 U8:U19 X8:X19 AD8:AD19 AA16:AA19 F23:F34 I23:I34 L23:L34 O23:O34 R23:R34 U23:U34 X23:X34 AA23:AA34 AD23:AD34 F69:F80 I69:I80 L69:L80 O69:O80 R69:R80 U69:U80 X69:X80 AA69:AA80 AD69:AD80 F85:F96 I85:I96 L85:L96 O85:O96 R85:R96 U85:U96 X85:X96 AA85:AA96 AD85:AD96 F115:F121 I115:I121 L115:L121 O115:O121 R115:R121 U115:U121 X115:X121 AA115:AA121 AD115:AD121 L125:L130 O125:O130 R125:R130 U125:U130 X125:X130 AA125:AA130 AD125:AD130 F125:F134 F140:F149 F155:F160 F165:F178 I165:I178 L165:L178 O165:O178 R165:R178 U165:U178 X165:X178 AA165:AA178 AD165:AD178 I182:I190 L182:L190 O182:O190 R182:R190 U182:U190 X182:X190 AA182:AA190 AD182:AD190 F194:F195 L194:L195 O194:O195 R194:R195 U194:U195 X194:X195 AA194:AA195 AD194:AD195 L199:L214 O199:O214 R199:R214 U199:U214 X199:X214 AA199:AA214 AD199:AD214 F199:F230 I199:I230 L218:L233 O218:O233 R218:R233 U218:U233 X218:X233 AA218:AA233 AD218:AD233 F234:F249 I234:I249 L237:L252 O237:O252 R237:R252 U237:U252 X237:X252 AA237:AA252 AD237:AD252 F253:F268 I253:I268 L255:L261 O255:O261 R255:R261 U255:U261 X255:X261 AA255:AA261 AD255:AD261 F294:F304 I294:I305 F308:F318 I309:I320 F322:F332 I324:I335 F350:F360 I354:I365 F364:F374 I369:I380 F378:F384 I384:I390 F388:F397 I394:I403 F401:F410 I407:I418 F414:F417 F421:F427 I422:I425 I429:I435 F431:F462 I439:I470 F466:F481 I474:I489 F485:F500 I493:I508</xm:sqref>
        </x14:conditionalFormatting>
        <x14:conditionalFormatting xmlns:xm="http://schemas.microsoft.com/office/excel/2006/main">
          <x14:cfRule type="containsText" priority="22" operator="containsText" id="{0BFC2548-F550-1B4E-B74A-58C260417917}">
            <xm:f>NOT(ISERROR(SEARCH("Value Missing",I100)))</xm:f>
            <xm:f>"Value Missing"</xm:f>
            <x14:dxf>
              <font>
                <color theme="1"/>
              </font>
              <fill>
                <patternFill>
                  <bgColor rgb="FFFFBD29"/>
                </patternFill>
              </fill>
            </x14:dxf>
          </x14:cfRule>
          <x14:cfRule type="containsText" priority="23" operator="containsText" id="{D910BD57-DA88-DF48-9592-BE081B28E684}">
            <xm:f>NOT(ISERROR(SEARCH("Not Required",I100)))</xm:f>
            <xm:f>"Not Required"</xm:f>
            <x14:dxf>
              <font>
                <color theme="0"/>
              </font>
              <fill>
                <patternFill>
                  <bgColor rgb="FF506069"/>
                </patternFill>
              </fill>
            </x14:dxf>
          </x14:cfRule>
          <x14:cfRule type="notContainsText" priority="24" operator="notContains" id="{2E7000E7-CF09-A940-9B3D-D96D635398D8}">
            <xm:f>ISERROR(SEARCH("Value Missing",I100))</xm:f>
            <xm:f>"Value Missing"</xm:f>
            <x14:dxf>
              <font>
                <color theme="1"/>
              </font>
              <fill>
                <patternFill>
                  <bgColor rgb="FFEFFDE3"/>
                </patternFill>
              </fill>
            </x14:dxf>
          </x14:cfRule>
          <xm:sqref>I100:I111</xm:sqref>
        </x14:conditionalFormatting>
        <x14:conditionalFormatting xmlns:xm="http://schemas.microsoft.com/office/excel/2006/main">
          <x14:cfRule type="containsText" priority="88" stopIfTrue="1" operator="containsText" id="{9759BC04-AE11-A04C-9051-0EE5A6AFA6F6}">
            <xm:f>NOT(ISERROR(SEARCH("Value Missing",I156)))</xm:f>
            <xm:f>"Value Missing"</xm:f>
            <x14:dxf>
              <font>
                <color rgb="FF0E223A"/>
              </font>
              <fill>
                <patternFill>
                  <bgColor rgb="FFFFBE29"/>
                </patternFill>
              </fill>
            </x14:dxf>
          </x14:cfRule>
          <x14:cfRule type="notContainsText" priority="92" operator="notContains" id="{F95AF1BF-1E3B-DB42-8F14-E4A053285F43}">
            <xm:f>ISERROR(SEARCH("Value Missing",I156))</xm:f>
            <xm:f>"Value Missing"</xm:f>
            <x14:dxf>
              <font>
                <color rgb="FF006100"/>
              </font>
              <fill>
                <patternFill>
                  <bgColor rgb="FFC6EFCE"/>
                </patternFill>
              </fill>
            </x14:dxf>
          </x14:cfRule>
          <x14:cfRule type="containsText" priority="93" operator="containsText" id="{384E719D-3162-724D-998F-C2AFEB798E9B}">
            <xm:f>NOT(ISERROR(SEARCH("Value Missing",I156)))</xm:f>
            <xm:f>"Value Missing"</xm:f>
            <x14:dxf>
              <font>
                <color rgb="FF9C0006"/>
              </font>
              <fill>
                <patternFill>
                  <bgColor rgb="FFFFC7CE"/>
                </patternFill>
              </fill>
            </x14:dxf>
          </x14:cfRule>
          <x14:cfRule type="notContainsText" priority="94" operator="notContains" id="{7A9F70AB-ECF5-234E-8681-CE2C9CE3407E}">
            <xm:f>ISERROR(SEARCH("Value Missing",I156))</xm:f>
            <xm:f>"Value Missing"</xm:f>
            <x14:dxf>
              <font>
                <color rgb="FF006100"/>
              </font>
              <fill>
                <patternFill>
                  <bgColor rgb="FFC6EFCE"/>
                </patternFill>
              </fill>
            </x14:dxf>
          </x14:cfRule>
          <x14:cfRule type="containsText" priority="95" operator="containsText" id="{987F56E2-7209-B149-9C87-C9C45C9B4568}">
            <xm:f>NOT(ISERROR(SEARCH("Value Missing",I156)))</xm:f>
            <xm:f>"Value Missing"</xm:f>
            <x14:dxf>
              <font>
                <color rgb="FF9C0006"/>
              </font>
              <fill>
                <patternFill>
                  <bgColor rgb="FFFFC7CE"/>
                </patternFill>
              </fill>
            </x14:dxf>
          </x14:cfRule>
          <x14:cfRule type="notContainsText" priority="97" operator="notContains" id="{21325923-C720-2E46-B08D-2D3513622B6F}">
            <xm:f>ISERROR(SEARCH("Value Missing",I156))</xm:f>
            <xm:f>"Value Missing"</xm:f>
            <x14:dxf>
              <font>
                <color rgb="FF006100"/>
              </font>
              <fill>
                <patternFill>
                  <bgColor rgb="FFC6EFCE"/>
                </patternFill>
              </fill>
            </x14:dxf>
          </x14:cfRule>
          <x14:cfRule type="containsText" priority="98" operator="containsText" id="{AF373FEF-4402-CE4E-A610-DC924B237CAD}">
            <xm:f>NOT(ISERROR(SEARCH("Value Missing",I156)))</xm:f>
            <xm:f>"Value Missing"</xm:f>
            <x14:dxf>
              <font>
                <color rgb="FF9C0006"/>
              </font>
              <fill>
                <patternFill>
                  <bgColor rgb="FFFFC7CE"/>
                </patternFill>
              </fill>
            </x14:dxf>
          </x14:cfRule>
          <xm:sqref>I156</xm:sqref>
        </x14:conditionalFormatting>
        <x14:conditionalFormatting xmlns:xm="http://schemas.microsoft.com/office/excel/2006/main">
          <x14:cfRule type="containsText" priority="252" operator="containsText" id="{6224CAFD-AB38-1F46-A927-8B474B6B96C8}">
            <xm:f>NOT(ISERROR(SEARCH("Value Missing",L53)))</xm:f>
            <xm:f>"Value Missing"</xm:f>
            <x14:dxf>
              <font>
                <color theme="1"/>
              </font>
              <fill>
                <patternFill>
                  <bgColor rgb="FFFFBD29"/>
                </patternFill>
              </fill>
            </x14:dxf>
          </x14:cfRule>
          <x14:cfRule type="containsText" priority="253" operator="containsText" id="{69F56B06-F737-F745-92B3-A1BA6CF53FC1}">
            <xm:f>NOT(ISERROR(SEARCH("Not Required",L53)))</xm:f>
            <xm:f>"Not Required"</xm:f>
            <x14:dxf>
              <font>
                <color theme="0"/>
              </font>
              <fill>
                <patternFill>
                  <bgColor rgb="FF506069"/>
                </patternFill>
              </fill>
            </x14:dxf>
          </x14:cfRule>
          <x14:cfRule type="notContainsText" priority="254" operator="notContains" id="{7870F5D3-3AB6-3A4E-B049-A189076E98D1}">
            <xm:f>ISERROR(SEARCH("Value Missing",L53))</xm:f>
            <xm:f>"Value Missing"</xm:f>
            <x14:dxf>
              <font>
                <color theme="1"/>
              </font>
              <fill>
                <patternFill>
                  <bgColor rgb="FFEFFDE3"/>
                </patternFill>
              </fill>
            </x14:dxf>
          </x14:cfRule>
          <xm:sqref>L53:L56</xm:sqref>
        </x14:conditionalFormatting>
        <x14:conditionalFormatting xmlns:xm="http://schemas.microsoft.com/office/excel/2006/main">
          <x14:cfRule type="containsText" priority="313" operator="containsText" id="{2B265EB1-2EB1-2848-B9E1-F4B52A8E22E2}">
            <xm:f>NOT(ISERROR(SEARCH("Value Missing",F38)))</xm:f>
            <xm:f>"Value Missing"</xm:f>
            <x14:dxf>
              <font>
                <color theme="1"/>
              </font>
              <fill>
                <patternFill>
                  <bgColor rgb="FFFFBD29"/>
                </patternFill>
              </fill>
            </x14:dxf>
          </x14:cfRule>
          <xm:sqref>L53:L64 O53:O64 R53:R64 U53:U64 X53:X64 AA53:AA64 AD53:AD64 F38:F49 I38:I49 L39:L47 O39:O47 R39:R47 F53:F64 I53:I64 I135:I136 I140:I151 I155 I157:I160 I339:I350</xm:sqref>
        </x14:conditionalFormatting>
        <x14:conditionalFormatting xmlns:xm="http://schemas.microsoft.com/office/excel/2006/main">
          <x14:cfRule type="containsText" priority="19" operator="containsText" id="{56F2BC60-5975-DD42-81E0-D0217581B254}">
            <xm:f>NOT(ISERROR(SEARCH("Value Missing",L101)))</xm:f>
            <xm:f>"Value Missing"</xm:f>
            <x14:dxf>
              <font>
                <color theme="1"/>
              </font>
              <fill>
                <patternFill>
                  <bgColor rgb="FFFFBD29"/>
                </patternFill>
              </fill>
            </x14:dxf>
          </x14:cfRule>
          <x14:cfRule type="containsText" priority="20" operator="containsText" id="{773BF1CC-155C-A84B-B94D-9ADA2E446940}">
            <xm:f>NOT(ISERROR(SEARCH("Not Required",L101)))</xm:f>
            <xm:f>"Not Required"</xm:f>
            <x14:dxf>
              <font>
                <color theme="0"/>
              </font>
              <fill>
                <patternFill>
                  <bgColor rgb="FF506069"/>
                </patternFill>
              </fill>
            </x14:dxf>
          </x14:cfRule>
          <x14:cfRule type="notContainsText" priority="21" operator="notContains" id="{CFAB87D1-FA31-304A-BD4A-A7686825E5D9}">
            <xm:f>ISERROR(SEARCH("Value Missing",L101))</xm:f>
            <xm:f>"Value Missing"</xm:f>
            <x14:dxf>
              <font>
                <color theme="1"/>
              </font>
              <fill>
                <patternFill>
                  <bgColor rgb="FFEFFDE3"/>
                </patternFill>
              </fill>
            </x14:dxf>
          </x14:cfRule>
          <xm:sqref>L101:L111</xm:sqref>
        </x14:conditionalFormatting>
        <x14:conditionalFormatting xmlns:xm="http://schemas.microsoft.com/office/excel/2006/main">
          <x14:cfRule type="containsText" priority="210" operator="containsText" id="{3484D9B2-8390-8D49-84C4-1BB762F411BD}">
            <xm:f>NOT(ISERROR(SEARCH("Value Missing",O53)))</xm:f>
            <xm:f>"Value Missing"</xm:f>
            <x14:dxf>
              <font>
                <color theme="1"/>
              </font>
              <fill>
                <patternFill>
                  <bgColor rgb="FFFFBD29"/>
                </patternFill>
              </fill>
            </x14:dxf>
          </x14:cfRule>
          <x14:cfRule type="containsText" priority="211" operator="containsText" id="{B4FF0D6C-6C46-394E-BD50-67E1D251040A}">
            <xm:f>NOT(ISERROR(SEARCH("Not Required",O53)))</xm:f>
            <xm:f>"Not Required"</xm:f>
            <x14:dxf>
              <font>
                <color theme="0"/>
              </font>
              <fill>
                <patternFill>
                  <bgColor rgb="FF506069"/>
                </patternFill>
              </fill>
            </x14:dxf>
          </x14:cfRule>
          <x14:cfRule type="notContainsText" priority="212" operator="notContains" id="{E4DF8E44-677B-5044-90B7-70A29E7D9546}">
            <xm:f>ISERROR(SEARCH("Value Missing",O53))</xm:f>
            <xm:f>"Value Missing"</xm:f>
            <x14:dxf>
              <font>
                <color theme="1"/>
              </font>
              <fill>
                <patternFill>
                  <bgColor rgb="FFEFFDE3"/>
                </patternFill>
              </fill>
            </x14:dxf>
          </x14:cfRule>
          <xm:sqref>O53:O56</xm:sqref>
        </x14:conditionalFormatting>
        <x14:conditionalFormatting xmlns:xm="http://schemas.microsoft.com/office/excel/2006/main">
          <x14:cfRule type="containsText" priority="174" operator="containsText" id="{BE046617-BB68-A248-B205-0BA04B74BC03}">
            <xm:f>NOT(ISERROR(SEARCH("Value Missing",O56)))</xm:f>
            <xm:f>"Value Missing"</xm:f>
            <x14:dxf>
              <font>
                <color theme="1"/>
              </font>
              <fill>
                <patternFill>
                  <bgColor rgb="FFFFBD29"/>
                </patternFill>
              </fill>
            </x14:dxf>
          </x14:cfRule>
          <x14:cfRule type="containsText" priority="175" operator="containsText" id="{47D8B146-5634-DD49-8B63-DF06CDE5E18A}">
            <xm:f>NOT(ISERROR(SEARCH("Not Required",O56)))</xm:f>
            <xm:f>"Not Required"</xm:f>
            <x14:dxf>
              <font>
                <color theme="0"/>
              </font>
              <fill>
                <patternFill>
                  <bgColor rgb="FF506069"/>
                </patternFill>
              </fill>
            </x14:dxf>
          </x14:cfRule>
          <x14:cfRule type="notContainsText" priority="176" operator="notContains" id="{F314583A-4DC4-6B46-B96E-2AAA05DE3F83}">
            <xm:f>ISERROR(SEARCH("Value Missing",O56))</xm:f>
            <xm:f>"Value Missing"</xm:f>
            <x14:dxf>
              <font>
                <color theme="1"/>
              </font>
              <fill>
                <patternFill>
                  <bgColor rgb="FFEFFDE3"/>
                </patternFill>
              </fill>
            </x14:dxf>
          </x14:cfRule>
          <xm:sqref>O56</xm:sqref>
        </x14:conditionalFormatting>
        <x14:conditionalFormatting xmlns:xm="http://schemas.microsoft.com/office/excel/2006/main">
          <x14:cfRule type="containsText" priority="16" operator="containsText" id="{FDD90CBA-110D-2947-80DC-414F397FF119}">
            <xm:f>NOT(ISERROR(SEARCH("Value Missing",O101)))</xm:f>
            <xm:f>"Value Missing"</xm:f>
            <x14:dxf>
              <font>
                <color theme="1"/>
              </font>
              <fill>
                <patternFill>
                  <bgColor rgb="FFFFBD29"/>
                </patternFill>
              </fill>
            </x14:dxf>
          </x14:cfRule>
          <x14:cfRule type="containsText" priority="17" operator="containsText" id="{A5C57837-B1B2-CD4B-A45D-C143EF0986C6}">
            <xm:f>NOT(ISERROR(SEARCH("Not Required",O101)))</xm:f>
            <xm:f>"Not Required"</xm:f>
            <x14:dxf>
              <font>
                <color theme="0"/>
              </font>
              <fill>
                <patternFill>
                  <bgColor rgb="FF506069"/>
                </patternFill>
              </fill>
            </x14:dxf>
          </x14:cfRule>
          <x14:cfRule type="notContainsText" priority="18" operator="notContains" id="{F410AAF4-F5C6-334D-A7EE-A52A06B9ACB5}">
            <xm:f>ISERROR(SEARCH("Value Missing",O101))</xm:f>
            <xm:f>"Value Missing"</xm:f>
            <x14:dxf>
              <font>
                <color theme="1"/>
              </font>
              <fill>
                <patternFill>
                  <bgColor rgb="FFEFFDE3"/>
                </patternFill>
              </fill>
            </x14:dxf>
          </x14:cfRule>
          <xm:sqref>O101:O111</xm:sqref>
        </x14:conditionalFormatting>
        <x14:conditionalFormatting xmlns:xm="http://schemas.microsoft.com/office/excel/2006/main">
          <x14:cfRule type="containsText" priority="204" operator="containsText" id="{4DB5BF19-7549-2D4D-9F00-53662934B3EA}">
            <xm:f>NOT(ISERROR(SEARCH("Value Missing",R53)))</xm:f>
            <xm:f>"Value Missing"</xm:f>
            <x14:dxf>
              <font>
                <color theme="1"/>
              </font>
              <fill>
                <patternFill>
                  <bgColor rgb="FFFFBD29"/>
                </patternFill>
              </fill>
            </x14:dxf>
          </x14:cfRule>
          <x14:cfRule type="containsText" priority="205" operator="containsText" id="{73C225FC-2EA3-ED4E-8798-D772148AC61F}">
            <xm:f>NOT(ISERROR(SEARCH("Not Required",R53)))</xm:f>
            <xm:f>"Not Required"</xm:f>
            <x14:dxf>
              <font>
                <color theme="0"/>
              </font>
              <fill>
                <patternFill>
                  <bgColor rgb="FF506069"/>
                </patternFill>
              </fill>
            </x14:dxf>
          </x14:cfRule>
          <x14:cfRule type="notContainsText" priority="206" operator="notContains" id="{98CD919A-1892-B144-9FD2-E20F738B8462}">
            <xm:f>ISERROR(SEARCH("Value Missing",R53))</xm:f>
            <xm:f>"Value Missing"</xm:f>
            <x14:dxf>
              <font>
                <color theme="1"/>
              </font>
              <fill>
                <patternFill>
                  <bgColor rgb="FFEFFDE3"/>
                </patternFill>
              </fill>
            </x14:dxf>
          </x14:cfRule>
          <xm:sqref>R53:R56</xm:sqref>
        </x14:conditionalFormatting>
        <x14:conditionalFormatting xmlns:xm="http://schemas.microsoft.com/office/excel/2006/main">
          <x14:cfRule type="containsText" priority="171" operator="containsText" id="{CF58F867-FF0B-1D42-8BDB-FEA6BC35ED7F}">
            <xm:f>NOT(ISERROR(SEARCH("Value Missing",R56)))</xm:f>
            <xm:f>"Value Missing"</xm:f>
            <x14:dxf>
              <font>
                <color theme="1"/>
              </font>
              <fill>
                <patternFill>
                  <bgColor rgb="FFFFBD29"/>
                </patternFill>
              </fill>
            </x14:dxf>
          </x14:cfRule>
          <x14:cfRule type="containsText" priority="172" operator="containsText" id="{675D5EFB-839D-C44D-9960-0B8483B9E49C}">
            <xm:f>NOT(ISERROR(SEARCH("Not Required",R56)))</xm:f>
            <xm:f>"Not Required"</xm:f>
            <x14:dxf>
              <font>
                <color theme="0"/>
              </font>
              <fill>
                <patternFill>
                  <bgColor rgb="FF506069"/>
                </patternFill>
              </fill>
            </x14:dxf>
          </x14:cfRule>
          <x14:cfRule type="notContainsText" priority="173" operator="notContains" id="{6B12F593-4614-044E-B315-C3C241E7ED5A}">
            <xm:f>ISERROR(SEARCH("Value Missing",R56))</xm:f>
            <xm:f>"Value Missing"</xm:f>
            <x14:dxf>
              <font>
                <color theme="1"/>
              </font>
              <fill>
                <patternFill>
                  <bgColor rgb="FFEFFDE3"/>
                </patternFill>
              </fill>
            </x14:dxf>
          </x14:cfRule>
          <xm:sqref>R56</xm:sqref>
        </x14:conditionalFormatting>
        <x14:conditionalFormatting xmlns:xm="http://schemas.microsoft.com/office/excel/2006/main">
          <x14:cfRule type="containsText" priority="13" operator="containsText" id="{485EFC88-5558-9B40-AD37-F76432090520}">
            <xm:f>NOT(ISERROR(SEARCH("Value Missing",R101)))</xm:f>
            <xm:f>"Value Missing"</xm:f>
            <x14:dxf>
              <font>
                <color theme="1"/>
              </font>
              <fill>
                <patternFill>
                  <bgColor rgb="FFFFBD29"/>
                </patternFill>
              </fill>
            </x14:dxf>
          </x14:cfRule>
          <x14:cfRule type="containsText" priority="14" operator="containsText" id="{A8FC0855-9EE3-B046-B23D-1B2E7A7129AB}">
            <xm:f>NOT(ISERROR(SEARCH("Not Required",R101)))</xm:f>
            <xm:f>"Not Required"</xm:f>
            <x14:dxf>
              <font>
                <color theme="0"/>
              </font>
              <fill>
                <patternFill>
                  <bgColor rgb="FF506069"/>
                </patternFill>
              </fill>
            </x14:dxf>
          </x14:cfRule>
          <x14:cfRule type="notContainsText" priority="15" operator="notContains" id="{B04C3EF3-3F8E-5D4C-AA00-8AFD41A3306B}">
            <xm:f>ISERROR(SEARCH("Value Missing",R101))</xm:f>
            <xm:f>"Value Missing"</xm:f>
            <x14:dxf>
              <font>
                <color theme="1"/>
              </font>
              <fill>
                <patternFill>
                  <bgColor rgb="FFEFFDE3"/>
                </patternFill>
              </fill>
            </x14:dxf>
          </x14:cfRule>
          <xm:sqref>R101:R111</xm:sqref>
        </x14:conditionalFormatting>
        <x14:conditionalFormatting xmlns:xm="http://schemas.microsoft.com/office/excel/2006/main">
          <x14:cfRule type="containsText" priority="40" operator="containsText" id="{B79EBB3B-EC11-884C-B779-815769F0BA83}">
            <xm:f>NOT(ISERROR(SEARCH("Value Missing",U39)))</xm:f>
            <xm:f>"Value Missing"</xm:f>
            <x14:dxf>
              <font>
                <color theme="1"/>
              </font>
              <fill>
                <patternFill>
                  <bgColor rgb="FFFFBD29"/>
                </patternFill>
              </fill>
            </x14:dxf>
          </x14:cfRule>
          <x14:cfRule type="containsText" priority="41" operator="containsText" id="{20F2DFD4-A7DF-D947-9DC9-9516120AE4E3}">
            <xm:f>NOT(ISERROR(SEARCH("Not Required",U39)))</xm:f>
            <xm:f>"Not Required"</xm:f>
            <x14:dxf>
              <font>
                <color theme="0"/>
              </font>
              <fill>
                <patternFill>
                  <bgColor rgb="FF506069"/>
                </patternFill>
              </fill>
            </x14:dxf>
          </x14:cfRule>
          <x14:cfRule type="notContainsText" priority="42" operator="notContains" id="{D11A1D73-B207-C841-A84D-918A99DCD697}">
            <xm:f>ISERROR(SEARCH("Value Missing",U39))</xm:f>
            <xm:f>"Value Missing"</xm:f>
            <x14:dxf>
              <font>
                <color theme="1"/>
              </font>
              <fill>
                <patternFill>
                  <bgColor rgb="FFEFFDE3"/>
                </patternFill>
              </fill>
            </x14:dxf>
          </x14:cfRule>
          <xm:sqref>U39:U47</xm:sqref>
        </x14:conditionalFormatting>
        <x14:conditionalFormatting xmlns:xm="http://schemas.microsoft.com/office/excel/2006/main">
          <x14:cfRule type="containsText" priority="198" operator="containsText" id="{9017B3EB-7DBE-9745-80C7-2EA0322DBD9D}">
            <xm:f>NOT(ISERROR(SEARCH("Value Missing",U53)))</xm:f>
            <xm:f>"Value Missing"</xm:f>
            <x14:dxf>
              <font>
                <color theme="1"/>
              </font>
              <fill>
                <patternFill>
                  <bgColor rgb="FFFFBD29"/>
                </patternFill>
              </fill>
            </x14:dxf>
          </x14:cfRule>
          <x14:cfRule type="containsText" priority="199" operator="containsText" id="{806AF8E0-6D97-EC41-968B-57478A38AD6C}">
            <xm:f>NOT(ISERROR(SEARCH("Not Required",U53)))</xm:f>
            <xm:f>"Not Required"</xm:f>
            <x14:dxf>
              <font>
                <color theme="0"/>
              </font>
              <fill>
                <patternFill>
                  <bgColor rgb="FF506069"/>
                </patternFill>
              </fill>
            </x14:dxf>
          </x14:cfRule>
          <x14:cfRule type="notContainsText" priority="200" operator="notContains" id="{2563BE9A-6184-354D-B78B-4DF4EB2B9741}">
            <xm:f>ISERROR(SEARCH("Value Missing",U53))</xm:f>
            <xm:f>"Value Missing"</xm:f>
            <x14:dxf>
              <font>
                <color theme="1"/>
              </font>
              <fill>
                <patternFill>
                  <bgColor rgb="FFEFFDE3"/>
                </patternFill>
              </fill>
            </x14:dxf>
          </x14:cfRule>
          <xm:sqref>U53:U56</xm:sqref>
        </x14:conditionalFormatting>
        <x14:conditionalFormatting xmlns:xm="http://schemas.microsoft.com/office/excel/2006/main">
          <x14:cfRule type="containsText" priority="168" operator="containsText" id="{C1B279C3-DA18-8442-B1B8-B06229D29315}">
            <xm:f>NOT(ISERROR(SEARCH("Value Missing",U56)))</xm:f>
            <xm:f>"Value Missing"</xm:f>
            <x14:dxf>
              <font>
                <color theme="1"/>
              </font>
              <fill>
                <patternFill>
                  <bgColor rgb="FFFFBD29"/>
                </patternFill>
              </fill>
            </x14:dxf>
          </x14:cfRule>
          <x14:cfRule type="containsText" priority="169" operator="containsText" id="{0A17DF85-0295-4845-B39F-3EB7492CEB3A}">
            <xm:f>NOT(ISERROR(SEARCH("Not Required",U56)))</xm:f>
            <xm:f>"Not Required"</xm:f>
            <x14:dxf>
              <font>
                <color theme="0"/>
              </font>
              <fill>
                <patternFill>
                  <bgColor rgb="FF506069"/>
                </patternFill>
              </fill>
            </x14:dxf>
          </x14:cfRule>
          <x14:cfRule type="notContainsText" priority="170" operator="notContains" id="{7A999857-3F31-DC42-986B-784B462399DB}">
            <xm:f>ISERROR(SEARCH("Value Missing",U56))</xm:f>
            <xm:f>"Value Missing"</xm:f>
            <x14:dxf>
              <font>
                <color theme="1"/>
              </font>
              <fill>
                <patternFill>
                  <bgColor rgb="FFEFFDE3"/>
                </patternFill>
              </fill>
            </x14:dxf>
          </x14:cfRule>
          <xm:sqref>U56</xm:sqref>
        </x14:conditionalFormatting>
        <x14:conditionalFormatting xmlns:xm="http://schemas.microsoft.com/office/excel/2006/main">
          <x14:cfRule type="containsText" priority="10" operator="containsText" id="{C30F667F-B59D-944D-B08C-6E3AB16B05EB}">
            <xm:f>NOT(ISERROR(SEARCH("Value Missing",U101)))</xm:f>
            <xm:f>"Value Missing"</xm:f>
            <x14:dxf>
              <font>
                <color theme="1"/>
              </font>
              <fill>
                <patternFill>
                  <bgColor rgb="FFFFBD29"/>
                </patternFill>
              </fill>
            </x14:dxf>
          </x14:cfRule>
          <x14:cfRule type="containsText" priority="11" operator="containsText" id="{7F907210-FF0C-FD4A-B727-D79F0B0F5969}">
            <xm:f>NOT(ISERROR(SEARCH("Not Required",U101)))</xm:f>
            <xm:f>"Not Required"</xm:f>
            <x14:dxf>
              <font>
                <color theme="0"/>
              </font>
              <fill>
                <patternFill>
                  <bgColor rgb="FF506069"/>
                </patternFill>
              </fill>
            </x14:dxf>
          </x14:cfRule>
          <x14:cfRule type="notContainsText" priority="12" operator="notContains" id="{66057D3F-EE8C-734D-AAF1-71DBB683F1A4}">
            <xm:f>ISERROR(SEARCH("Value Missing",U101))</xm:f>
            <xm:f>"Value Missing"</xm:f>
            <x14:dxf>
              <font>
                <color theme="1"/>
              </font>
              <fill>
                <patternFill>
                  <bgColor rgb="FFEFFDE3"/>
                </patternFill>
              </fill>
            </x14:dxf>
          </x14:cfRule>
          <xm:sqref>U101:U111</xm:sqref>
        </x14:conditionalFormatting>
        <x14:conditionalFormatting xmlns:xm="http://schemas.microsoft.com/office/excel/2006/main">
          <x14:cfRule type="containsText" priority="37" operator="containsText" id="{7CCE0CF7-BAB2-0344-98D6-21BF6CFCEEEF}">
            <xm:f>NOT(ISERROR(SEARCH("Value Missing",X39)))</xm:f>
            <xm:f>"Value Missing"</xm:f>
            <x14:dxf>
              <font>
                <color theme="1"/>
              </font>
              <fill>
                <patternFill>
                  <bgColor rgb="FFFFBD29"/>
                </patternFill>
              </fill>
            </x14:dxf>
          </x14:cfRule>
          <x14:cfRule type="containsText" priority="38" operator="containsText" id="{67C5E1C7-827A-2247-9770-41F1AEFE3765}">
            <xm:f>NOT(ISERROR(SEARCH("Not Required",X39)))</xm:f>
            <xm:f>"Not Required"</xm:f>
            <x14:dxf>
              <font>
                <color theme="0"/>
              </font>
              <fill>
                <patternFill>
                  <bgColor rgb="FF506069"/>
                </patternFill>
              </fill>
            </x14:dxf>
          </x14:cfRule>
          <x14:cfRule type="notContainsText" priority="39" operator="notContains" id="{9A552E01-4760-3448-8FD6-6F3234371C4D}">
            <xm:f>ISERROR(SEARCH("Value Missing",X39))</xm:f>
            <xm:f>"Value Missing"</xm:f>
            <x14:dxf>
              <font>
                <color theme="1"/>
              </font>
              <fill>
                <patternFill>
                  <bgColor rgb="FFEFFDE3"/>
                </patternFill>
              </fill>
            </x14:dxf>
          </x14:cfRule>
          <xm:sqref>X39:X47</xm:sqref>
        </x14:conditionalFormatting>
        <x14:conditionalFormatting xmlns:xm="http://schemas.microsoft.com/office/excel/2006/main">
          <x14:cfRule type="containsText" priority="192" operator="containsText" id="{A798AA75-439F-4A46-AB83-7E4358A88D66}">
            <xm:f>NOT(ISERROR(SEARCH("Value Missing",X53)))</xm:f>
            <xm:f>"Value Missing"</xm:f>
            <x14:dxf>
              <font>
                <color theme="1"/>
              </font>
              <fill>
                <patternFill>
                  <bgColor rgb="FFFFBD29"/>
                </patternFill>
              </fill>
            </x14:dxf>
          </x14:cfRule>
          <x14:cfRule type="containsText" priority="193" operator="containsText" id="{A847CD3B-37FA-4146-AAE3-6DA7692BE6D6}">
            <xm:f>NOT(ISERROR(SEARCH("Not Required",X53)))</xm:f>
            <xm:f>"Not Required"</xm:f>
            <x14:dxf>
              <font>
                <color theme="0"/>
              </font>
              <fill>
                <patternFill>
                  <bgColor rgb="FF506069"/>
                </patternFill>
              </fill>
            </x14:dxf>
          </x14:cfRule>
          <x14:cfRule type="notContainsText" priority="194" operator="notContains" id="{AA6925D0-91F1-8449-983B-B5EE70C7F44D}">
            <xm:f>ISERROR(SEARCH("Value Missing",X53))</xm:f>
            <xm:f>"Value Missing"</xm:f>
            <x14:dxf>
              <font>
                <color theme="1"/>
              </font>
              <fill>
                <patternFill>
                  <bgColor rgb="FFEFFDE3"/>
                </patternFill>
              </fill>
            </x14:dxf>
          </x14:cfRule>
          <xm:sqref>X53:X56</xm:sqref>
        </x14:conditionalFormatting>
        <x14:conditionalFormatting xmlns:xm="http://schemas.microsoft.com/office/excel/2006/main">
          <x14:cfRule type="containsText" priority="165" operator="containsText" id="{D3FD3035-29E9-C741-95F9-7E63301A762E}">
            <xm:f>NOT(ISERROR(SEARCH("Value Missing",X56)))</xm:f>
            <xm:f>"Value Missing"</xm:f>
            <x14:dxf>
              <font>
                <color theme="1"/>
              </font>
              <fill>
                <patternFill>
                  <bgColor rgb="FFFFBD29"/>
                </patternFill>
              </fill>
            </x14:dxf>
          </x14:cfRule>
          <x14:cfRule type="containsText" priority="166" operator="containsText" id="{6542A7B2-8630-7B40-8349-79CED9462BD1}">
            <xm:f>NOT(ISERROR(SEARCH("Not Required",X56)))</xm:f>
            <xm:f>"Not Required"</xm:f>
            <x14:dxf>
              <font>
                <color theme="0"/>
              </font>
              <fill>
                <patternFill>
                  <bgColor rgb="FF506069"/>
                </patternFill>
              </fill>
            </x14:dxf>
          </x14:cfRule>
          <x14:cfRule type="notContainsText" priority="167" operator="notContains" id="{ED8BDAB0-934B-E348-A096-D1CFEC970647}">
            <xm:f>ISERROR(SEARCH("Value Missing",X56))</xm:f>
            <xm:f>"Value Missing"</xm:f>
            <x14:dxf>
              <font>
                <color theme="1"/>
              </font>
              <fill>
                <patternFill>
                  <bgColor rgb="FFEFFDE3"/>
                </patternFill>
              </fill>
            </x14:dxf>
          </x14:cfRule>
          <xm:sqref>X56</xm:sqref>
        </x14:conditionalFormatting>
        <x14:conditionalFormatting xmlns:xm="http://schemas.microsoft.com/office/excel/2006/main">
          <x14:cfRule type="containsText" priority="7" operator="containsText" id="{65FCE715-C957-A049-91A7-8CBA7C1EB726}">
            <xm:f>NOT(ISERROR(SEARCH("Value Missing",X101)))</xm:f>
            <xm:f>"Value Missing"</xm:f>
            <x14:dxf>
              <font>
                <color theme="1"/>
              </font>
              <fill>
                <patternFill>
                  <bgColor rgb="FFFFBD29"/>
                </patternFill>
              </fill>
            </x14:dxf>
          </x14:cfRule>
          <x14:cfRule type="containsText" priority="8" operator="containsText" id="{F611D9EB-7867-E94C-842B-0946ACA54FED}">
            <xm:f>NOT(ISERROR(SEARCH("Not Required",X101)))</xm:f>
            <xm:f>"Not Required"</xm:f>
            <x14:dxf>
              <font>
                <color theme="0"/>
              </font>
              <fill>
                <patternFill>
                  <bgColor rgb="FF506069"/>
                </patternFill>
              </fill>
            </x14:dxf>
          </x14:cfRule>
          <x14:cfRule type="notContainsText" priority="9" operator="notContains" id="{BB063A9C-A620-534D-9F8E-0EF8245B618C}">
            <xm:f>ISERROR(SEARCH("Value Missing",X101))</xm:f>
            <xm:f>"Value Missing"</xm:f>
            <x14:dxf>
              <font>
                <color theme="1"/>
              </font>
              <fill>
                <patternFill>
                  <bgColor rgb="FFEFFDE3"/>
                </patternFill>
              </fill>
            </x14:dxf>
          </x14:cfRule>
          <xm:sqref>X101:X111</xm:sqref>
        </x14:conditionalFormatting>
        <x14:conditionalFormatting xmlns:xm="http://schemas.microsoft.com/office/excel/2006/main">
          <x14:cfRule type="containsText" priority="329" operator="containsText" id="{8BE8EA82-7A72-C646-8E99-CF9839909AD6}">
            <xm:f>NOT(ISERROR(SEARCH("Not Required",F8)))</xm:f>
            <xm:f>"Not Required"</xm:f>
            <x14:dxf>
              <font>
                <color theme="0"/>
              </font>
              <fill>
                <patternFill>
                  <bgColor rgb="FF506069"/>
                </patternFill>
              </fill>
            </x14:dxf>
          </x14:cfRule>
          <x14:cfRule type="notContainsText" priority="331" operator="notContains" id="{06767BDF-1E13-B344-B0F5-AC2964A2B7BB}">
            <xm:f>ISERROR(SEARCH("Value Missing",F8))</xm:f>
            <xm:f>"Value Missing"</xm:f>
            <x14:dxf>
              <font>
                <color theme="1"/>
              </font>
              <fill>
                <patternFill>
                  <bgColor rgb="FFEFFDE3"/>
                </patternFill>
              </fill>
            </x14:dxf>
          </x14:cfRule>
          <xm:sqref>AA8:AA14 F8:F19 I8:I19 L8:L19 O8:O19 R8:R19 U8:U19 X8:X19 AD8:AD19 AA16:AA19 F23:F34 I23:I34 L23:L34 O23:O34 R23:R34 U23:U34 X23:X34 AA23:AA34 AD23:AD34 I53:I54 F69:F80 I69:I80 L69:L80 O69:O80 R69:R80 U69:U80 X69:X80 AA69:AA80 AD69:AD80 F85:F96 I85:I96 L85:L96 O85:O96 R85:R96 U85:U96 X85:X96 AA85:AA96 AD85:AD96 F115:F121 I115:I121 L115:L121 O115:O121 R115:R121 U115:U121 X115:X121 AA115:AA121 AD115:AD121 L125:L130 O125:O130 R125:R130 U125:U130 X125:X130 AA125:AA130 AD125:AD130 F125:F134 I125:I136 F140:F149 F155:F160 F165:F178 I165:I178 L165:L178 O165:O178 R165:R178 U165:U178 X165:X178 AA165:AA178 AD165:AD178 F182:F190 I182:I190 L182:L190 O182:O190 R182:R190 U182:U190 X182:X190 AA182:AA190 AD182:AD190 F194:F195 L194:L195 O194:O195 R194:R195 U194:U195 X194:X195 AA194:AA195 AD194:AD195 L199:L214 O199:O214 R199:R214 U199:U214 X199:X214 AA199:AA214 AD199:AD214 F199:F230 I199:I230 L218:L233 O218:O233 R218:R233 U218:U233 X218:X233 AA218:AA233 AD218:AD233 F234:F249 I234:I249 L237:L252 O237:O252 R237:R252 U237:U252 X237:X252 AA237:AA252 AD237:AD252 F253:F268 I253:I268 L255:L261 O255:O261 R255:R261 U255:U261 X255:X261 AA255:AA261 AD255:AD261 F294:F304 I294:I305 F308:F318 I309:I320 F322:F332 I324:I335 F350:F360 I354:I365 F364:F374 I369:I380 F378:F384 I384:I390 F388:F397 I394:I403 F401:F410 I407:I418 F414:F417 F421:F427 I422:I425 I429:I435 F431:F462 I439:I470 F466:F481 I474:I489 F485:F500 I493:I508</xm:sqref>
        </x14:conditionalFormatting>
        <x14:conditionalFormatting xmlns:xm="http://schemas.microsoft.com/office/excel/2006/main">
          <x14:cfRule type="containsText" priority="34" operator="containsText" id="{C3226025-96A7-174E-B18F-7DE4FD2C4806}">
            <xm:f>NOT(ISERROR(SEARCH("Value Missing",AA39)))</xm:f>
            <xm:f>"Value Missing"</xm:f>
            <x14:dxf>
              <font>
                <color theme="1"/>
              </font>
              <fill>
                <patternFill>
                  <bgColor rgb="FFFFBD29"/>
                </patternFill>
              </fill>
            </x14:dxf>
          </x14:cfRule>
          <x14:cfRule type="containsText" priority="35" operator="containsText" id="{2F7B9298-6F2D-CF46-B59A-DE3D41A821A2}">
            <xm:f>NOT(ISERROR(SEARCH("Not Required",AA39)))</xm:f>
            <xm:f>"Not Required"</xm:f>
            <x14:dxf>
              <font>
                <color theme="0"/>
              </font>
              <fill>
                <patternFill>
                  <bgColor rgb="FF506069"/>
                </patternFill>
              </fill>
            </x14:dxf>
          </x14:cfRule>
          <x14:cfRule type="notContainsText" priority="36" operator="notContains" id="{A3EC2F0D-66A9-364C-97A9-ABB9D8CE96B4}">
            <xm:f>ISERROR(SEARCH("Value Missing",AA39))</xm:f>
            <xm:f>"Value Missing"</xm:f>
            <x14:dxf>
              <font>
                <color theme="1"/>
              </font>
              <fill>
                <patternFill>
                  <bgColor rgb="FFEFFDE3"/>
                </patternFill>
              </fill>
            </x14:dxf>
          </x14:cfRule>
          <xm:sqref>AA39:AA47</xm:sqref>
        </x14:conditionalFormatting>
        <x14:conditionalFormatting xmlns:xm="http://schemas.microsoft.com/office/excel/2006/main">
          <x14:cfRule type="containsText" priority="186" operator="containsText" id="{B46CA4F9-3C6E-9142-9DCB-973E2E3893CE}">
            <xm:f>NOT(ISERROR(SEARCH("Value Missing",AA53)))</xm:f>
            <xm:f>"Value Missing"</xm:f>
            <x14:dxf>
              <font>
                <color theme="1"/>
              </font>
              <fill>
                <patternFill>
                  <bgColor rgb="FFFFBD29"/>
                </patternFill>
              </fill>
            </x14:dxf>
          </x14:cfRule>
          <x14:cfRule type="containsText" priority="187" operator="containsText" id="{3073A76A-73E6-2645-98F0-C7A0F9003A9B}">
            <xm:f>NOT(ISERROR(SEARCH("Not Required",AA53)))</xm:f>
            <xm:f>"Not Required"</xm:f>
            <x14:dxf>
              <font>
                <color theme="0"/>
              </font>
              <fill>
                <patternFill>
                  <bgColor rgb="FF506069"/>
                </patternFill>
              </fill>
            </x14:dxf>
          </x14:cfRule>
          <x14:cfRule type="notContainsText" priority="188" operator="notContains" id="{A9F6D0D6-42C0-8C44-B9E0-4DE4789AED56}">
            <xm:f>ISERROR(SEARCH("Value Missing",AA53))</xm:f>
            <xm:f>"Value Missing"</xm:f>
            <x14:dxf>
              <font>
                <color theme="1"/>
              </font>
              <fill>
                <patternFill>
                  <bgColor rgb="FFEFFDE3"/>
                </patternFill>
              </fill>
            </x14:dxf>
          </x14:cfRule>
          <xm:sqref>AA53:AA56</xm:sqref>
        </x14:conditionalFormatting>
        <x14:conditionalFormatting xmlns:xm="http://schemas.microsoft.com/office/excel/2006/main">
          <x14:cfRule type="containsText" priority="162" operator="containsText" id="{B01DAB95-54B5-2A48-9E42-698AE8EAB2B5}">
            <xm:f>NOT(ISERROR(SEARCH("Value Missing",AA56)))</xm:f>
            <xm:f>"Value Missing"</xm:f>
            <x14:dxf>
              <font>
                <color theme="1"/>
              </font>
              <fill>
                <patternFill>
                  <bgColor rgb="FFFFBD29"/>
                </patternFill>
              </fill>
            </x14:dxf>
          </x14:cfRule>
          <x14:cfRule type="containsText" priority="163" operator="containsText" id="{75F873D6-B9D9-3341-8652-F67C103EA278}">
            <xm:f>NOT(ISERROR(SEARCH("Not Required",AA56)))</xm:f>
            <xm:f>"Not Required"</xm:f>
            <x14:dxf>
              <font>
                <color theme="0"/>
              </font>
              <fill>
                <patternFill>
                  <bgColor rgb="FF506069"/>
                </patternFill>
              </fill>
            </x14:dxf>
          </x14:cfRule>
          <x14:cfRule type="notContainsText" priority="164" operator="notContains" id="{7EF64B70-5424-4E41-B8D8-C26C3A9F41BE}">
            <xm:f>ISERROR(SEARCH("Value Missing",AA56))</xm:f>
            <xm:f>"Value Missing"</xm:f>
            <x14:dxf>
              <font>
                <color theme="1"/>
              </font>
              <fill>
                <patternFill>
                  <bgColor rgb="FFEFFDE3"/>
                </patternFill>
              </fill>
            </x14:dxf>
          </x14:cfRule>
          <xm:sqref>AA56</xm:sqref>
        </x14:conditionalFormatting>
        <x14:conditionalFormatting xmlns:xm="http://schemas.microsoft.com/office/excel/2006/main">
          <x14:cfRule type="containsText" priority="4" operator="containsText" id="{CE02A564-13F8-CB4E-BBE7-469466844E83}">
            <xm:f>NOT(ISERROR(SEARCH("Value Missing",AA101)))</xm:f>
            <xm:f>"Value Missing"</xm:f>
            <x14:dxf>
              <font>
                <color theme="1"/>
              </font>
              <fill>
                <patternFill>
                  <bgColor rgb="FFFFBD29"/>
                </patternFill>
              </fill>
            </x14:dxf>
          </x14:cfRule>
          <x14:cfRule type="containsText" priority="5" operator="containsText" id="{2064E239-ADAD-054F-92A8-0E87FF80742F}">
            <xm:f>NOT(ISERROR(SEARCH("Not Required",AA101)))</xm:f>
            <xm:f>"Not Required"</xm:f>
            <x14:dxf>
              <font>
                <color theme="0"/>
              </font>
              <fill>
                <patternFill>
                  <bgColor rgb="FF506069"/>
                </patternFill>
              </fill>
            </x14:dxf>
          </x14:cfRule>
          <x14:cfRule type="notContainsText" priority="6" operator="notContains" id="{A8E557FF-0FC1-1C48-9B1F-5289E2F783B1}">
            <xm:f>ISERROR(SEARCH("Value Missing",AA101))</xm:f>
            <xm:f>"Value Missing"</xm:f>
            <x14:dxf>
              <font>
                <color theme="1"/>
              </font>
              <fill>
                <patternFill>
                  <bgColor rgb="FFEFFDE3"/>
                </patternFill>
              </fill>
            </x14:dxf>
          </x14:cfRule>
          <xm:sqref>AA101:AA111</xm:sqref>
        </x14:conditionalFormatting>
        <x14:conditionalFormatting xmlns:xm="http://schemas.microsoft.com/office/excel/2006/main">
          <x14:cfRule type="containsText" priority="31" operator="containsText" id="{2AC29FE5-D98A-2143-A3B7-B8F397FE8DD4}">
            <xm:f>NOT(ISERROR(SEARCH("Value Missing",AD39)))</xm:f>
            <xm:f>"Value Missing"</xm:f>
            <x14:dxf>
              <font>
                <color theme="1"/>
              </font>
              <fill>
                <patternFill>
                  <bgColor rgb="FFFFBD29"/>
                </patternFill>
              </fill>
            </x14:dxf>
          </x14:cfRule>
          <x14:cfRule type="containsText" priority="32" operator="containsText" id="{353681F6-113B-A245-BAE3-7878FC3CF345}">
            <xm:f>NOT(ISERROR(SEARCH("Not Required",AD39)))</xm:f>
            <xm:f>"Not Required"</xm:f>
            <x14:dxf>
              <font>
                <color theme="0"/>
              </font>
              <fill>
                <patternFill>
                  <bgColor rgb="FF506069"/>
                </patternFill>
              </fill>
            </x14:dxf>
          </x14:cfRule>
          <x14:cfRule type="notContainsText" priority="33" operator="notContains" id="{D515E712-91F5-FC40-B227-DD5FE835B161}">
            <xm:f>ISERROR(SEARCH("Value Missing",AD39))</xm:f>
            <xm:f>"Value Missing"</xm:f>
            <x14:dxf>
              <font>
                <color theme="1"/>
              </font>
              <fill>
                <patternFill>
                  <bgColor rgb="FFEFFDE3"/>
                </patternFill>
              </fill>
            </x14:dxf>
          </x14:cfRule>
          <xm:sqref>AD39:AD47</xm:sqref>
        </x14:conditionalFormatting>
        <x14:conditionalFormatting xmlns:xm="http://schemas.microsoft.com/office/excel/2006/main">
          <x14:cfRule type="containsText" priority="180" operator="containsText" id="{905D31CE-3E0A-864C-9F1B-D63656711729}">
            <xm:f>NOT(ISERROR(SEARCH("Value Missing",AD53)))</xm:f>
            <xm:f>"Value Missing"</xm:f>
            <x14:dxf>
              <font>
                <color theme="1"/>
              </font>
              <fill>
                <patternFill>
                  <bgColor rgb="FFFFBD29"/>
                </patternFill>
              </fill>
            </x14:dxf>
          </x14:cfRule>
          <x14:cfRule type="containsText" priority="181" operator="containsText" id="{3CAFDB47-63D3-8A49-874F-B7F36B085F1D}">
            <xm:f>NOT(ISERROR(SEARCH("Not Required",AD53)))</xm:f>
            <xm:f>"Not Required"</xm:f>
            <x14:dxf>
              <font>
                <color theme="0"/>
              </font>
              <fill>
                <patternFill>
                  <bgColor rgb="FF506069"/>
                </patternFill>
              </fill>
            </x14:dxf>
          </x14:cfRule>
          <x14:cfRule type="notContainsText" priority="182" operator="notContains" id="{6B88948E-0E39-3548-A8DD-6AF259181EC7}">
            <xm:f>ISERROR(SEARCH("Value Missing",AD53))</xm:f>
            <xm:f>"Value Missing"</xm:f>
            <x14:dxf>
              <font>
                <color theme="1"/>
              </font>
              <fill>
                <patternFill>
                  <bgColor rgb="FFEFFDE3"/>
                </patternFill>
              </fill>
            </x14:dxf>
          </x14:cfRule>
          <xm:sqref>AD53:AD56</xm:sqref>
        </x14:conditionalFormatting>
        <x14:conditionalFormatting xmlns:xm="http://schemas.microsoft.com/office/excel/2006/main">
          <x14:cfRule type="containsText" priority="159" operator="containsText" id="{CB44C791-709B-FE4B-BC8E-877B39027780}">
            <xm:f>NOT(ISERROR(SEARCH("Value Missing",AD56)))</xm:f>
            <xm:f>"Value Missing"</xm:f>
            <x14:dxf>
              <font>
                <color theme="1"/>
              </font>
              <fill>
                <patternFill>
                  <bgColor rgb="FFFFBD29"/>
                </patternFill>
              </fill>
            </x14:dxf>
          </x14:cfRule>
          <x14:cfRule type="containsText" priority="160" operator="containsText" id="{157796BB-CFBB-3B4D-A417-32FFDAA88E68}">
            <xm:f>NOT(ISERROR(SEARCH("Not Required",AD56)))</xm:f>
            <xm:f>"Not Required"</xm:f>
            <x14:dxf>
              <font>
                <color theme="0"/>
              </font>
              <fill>
                <patternFill>
                  <bgColor rgb="FF506069"/>
                </patternFill>
              </fill>
            </x14:dxf>
          </x14:cfRule>
          <x14:cfRule type="notContainsText" priority="161" operator="notContains" id="{7DFC07FF-0C18-784A-844A-D8E074C7A5AA}">
            <xm:f>ISERROR(SEARCH("Value Missing",AD56))</xm:f>
            <xm:f>"Value Missing"</xm:f>
            <x14:dxf>
              <font>
                <color theme="1"/>
              </font>
              <fill>
                <patternFill>
                  <bgColor rgb="FFEFFDE3"/>
                </patternFill>
              </fill>
            </x14:dxf>
          </x14:cfRule>
          <xm:sqref>AD56</xm:sqref>
        </x14:conditionalFormatting>
        <x14:conditionalFormatting xmlns:xm="http://schemas.microsoft.com/office/excel/2006/main">
          <x14:cfRule type="containsText" priority="1" operator="containsText" id="{D119EA57-EE16-B14A-83BB-B45D9ABAC99D}">
            <xm:f>NOT(ISERROR(SEARCH("Value Missing",AD101)))</xm:f>
            <xm:f>"Value Missing"</xm:f>
            <x14:dxf>
              <font>
                <color theme="1"/>
              </font>
              <fill>
                <patternFill>
                  <bgColor rgb="FFFFBD29"/>
                </patternFill>
              </fill>
            </x14:dxf>
          </x14:cfRule>
          <x14:cfRule type="containsText" priority="2" operator="containsText" id="{F616CC5A-9053-DE42-A5ED-C29F3D0C3A0B}">
            <xm:f>NOT(ISERROR(SEARCH("Not Required",AD101)))</xm:f>
            <xm:f>"Not Required"</xm:f>
            <x14:dxf>
              <font>
                <color theme="0"/>
              </font>
              <fill>
                <patternFill>
                  <bgColor rgb="FF506069"/>
                </patternFill>
              </fill>
            </x14:dxf>
          </x14:cfRule>
          <x14:cfRule type="notContainsText" priority="3" operator="notContains" id="{0CA08DEF-74CE-1742-A32E-15B59A5753C4}">
            <xm:f>ISERROR(SEARCH("Value Missing",AD101))</xm:f>
            <xm:f>"Value Missing"</xm:f>
            <x14:dxf>
              <font>
                <color theme="1"/>
              </font>
              <fill>
                <patternFill>
                  <bgColor rgb="FFEFFDE3"/>
                </patternFill>
              </fill>
            </x14:dxf>
          </x14:cfRule>
          <xm:sqref>AD101:AD111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80877-68F0-1C4B-B1D2-916A0B669497}">
  <sheetPr codeName="Sheet5"/>
  <dimension ref="A1:AF328"/>
  <sheetViews>
    <sheetView showGridLines="0" zoomScaleNormal="100" workbookViewId="0">
      <pane ySplit="4" topLeftCell="A5" activePane="bottomLeft" state="frozen"/>
      <selection pane="bottomLeft" activeCell="C11" sqref="C11"/>
    </sheetView>
  </sheetViews>
  <sheetFormatPr baseColWidth="10" defaultColWidth="11" defaultRowHeight="20" customHeight="1" x14ac:dyDescent="0.2"/>
  <cols>
    <col min="1" max="1" width="2.83203125" style="9" customWidth="1"/>
    <col min="2" max="2" width="57" style="9" customWidth="1"/>
    <col min="3" max="3" width="44.83203125" style="9" bestFit="1" customWidth="1"/>
    <col min="4" max="4" width="2.83203125" style="9" customWidth="1"/>
    <col min="5" max="5" width="73.6640625" style="9" bestFit="1" customWidth="1"/>
    <col min="6" max="6" width="45.33203125" style="9" bestFit="1" customWidth="1"/>
    <col min="7" max="7" width="2.83203125" style="9" customWidth="1"/>
    <col min="8" max="8" width="58.33203125" style="9" bestFit="1" customWidth="1"/>
    <col min="9" max="9" width="41.83203125" style="9" bestFit="1" customWidth="1"/>
    <col min="10" max="10" width="2.83203125" style="9" customWidth="1"/>
    <col min="11" max="11" width="57.1640625" style="9" bestFit="1" customWidth="1"/>
    <col min="12" max="12" width="73.83203125" style="9" bestFit="1" customWidth="1"/>
    <col min="13" max="13" width="2.83203125" style="9" customWidth="1"/>
    <col min="14" max="14" width="73.83203125" style="9" bestFit="1" customWidth="1"/>
    <col min="15" max="15" width="50.83203125" style="9" customWidth="1"/>
    <col min="16" max="16" width="2.83203125" style="9" customWidth="1"/>
    <col min="17" max="17" width="71.83203125" style="9" bestFit="1" customWidth="1"/>
    <col min="18" max="18" width="57.6640625" style="9" bestFit="1" customWidth="1"/>
    <col min="19" max="19" width="2.83203125" style="9" customWidth="1"/>
    <col min="20" max="20" width="85.33203125" style="9" bestFit="1" customWidth="1"/>
    <col min="21" max="21" width="72.83203125" style="9" bestFit="1" customWidth="1"/>
    <col min="22" max="22" width="2.83203125" style="9" customWidth="1"/>
    <col min="23" max="23" width="69" style="9" bestFit="1" customWidth="1"/>
    <col min="24" max="24" width="59.33203125" style="9" bestFit="1" customWidth="1"/>
    <col min="25" max="25" width="2.83203125" style="9" customWidth="1"/>
    <col min="26" max="26" width="55.83203125" style="9" bestFit="1" customWidth="1"/>
    <col min="27" max="27" width="49.6640625" style="9" bestFit="1" customWidth="1"/>
    <col min="28" max="28" width="2.83203125" style="9" customWidth="1"/>
    <col min="29" max="29" width="49.6640625" style="9" bestFit="1" customWidth="1"/>
    <col min="30" max="31" width="19.1640625" style="9" bestFit="1" customWidth="1"/>
    <col min="32" max="32" width="2.83203125" style="9" customWidth="1"/>
    <col min="33" max="33" width="45.83203125" style="9" bestFit="1" customWidth="1"/>
    <col min="34" max="34" width="49.6640625" style="9" bestFit="1" customWidth="1"/>
    <col min="35" max="36" width="20.6640625" style="9" bestFit="1" customWidth="1"/>
    <col min="37" max="39" width="11" style="9" customWidth="1"/>
    <col min="40" max="16384" width="11" style="9"/>
  </cols>
  <sheetData>
    <row r="1" spans="1:31" s="2" customFormat="1" ht="16" customHeight="1" x14ac:dyDescent="0.2">
      <c r="A1" s="1"/>
      <c r="B1" s="1"/>
      <c r="C1" s="1"/>
      <c r="D1" s="1"/>
      <c r="E1" s="1"/>
      <c r="F1" s="1"/>
      <c r="G1" s="1"/>
      <c r="H1" s="9"/>
      <c r="I1" s="9"/>
      <c r="J1" s="1"/>
      <c r="K1" s="1"/>
      <c r="L1" s="1"/>
      <c r="M1" s="1"/>
      <c r="N1" s="1"/>
      <c r="O1" s="1"/>
      <c r="P1" s="1"/>
    </row>
    <row r="2" spans="1:31" s="2" customFormat="1" ht="54" customHeight="1" x14ac:dyDescent="0.2">
      <c r="H2" s="9"/>
      <c r="I2" s="9"/>
      <c r="Q2" s="643"/>
      <c r="R2" s="644"/>
      <c r="S2" s="217"/>
      <c r="T2" s="217"/>
      <c r="U2" s="217"/>
      <c r="V2" s="639"/>
      <c r="W2" s="639"/>
      <c r="X2" s="639"/>
      <c r="Y2" s="639"/>
      <c r="Z2" s="640"/>
    </row>
    <row r="3" spans="1:31" s="2" customFormat="1" ht="20" customHeight="1" x14ac:dyDescent="0.2">
      <c r="H3" s="9"/>
      <c r="I3" s="9"/>
      <c r="Q3" s="641" t="s">
        <v>1031</v>
      </c>
      <c r="R3" s="641"/>
      <c r="S3" s="641"/>
      <c r="T3" s="641"/>
      <c r="U3" s="641"/>
      <c r="V3" s="641"/>
      <c r="W3" s="641"/>
      <c r="X3" s="642"/>
      <c r="Y3" s="642"/>
      <c r="Z3" s="642"/>
    </row>
    <row r="4" spans="1:31" s="2" customFormat="1" ht="16" x14ac:dyDescent="0.2">
      <c r="H4" s="9"/>
      <c r="I4" s="9"/>
      <c r="V4" s="11"/>
      <c r="W4" s="3"/>
    </row>
    <row r="5" spans="1:31" s="2" customFormat="1" ht="16" x14ac:dyDescent="0.2">
      <c r="H5" s="9"/>
      <c r="I5" s="9"/>
      <c r="V5" s="11"/>
      <c r="W5" s="3"/>
    </row>
    <row r="6" spans="1:31" s="2" customFormat="1" ht="20" customHeight="1" x14ac:dyDescent="0.2">
      <c r="B6" s="218" t="s">
        <v>1375</v>
      </c>
      <c r="C6" s="218"/>
      <c r="E6" s="219" t="s">
        <v>1376</v>
      </c>
      <c r="F6" s="219"/>
      <c r="H6" s="218" t="s">
        <v>1377</v>
      </c>
      <c r="I6" s="218"/>
      <c r="K6" s="517" t="s">
        <v>1378</v>
      </c>
      <c r="L6" s="517"/>
      <c r="N6" s="220" t="s">
        <v>1379</v>
      </c>
      <c r="O6" s="220"/>
      <c r="Q6" s="630" t="s">
        <v>1380</v>
      </c>
      <c r="R6" s="631"/>
      <c r="T6" s="519" t="s">
        <v>1381</v>
      </c>
      <c r="U6" s="520"/>
      <c r="V6" s="11"/>
      <c r="W6" s="221" t="s">
        <v>1469</v>
      </c>
      <c r="X6" s="222"/>
      <c r="Z6" s="519" t="s">
        <v>1508</v>
      </c>
      <c r="AA6" s="632"/>
      <c r="AC6" s="519" t="s">
        <v>1382</v>
      </c>
      <c r="AD6" s="632"/>
      <c r="AE6" s="520"/>
    </row>
    <row r="7" spans="1:31" s="2" customFormat="1" ht="20" customHeight="1" x14ac:dyDescent="0.2">
      <c r="B7" s="4" t="s">
        <v>1383</v>
      </c>
      <c r="C7" s="8" t="str">
        <f>IF(ISBLANK(mgmt_vcf_installer_location_chosen),"Value Missing",mgmt_vcf_installer_location_chosen)</f>
        <v>Deployed on one of the hosts in the management domain</v>
      </c>
      <c r="E7" s="4" t="s">
        <v>1384</v>
      </c>
      <c r="F7" s="8">
        <v>1</v>
      </c>
      <c r="H7" s="223" t="s">
        <v>254</v>
      </c>
      <c r="I7" s="224" t="s">
        <v>20</v>
      </c>
      <c r="K7" s="200" t="s">
        <v>254</v>
      </c>
      <c r="L7" s="201" t="s">
        <v>20</v>
      </c>
      <c r="N7" s="200" t="s">
        <v>254</v>
      </c>
      <c r="O7" s="201" t="s">
        <v>20</v>
      </c>
      <c r="Q7" s="224" t="s">
        <v>254</v>
      </c>
      <c r="R7" s="224" t="s">
        <v>20</v>
      </c>
      <c r="T7" s="200" t="s">
        <v>254</v>
      </c>
      <c r="U7" s="201" t="s">
        <v>20</v>
      </c>
      <c r="W7" s="200" t="s">
        <v>254</v>
      </c>
      <c r="X7" s="201" t="s">
        <v>20</v>
      </c>
      <c r="Z7" s="200" t="s">
        <v>254</v>
      </c>
      <c r="AA7" s="201" t="s">
        <v>20</v>
      </c>
      <c r="AC7" s="200" t="s">
        <v>254</v>
      </c>
      <c r="AD7" s="201" t="s">
        <v>1044</v>
      </c>
      <c r="AE7" s="201" t="s">
        <v>1346</v>
      </c>
    </row>
    <row r="8" spans="1:31" s="2" customFormat="1" ht="20" customHeight="1" x14ac:dyDescent="0.2">
      <c r="B8" s="4" t="s">
        <v>3897</v>
      </c>
      <c r="C8" s="8" t="str">
        <f>CONCATENATE(this_instance,"-ins01.",sample_child_dns_zone)</f>
        <v>sfo-ins01.sfo.rainpole.io</v>
      </c>
      <c r="E8" s="4" t="s">
        <v>1385</v>
      </c>
      <c r="F8" s="8" t="str">
        <f>wld_compute_hosts_per_rack_chosen</f>
        <v>Exclude</v>
      </c>
      <c r="H8" s="4" t="s">
        <v>1386</v>
      </c>
      <c r="I8" s="8" t="s">
        <v>2159</v>
      </c>
      <c r="K8" s="4" t="s">
        <v>1387</v>
      </c>
      <c r="L8" s="8" t="str">
        <f>IF(ISBLANK(input_ca_administrator_username),"Value Missing",input_ca_administrator_username)</f>
        <v>Value Missing</v>
      </c>
      <c r="N8" s="4" t="s">
        <v>1388</v>
      </c>
      <c r="O8" s="8" t="str">
        <f>IF(ISBLANK(input_mgmt_sddc_domain),"Value Missing",input_mgmt_sddc_domain)</f>
        <v>Value Missing</v>
      </c>
      <c r="Q8" s="23" t="s">
        <v>1389</v>
      </c>
      <c r="R8" s="8" t="str">
        <f>IF(ISBLANK(input_flt_fc_ip),"Value Missing",input_flt_fc_ip)</f>
        <v>Value Missing</v>
      </c>
      <c r="T8" s="28" t="s">
        <v>2159</v>
      </c>
      <c r="U8" s="8" t="str">
        <f>IF(mgmt_consolidated_result="Included",mgmt_sddc_domain,wld_sddc_domain)</f>
        <v>Value Missing</v>
      </c>
      <c r="W8" s="4" t="s">
        <v>1480</v>
      </c>
      <c r="X8" s="8" t="str">
        <f>IF(ISBLANK('Private AI Ready Infrastructure'!D19),"Value Missing",'Private AI Ready Infrastructure'!D19)</f>
        <v>Value Missing</v>
      </c>
      <c r="Z8" s="4" t="s">
        <v>1516</v>
      </c>
      <c r="AA8" s="8" t="str">
        <f>IF(ISBLANK(input_wld_witnessaz_mgmt_cidr),"Value Missing",VLOOKUP(INT(RIGHT(input_wld_witnessaz_mgmt_cidr,LEN(input_wld_witnessaz_mgmt_cidr)-FIND("/",input_wld_witnessaz_mgmt_cidr))),table_cidr_to_mask,2,FALSE))</f>
        <v>Value Missing</v>
      </c>
      <c r="AC8" s="4" t="s">
        <v>1391</v>
      </c>
      <c r="AD8" s="8" t="str">
        <f>'Value Reference Tables - MR'!F9</f>
        <v>Value Missing</v>
      </c>
      <c r="AE8" s="8" t="str">
        <f>'Value Reference Tables - MR'!F295</f>
        <v>Value Missing</v>
      </c>
    </row>
    <row r="9" spans="1:31" s="2" customFormat="1" ht="20" customHeight="1" x14ac:dyDescent="0.2">
      <c r="B9" s="4" t="s">
        <v>1392</v>
      </c>
      <c r="C9" s="8" t="s">
        <v>1393</v>
      </c>
      <c r="E9" s="4" t="s">
        <v>1394</v>
      </c>
      <c r="F9" s="8">
        <f>IF(vcf_granular_option_chosen="Create Cluster",PRODUCT(cluster_compute_hosts_per_rack_chosen,wld_multi_rack_count_chosen),PRODUCT(wld_compute_hosts_per_rack,wld_multi_rack_count_chosen))</f>
        <v>0</v>
      </c>
      <c r="H9" s="4" t="s">
        <v>1395</v>
      </c>
      <c r="I9" s="8" t="str">
        <f>IF(ISBLANK(input_cluster_domain_name),"Value Missing",input_cluster_domain_name)</f>
        <v>Value Missing</v>
      </c>
      <c r="K9" s="4" t="s">
        <v>1396</v>
      </c>
      <c r="L9" s="8"/>
      <c r="N9" s="4" t="s">
        <v>1397</v>
      </c>
      <c r="O9" s="8"/>
      <c r="T9" s="28" t="s">
        <v>1398</v>
      </c>
      <c r="U9" s="8" t="str">
        <f>IF(mgmt_consolidated_result="Included",mgmt_vc_fqdn,wld_vc_fqdn)</f>
        <v>Value Missing</v>
      </c>
      <c r="Z9" s="4" t="s">
        <v>1521</v>
      </c>
      <c r="AA9" s="8" t="str">
        <f>IF(ISBLANK(input_mgmt_az1_uplink01_cidr),"Value Missing",VLOOKUP(INT(RIGHT(input_mgmt_az1_uplink01_cidr,LEN(input_mgmt_az1_uplink01_cidr)-FIND("/",input_mgmt_az1_uplink01_cidr))),table_cidr_to_mask,2,FALSE))</f>
        <v>Value Missing</v>
      </c>
    </row>
    <row r="10" spans="1:31" s="2" customFormat="1" ht="20" customHeight="1" x14ac:dyDescent="0.2">
      <c r="B10" s="8" t="s">
        <v>1399</v>
      </c>
      <c r="C10" s="8" t="str">
        <f>CONCATENATE(this_instance,".rainpole.io")</f>
        <v>sfo.rainpole.io</v>
      </c>
      <c r="E10" s="140" t="str">
        <f>IF(OR(wld_domain_chosen="Deploy Workload Domain with a Multi-Rack Layer 3 Cluster",cluster_chosen="Deploy a Multi-Rack Layer 3 Cluster",),"Include","Exclude")</f>
        <v>Exclude</v>
      </c>
      <c r="F10" s="140" t="str">
        <f>IF(mgmt_domain_deployment_type_chosen="VMware vSphere Foundation","Excluded",
IF(AND(vcf_granular_option_chosen&lt;&gt;"Deploy a new VCF fleet",vcf_granular_option_chosen&lt;&gt;"Deploy a VCF Instance in an existing VCF fleet",vcf_granular_option_chosen&lt;&gt;"Create Workload Domain",vcf_granular_option_chosen&lt;&gt;"Create Cluster"),"Excluded",
IF(AND(wld_domain_chosen&lt;&gt;"Deploy Workload Domain with a Multi-Rack Layer 3 Cluster",cluster_chosen&lt;&gt;"Deploy a Multi-Rack Layer 3 Cluster"),"Excluded",
IF(AND(wld_multi_rack_count_chosen="Exclude",wld_compute_hosts_per_rack_chosen="Exclude",cluster_compute_hosts_per_rack_chosen="Exclude"),"Excluded",
IF(OR(wld_principal_storage_chosen="vSAN-ESA",wld_principal_storage_chosen="vSAN-OSA",wld_principal_storage_chosen="vSAN Compute Cluster"),
IF(wld_multirack_calc="Include","Included","Excluded"),"Excluded")))))</f>
        <v>Excluded</v>
      </c>
      <c r="H10" s="4" t="s">
        <v>666</v>
      </c>
      <c r="I10" s="8" t="str">
        <f>cluster_principal_storage_chosen</f>
        <v>vSAN-ESA</v>
      </c>
      <c r="N10" s="4" t="s">
        <v>1400</v>
      </c>
      <c r="O10" s="8" t="str">
        <f>IF(ISBLANK('Configure Management Domain'!D51),"Value Missing",'Configure Management Domain'!D51)</f>
        <v>Value Missing</v>
      </c>
      <c r="Q10" s="630" t="s">
        <v>1401</v>
      </c>
      <c r="R10" s="631"/>
      <c r="T10" s="28" t="s">
        <v>1402</v>
      </c>
      <c r="U10" s="8" t="str">
        <f>IF(mgmt_consolidated_result="Included",mgmt_datacenter,wld_datacenter)</f>
        <v>Value Missing</v>
      </c>
      <c r="W10" s="221" t="s">
        <v>1491</v>
      </c>
      <c r="X10" s="222"/>
      <c r="Z10" s="4" t="s">
        <v>1524</v>
      </c>
      <c r="AA10" s="8" t="str">
        <f>IF(ISBLANK(input_mgmt_az1_uplink02_cidr),"Value Missing",VLOOKUP(INT(RIGHT(input_mgmt_az1_uplink02_cidr,LEN(input_mgmt_az1_uplink02_cidr)-FIND("/",input_mgmt_az1_uplink02_cidr))),table_cidr_to_mask,2,FALSE))</f>
        <v>Value Missing</v>
      </c>
      <c r="AC10" s="221" t="s">
        <v>1410</v>
      </c>
      <c r="AD10" s="222"/>
      <c r="AE10" s="222"/>
    </row>
    <row r="11" spans="1:31" s="2" customFormat="1" ht="20" customHeight="1" x14ac:dyDescent="0.2">
      <c r="B11" s="2" t="s">
        <v>1403</v>
      </c>
      <c r="C11" s="2" t="str">
        <f t="array" aca="1" ref="C11" ca="1">INDIRECT("'Version History'!B8")</f>
        <v>v1.9.1.004</v>
      </c>
      <c r="H11" s="579" t="s">
        <v>206</v>
      </c>
      <c r="I11" s="581"/>
      <c r="K11" s="221" t="s">
        <v>1404</v>
      </c>
      <c r="L11" s="222"/>
      <c r="N11" s="4" t="s">
        <v>686</v>
      </c>
      <c r="O11" s="8" t="str">
        <f>'Management Domain Sizing'!D40</f>
        <v>Medium</v>
      </c>
      <c r="Q11" s="224" t="s">
        <v>254</v>
      </c>
      <c r="R11" s="224" t="s">
        <v>20</v>
      </c>
      <c r="T11" s="28" t="s">
        <v>1405</v>
      </c>
      <c r="U11" s="8" t="str">
        <f>IF(mgmt_consolidated_result="Included",mgmt_cl01_cluster,wld_cl01_cluster)</f>
        <v>Value Missing</v>
      </c>
      <c r="W11" s="200" t="s">
        <v>254</v>
      </c>
      <c r="X11" s="201" t="s">
        <v>20</v>
      </c>
      <c r="Z11" s="4" t="s">
        <v>1534</v>
      </c>
      <c r="AA11" s="8"/>
      <c r="AC11" s="200" t="s">
        <v>254</v>
      </c>
      <c r="AD11" s="201" t="s">
        <v>1044</v>
      </c>
      <c r="AE11" s="201" t="s">
        <v>1346</v>
      </c>
    </row>
    <row r="12" spans="1:31" s="2" customFormat="1" ht="20" customHeight="1" x14ac:dyDescent="0.2">
      <c r="B12" s="218" t="s">
        <v>1406</v>
      </c>
      <c r="C12" s="218"/>
      <c r="E12" s="218" t="s">
        <v>1407</v>
      </c>
      <c r="F12" s="218"/>
      <c r="H12" s="4" t="s">
        <v>85</v>
      </c>
      <c r="I12" s="8" t="str">
        <f>IF(ISBLANK(input_cluster_az1_mgmt_vlan),"Value Missing",input_cluster_az1_mgmt_vlan)</f>
        <v>Value Missing</v>
      </c>
      <c r="K12" s="200" t="s">
        <v>254</v>
      </c>
      <c r="L12" s="201" t="s">
        <v>20</v>
      </c>
      <c r="N12" s="4" t="s">
        <v>1408</v>
      </c>
      <c r="O12" s="8" t="str">
        <f>'Management Domain Sizing'!F40</f>
        <v>Large</v>
      </c>
      <c r="Q12" s="23" t="s">
        <v>1389</v>
      </c>
      <c r="R12" s="8" t="str">
        <f>IF(flt_fc_fqdn="Value Missing",flt_fc_fqdn,LEFT(flt_fc_fqdn,FIND(".",flt_fc_fqdn)-1))</f>
        <v>Value Missing</v>
      </c>
      <c r="T12" s="28" t="s">
        <v>1409</v>
      </c>
      <c r="U12" s="8" t="str">
        <f>IF(mgmt_consolidated_result="Included",mgmt_cl01_vds01_name,wld_cl01_vds01_name)</f>
        <v>Value Missing</v>
      </c>
      <c r="W12" s="4" t="s">
        <v>273</v>
      </c>
      <c r="X12" s="8" t="str">
        <f>IF(ISBLANK(input_mgmt_witnessaz_mgmt_vlan),"Value Missing",input_mgmt_witnessaz_mgmt_vlan)</f>
        <v>Value Missing</v>
      </c>
      <c r="Z12" s="4" t="s">
        <v>1535</v>
      </c>
      <c r="AA12" s="8" t="str">
        <f>IF(ISBLANK(input_wld_witnessaz_mgmt_cidr),"Value Missing",VLOOKUP(INT(RIGHT(input_wld_witnessaz_mgmt_cidr,LEN(input_wld_witnessaz_mgmt_cidr)-FIND("/",input_wld_witnessaz_mgmt_cidr))),table_cidr_to_mask,2,FALSE))</f>
        <v>Value Missing</v>
      </c>
    </row>
    <row r="13" spans="1:31" s="2" customFormat="1" ht="20" customHeight="1" x14ac:dyDescent="0.2">
      <c r="B13" s="223" t="s">
        <v>254</v>
      </c>
      <c r="C13" s="224" t="s">
        <v>20</v>
      </c>
      <c r="E13" s="223" t="s">
        <v>254</v>
      </c>
      <c r="F13" s="224" t="s">
        <v>20</v>
      </c>
      <c r="H13" s="4" t="s">
        <v>182</v>
      </c>
      <c r="I13" s="8" t="str">
        <f>IF(ISBLANK(input_cluster_az1_mgmt_gateway_ip),"Value Missing",input_cluster_az1_mgmt_gateway_ip)</f>
        <v>Value Missing</v>
      </c>
      <c r="K13" s="4" t="s">
        <v>1411</v>
      </c>
      <c r="L13" s="8" t="str">
        <f>IF(ISBLANK(input_esxi_root_password),"Value Missing",input_esxi_root_password)</f>
        <v>Value Missing</v>
      </c>
      <c r="N13" s="4" t="s">
        <v>1412</v>
      </c>
      <c r="O13" s="8" t="str">
        <f>IF(ISBLANK(mgmt_ceip_status_chosen),"Value Missing",mgmt_ceip_status_chosen)</f>
        <v>Selected</v>
      </c>
      <c r="T13" s="4" t="s">
        <v>1413</v>
      </c>
      <c r="U13" s="8" t="str">
        <f>IF(mgmt_consolidated_result="Included",mgmt_cl01_vsan_datastore,wld_cl01_vsan_datastore)</f>
        <v>Value Missing</v>
      </c>
      <c r="Z13" s="4" t="s">
        <v>1546</v>
      </c>
      <c r="AA13" s="8" t="str">
        <f>IF(ISBLANK(input_wld_az1_uplink01_cidr),"Value Missing",VLOOKUP(INT(RIGHT(input_wld_az1_uplink01_cidr,LEN(input_wld_az1_uplink01_cidr)-FIND("/",input_wld_az1_uplink01_cidr))),table_cidr_to_mask,2,FALSE))</f>
        <v>Value Missing</v>
      </c>
      <c r="AC13" s="221" t="s">
        <v>1424</v>
      </c>
      <c r="AD13" s="222"/>
      <c r="AE13" s="222"/>
    </row>
    <row r="14" spans="1:31" s="2" customFormat="1" ht="20" customHeight="1" x14ac:dyDescent="0.2">
      <c r="B14" s="4" t="s">
        <v>1414</v>
      </c>
      <c r="C14" s="8" t="str">
        <f>IF(ISBLANK(input_vcf_installer_ip),"Value Missing",input_vcf_installer_ip)</f>
        <v>Value Missing</v>
      </c>
      <c r="E14" s="4" t="s">
        <v>1415</v>
      </c>
      <c r="F14" s="8" t="str">
        <f>IF(ISBLANK(input_wld_vc_ip),"Value Missing",input_wld_vc_ip)</f>
        <v>Value Missing</v>
      </c>
      <c r="H14" s="4" t="s">
        <v>183</v>
      </c>
      <c r="I14" s="8" t="str">
        <f>IF(ISBLANK(input_cluster_az1_mgmt_cidr),"Value Missing",input_cluster_az1_mgmt_cidr)</f>
        <v>Value Missing</v>
      </c>
      <c r="K14" s="23" t="s">
        <v>1416</v>
      </c>
      <c r="L14" s="8" t="str">
        <f>IF(ISBLANK(input_administrator_vsphere_local_password),"Value Missing",input_administrator_vsphere_local_password)</f>
        <v>Value Missing</v>
      </c>
      <c r="N14" s="4" t="s">
        <v>1417</v>
      </c>
      <c r="O14" s="8" t="str">
        <f>'Management Domain Sizing'!I40</f>
        <v>Medium</v>
      </c>
      <c r="Q14" s="630" t="s">
        <v>1418</v>
      </c>
      <c r="R14" s="631"/>
      <c r="T14" s="28" t="s">
        <v>1419</v>
      </c>
      <c r="U14" s="8" t="str">
        <f>IF(mgmt_consolidated_result="Included",mgmt_nsxt_vip_fqdn,wld_nsxt_vip_fqdn)</f>
        <v>Value Missing</v>
      </c>
      <c r="W14" s="221" t="s">
        <v>1507</v>
      </c>
      <c r="X14" s="222"/>
      <c r="Z14" s="4" t="s">
        <v>1549</v>
      </c>
      <c r="AA14" s="8" t="str">
        <f>IF(ISBLANK(input_wld_az1_uplink02_cidr),"Value Missing",VLOOKUP(INT(RIGHT(input_wld_az1_uplink02_cidr,LEN(input_wld_az1_uplink02_cidr)-FIND("/",input_wld_az1_uplink02_cidr))),table_cidr_to_mask,2,FALSE))</f>
        <v>Value Missing</v>
      </c>
      <c r="AC14" s="200" t="s">
        <v>254</v>
      </c>
      <c r="AD14" s="201" t="s">
        <v>1044</v>
      </c>
      <c r="AE14" s="201" t="s">
        <v>1346</v>
      </c>
    </row>
    <row r="15" spans="1:31" s="2" customFormat="1" ht="20" customHeight="1" x14ac:dyDescent="0.2">
      <c r="B15" s="4" t="s">
        <v>1420</v>
      </c>
      <c r="C15" s="8" t="str">
        <f>IF(ISBLANK('Deploy Management Domain'!L387),"Value Missing",'Deploy Management Domain'!L387)</f>
        <v>Value Missing</v>
      </c>
      <c r="E15" s="4" t="s">
        <v>1421</v>
      </c>
      <c r="F15" s="8" t="str">
        <f>IF(ISBLANK('Deploy Workload Domain'!D195),"Value Missing",'Deploy Workload Domain'!D195)</f>
        <v>Value Missing</v>
      </c>
      <c r="H15" s="4" t="s">
        <v>157</v>
      </c>
      <c r="I15" s="8" t="str">
        <f>IF(ISBLANK(input_cluster_az1_mgmt_mtu),"Value Missing",input_cluster_az1_mgmt_mtu)</f>
        <v>Value Missing</v>
      </c>
      <c r="K15" s="23" t="s">
        <v>1422</v>
      </c>
      <c r="L15" s="8" t="str">
        <f>IF(ISBLANK(input_vcenter_root_password),"Value Missing",input_vcenter_root_password)</f>
        <v>Value Missing</v>
      </c>
      <c r="N15" s="4" t="s">
        <v>1423</v>
      </c>
      <c r="O15" s="8" t="str">
        <f>IF(ISBLANK('Configure Management Domain'!D95),"Value Missing",'Configure Management Domain'!D95)</f>
        <v>Value Missing</v>
      </c>
      <c r="Q15" s="224" t="s">
        <v>254</v>
      </c>
      <c r="R15" s="224" t="s">
        <v>20</v>
      </c>
      <c r="T15" s="4" t="s">
        <v>1429</v>
      </c>
      <c r="U15" s="8" t="str">
        <f>IF(mgmt_consolidated_result="Included",mgmt_tier0_name,wld_tier0_name)</f>
        <v>Value Missing</v>
      </c>
      <c r="V15" s="3"/>
      <c r="W15" s="200" t="s">
        <v>254</v>
      </c>
      <c r="X15" s="201" t="s">
        <v>20</v>
      </c>
      <c r="Z15" s="4" t="s">
        <v>1558</v>
      </c>
      <c r="AA15" s="8" t="str">
        <f>IF(ISBLANK(input_wld_az1_vrms_cidr),"Value Missing",VLOOKUP(INT(RIGHT(input_wld_az1_vrms_cidr,LEN(input_wld_az1_vrms_cidr)-FIND("/",input_wld_az1_vrms_cidr))),table_cidr_to_mask,2,FALSE))</f>
        <v>Value Missing</v>
      </c>
      <c r="AC15" s="4" t="s">
        <v>1391</v>
      </c>
      <c r="AD15" s="8" t="str">
        <f>'Value Reference Tables - MR'!F24</f>
        <v>Value Missing</v>
      </c>
      <c r="AE15" s="8" t="str">
        <f>'Value Reference Tables - MR'!F309</f>
        <v>Value Missing</v>
      </c>
    </row>
    <row r="16" spans="1:31" s="2" customFormat="1" ht="20" customHeight="1" x14ac:dyDescent="0.2">
      <c r="B16" s="4" t="s">
        <v>1415</v>
      </c>
      <c r="C16" s="8" t="str">
        <f>IF(ISBLANK('Deploy Management Domain'!L388),"Value Missing",'Deploy Management Domain'!L388)</f>
        <v>Value Missing</v>
      </c>
      <c r="E16" s="4" t="s">
        <v>1425</v>
      </c>
      <c r="F16" s="8" t="str">
        <f>IF(ISBLANK('Deploy Workload Domain'!D189),"Value Missing",'Deploy Workload Domain'!D189)</f>
        <v>Value Missing</v>
      </c>
      <c r="H16" s="579" t="s">
        <v>1426</v>
      </c>
      <c r="I16" s="581"/>
      <c r="K16" s="23" t="s">
        <v>1427</v>
      </c>
      <c r="L16" s="8" t="str">
        <f>IF(ISBLANK(input_nsxt_lm_root_password),"Value Missing",input_nsxt_lm_root_password)</f>
        <v>Value Missing</v>
      </c>
      <c r="N16" s="4" t="s">
        <v>1428</v>
      </c>
      <c r="O16" s="8" t="str">
        <f>'Management Domain Sizing'!L40</f>
        <v>Excluded</v>
      </c>
      <c r="Q16" s="23" t="s">
        <v>1389</v>
      </c>
      <c r="R16" s="8" t="str">
        <f>IF(ISBLANK(input_flt_fc_fqdn),"Value Missing",input_flt_fc_fqdn)</f>
        <v>Value Missing</v>
      </c>
      <c r="T16" s="4" t="s">
        <v>1433</v>
      </c>
      <c r="U16" s="8" t="str">
        <f>IF(mgmt_consolidated_result="Included",CONCATENATE("overlay-tz-",mgmt_nsxt_hostname),CONCATENATE("overlay-tz-",wld_nsxt_hostname))</f>
        <v>overlay-tz-Value Missing</v>
      </c>
      <c r="V16" s="3"/>
      <c r="W16" s="4" t="s">
        <v>273</v>
      </c>
      <c r="X16" s="8" t="str">
        <f>IF(ISBLANK(input_mgmt_witness_mgmt_pg),"Value Missing",input_mgmt_witness_mgmt_pg)</f>
        <v>Value Missing</v>
      </c>
    </row>
    <row r="17" spans="2:31" s="2" customFormat="1" ht="20" customHeight="1" x14ac:dyDescent="0.2">
      <c r="B17" s="4" t="s">
        <v>1421</v>
      </c>
      <c r="C17" s="8" t="str">
        <f>IF(ISBLANK('Deploy Management Domain'!L390),"Value Missing",'Deploy Management Domain'!L390)</f>
        <v>Value Missing</v>
      </c>
      <c r="E17" s="4" t="s">
        <v>1430</v>
      </c>
      <c r="F17" s="8" t="str">
        <f>IF(ISBLANK('Deploy Workload Domain'!D191),"Value Missing",'Deploy Workload Domain'!D191)</f>
        <v>Value Missing</v>
      </c>
      <c r="H17" s="4" t="s">
        <v>85</v>
      </c>
      <c r="I17" s="8" t="str">
        <f>IF(ISBLANK(input_cluster_az1_vmotion_vlan),"Value Missing",input_cluster_az1_vmotion_vlan)</f>
        <v>Value Missing</v>
      </c>
      <c r="K17" s="23" t="s">
        <v>1431</v>
      </c>
      <c r="L17" s="8" t="str">
        <f>IF(ISBLANK(input_nsxt_lm_admin_password),"Value Missing",input_nsxt_lm_admin_password)</f>
        <v>Value Missing</v>
      </c>
      <c r="N17" s="4" t="s">
        <v>1432</v>
      </c>
      <c r="O17" s="8" t="str">
        <f>IF(ISBLANK('Configure Management Domain'!D156),"Value Missing",'Configure Management Domain'!D156)</f>
        <v>Value Missing</v>
      </c>
      <c r="T17" s="4" t="s">
        <v>1438</v>
      </c>
      <c r="U17" s="8" t="str">
        <f>IF(ISBLANK('Private AI Ready Infrastructure'!D19),"Value Missing",'Private AI Ready Infrastructure'!D19)</f>
        <v>Value Missing</v>
      </c>
      <c r="V17" s="3"/>
      <c r="Z17" s="519" t="s">
        <v>1042</v>
      </c>
      <c r="AA17" s="520"/>
      <c r="AC17" s="221" t="s">
        <v>1443</v>
      </c>
      <c r="AD17" s="222"/>
      <c r="AE17" s="222"/>
    </row>
    <row r="18" spans="2:31" s="2" customFormat="1" ht="20" customHeight="1" x14ac:dyDescent="0.2">
      <c r="B18" s="4" t="s">
        <v>1425</v>
      </c>
      <c r="C18" s="8" t="str">
        <f>IF(ISBLANK('Deploy Management Domain'!L391),"Value Missing",'Deploy Management Domain'!L391)</f>
        <v>Value Missing</v>
      </c>
      <c r="E18" s="4" t="s">
        <v>1434</v>
      </c>
      <c r="F18" s="8" t="str">
        <f>IF(ISBLANK('Deploy Workload Domain'!D193),"Value Missing",'Deploy Workload Domain'!D193)</f>
        <v>Value Missing</v>
      </c>
      <c r="H18" s="4" t="s">
        <v>157</v>
      </c>
      <c r="I18" s="8" t="str">
        <f>IF(ISBLANK(input_cluster_az1_vmotion_mtu),"Value Missing",input_cluster_az1_vmotion_mtu)</f>
        <v>Value Missing</v>
      </c>
      <c r="K18" s="23" t="s">
        <v>1435</v>
      </c>
      <c r="L18" s="8" t="str">
        <f>IF(ISBLANK(input_nsxt_lm_audit_password),"Value Missing",input_nsxt_lm_audit_password)</f>
        <v>Value Missing</v>
      </c>
      <c r="N18" s="4" t="s">
        <v>1436</v>
      </c>
      <c r="O18" s="8" t="str">
        <f>IF(ISBLANK('Value Reference Tables'!U208),"Value Missing",'Value Reference Tables'!U208)</f>
        <v>Value Missing</v>
      </c>
      <c r="Q18" s="220" t="s">
        <v>1437</v>
      </c>
      <c r="R18" s="222"/>
      <c r="T18" s="4" t="s">
        <v>1442</v>
      </c>
      <c r="U18" s="8" t="str">
        <f>IF(ISBLANK(input_k8s_ip_prefixlist),"Value Missing",input_k8s_ip_prefixlist)</f>
        <v>Value Missing</v>
      </c>
      <c r="W18" s="221" t="s">
        <v>1520</v>
      </c>
      <c r="X18" s="222"/>
      <c r="Z18" s="200" t="s">
        <v>254</v>
      </c>
      <c r="AA18" s="201" t="s">
        <v>20</v>
      </c>
      <c r="AC18" s="200" t="s">
        <v>254</v>
      </c>
      <c r="AD18" s="201" t="s">
        <v>1044</v>
      </c>
      <c r="AE18" s="201" t="s">
        <v>1346</v>
      </c>
    </row>
    <row r="19" spans="2:31" s="2" customFormat="1" ht="20" customHeight="1" x14ac:dyDescent="0.2">
      <c r="B19" s="4" t="s">
        <v>1430</v>
      </c>
      <c r="C19" s="8" t="str">
        <f>IF(ISBLANK('Deploy Management Domain'!L392),"Value Missing",'Deploy Management Domain'!L392)</f>
        <v>Value Missing</v>
      </c>
      <c r="E19" s="4" t="s">
        <v>1439</v>
      </c>
      <c r="F19" s="8" t="str">
        <f>IF(ISBLANK('Configure Workload Domain'!D513),"Value Missing",'Configure Workload Domain'!D513)</f>
        <v>Value Missing</v>
      </c>
      <c r="H19" s="4" t="s">
        <v>245</v>
      </c>
      <c r="I19" s="8" t="str">
        <f>IF(cluster_az1_vmotion_gateway_cidr="Value Missing","Value Missing",CONCATENATE(_xlfn.TEXTBEFORE(cluster_az1_vmotion_gateway_cidr,".",3),".0"))</f>
        <v>Value Missing</v>
      </c>
      <c r="K19" s="23" t="s">
        <v>1440</v>
      </c>
      <c r="L19" s="8" t="str">
        <f>IF(ISBLANK(input_mgmt_nsxt_en_root_password),"Value Missing",input_mgmt_nsxt_en_root_password)</f>
        <v>Value Missing</v>
      </c>
      <c r="N19" s="4" t="s">
        <v>1441</v>
      </c>
      <c r="O19" s="8" t="str">
        <f>IF(ISBLANK(input_mgmt_nsxt_global_mgr_vmca_signed_thumbprint),"Value Missing",input_mgmt_nsxt_global_mgr_vmca_signed_thumbprint)</f>
        <v>Value Missing</v>
      </c>
      <c r="Q19" s="200" t="s">
        <v>254</v>
      </c>
      <c r="R19" s="201" t="s">
        <v>20</v>
      </c>
      <c r="T19" s="23" t="s">
        <v>1447</v>
      </c>
      <c r="U19" s="8" t="str">
        <f>IF(ISBLANK(input_k8s_ip_routemap),"Value Missing",input_k8s_ip_routemap)</f>
        <v>Value Missing</v>
      </c>
      <c r="W19" s="200" t="s">
        <v>254</v>
      </c>
      <c r="X19" s="201" t="s">
        <v>20</v>
      </c>
      <c r="Z19" s="4" t="s">
        <v>1595</v>
      </c>
      <c r="AA19" s="8" t="str">
        <f>IF(mgmt_domain_chosen="First Instance","sfo","lax")</f>
        <v>sfo</v>
      </c>
      <c r="AC19" s="4" t="s">
        <v>1391</v>
      </c>
      <c r="AD19" s="8" t="str">
        <f>'Value Reference Tables - MR'!F86</f>
        <v>Value Missing</v>
      </c>
      <c r="AE19" s="8" t="str">
        <f>'Value Reference Tables - MR'!F351</f>
        <v>Value Missing</v>
      </c>
    </row>
    <row r="20" spans="2:31" s="2" customFormat="1" ht="20" customHeight="1" x14ac:dyDescent="0.2">
      <c r="B20" s="4" t="s">
        <v>1434</v>
      </c>
      <c r="C20" s="8" t="str">
        <f>IF(ISBLANK('Deploy Management Domain'!L393),"Value Missing",'Deploy Management Domain'!L393)</f>
        <v>Value Missing</v>
      </c>
      <c r="E20" s="4" t="s">
        <v>1444</v>
      </c>
      <c r="F20" s="8" t="str">
        <f>IF(ISBLANK('Configure Workload Domain'!D442),"Value Missing",'Configure Workload Domain'!D442)</f>
        <v>Value Missing</v>
      </c>
      <c r="H20" s="4" t="s">
        <v>278</v>
      </c>
      <c r="I20" s="8" t="str">
        <f>IF(cluster_az1_vmotion_gateway_cidr="Value Missing",cluster_az1_vmotion_gateway_cidr,VLOOKUP(INT(RIGHT(cluster_az1_vmotion_gateway_cidr,LEN(cluster_az1_vmotion_gateway_cidr)-FIND("/",cluster_az1_vmotion_gateway_cidr))),table_cidr_to_mask,2,FALSE))</f>
        <v>Value Missing</v>
      </c>
      <c r="K20" s="23" t="s">
        <v>1445</v>
      </c>
      <c r="L20" s="8" t="str">
        <f>IF(ISBLANK(input_mgmt_nsxt_en_admin_password),"Value Missing",input_mgmt_nsxt_en_admin_password)</f>
        <v>Value Missing</v>
      </c>
      <c r="N20" s="4" t="s">
        <v>1446</v>
      </c>
      <c r="O20" s="8" t="str">
        <f>IF(ISBLANK(input_mgmt_nsxt_global_mgr_cluster_id),"Value Missing",input_mgmt_nsxt_global_mgr_cluster_id)</f>
        <v>Value Missing</v>
      </c>
      <c r="Q20" s="4"/>
      <c r="R20" s="8" t="str">
        <f>IF(ISBLANK('Private AI Ready Infrastructure'!D72),"Value Missing",'Private AI Ready Infrastructure'!D72)</f>
        <v>Value Missing</v>
      </c>
      <c r="T20" s="4" t="s">
        <v>88</v>
      </c>
      <c r="U20" s="8" t="str">
        <f>IF(mgmt_consolidated_result="Included",mgmt_ec_name,wld_ec_name)</f>
        <v>Value Missing</v>
      </c>
      <c r="V20" s="3"/>
      <c r="W20" s="4" t="s">
        <v>273</v>
      </c>
      <c r="X20" s="8" t="str">
        <f>IF(ISBLANK(input_mgmt_witnessaz_mgmt_cidr),"Value Missing",input_mgmt_witnessaz_mgmt_cidr)</f>
        <v>Value Missing</v>
      </c>
      <c r="Z20" s="4" t="s">
        <v>1598</v>
      </c>
      <c r="AA20" s="8" t="str">
        <f>IF(this_instance="sfo","lax","sfo")</f>
        <v>lax</v>
      </c>
    </row>
    <row r="21" spans="2:31" s="2" customFormat="1" ht="20" customHeight="1" x14ac:dyDescent="0.2">
      <c r="B21" s="4" t="s">
        <v>1439</v>
      </c>
      <c r="C21" s="8" t="str">
        <f>IF(ISBLANK('Configure Management Domain'!D546),"Value Missing",'Configure Management Domain'!D546)</f>
        <v>Value Missing</v>
      </c>
      <c r="E21" s="4" t="s">
        <v>1448</v>
      </c>
      <c r="F21" s="8" t="str">
        <f>IF(ISBLANK('Configure Workload Domain'!D459),"Value Missing",'Configure Workload Domain'!D459)</f>
        <v>Value Missing</v>
      </c>
      <c r="H21" s="4" t="s">
        <v>451</v>
      </c>
      <c r="I21" s="8" t="str">
        <f>IF(OR(cluster_az1_vmotion_network="Value Missing",cluster_az1_vmotion_mask="Value Missing"),"Value Missing",(CONCATENATE(cluster_az1_vmotion_network,"/",VLOOKUP(cluster_az1_vmotion_mask,table_mask_to_cidr,2,FALSE))))</f>
        <v>Value Missing</v>
      </c>
      <c r="K21" s="23" t="s">
        <v>1449</v>
      </c>
      <c r="L21" s="8" t="str">
        <f>IF(ISBLANK(input_nsxt_gm_root_password),"Value Missing",input_nsxt_gm_root_password)</f>
        <v>Value Missing</v>
      </c>
      <c r="N21" s="4" t="s">
        <v>1450</v>
      </c>
      <c r="O21" s="8" t="str">
        <f>IF(ISBLANK('Configure Management Domain'!D540),"Value Missing",'Configure Management Domain'!D540)</f>
        <v>Value Missing</v>
      </c>
      <c r="Q21" s="4"/>
      <c r="R21" s="8" t="str">
        <f>IF(ISBLANK('Private AI Ready Infrastructure'!D71),"Value Missing",'Private AI Ready Infrastructure'!D71)</f>
        <v>Value Missing</v>
      </c>
      <c r="T21" s="23" t="s">
        <v>1454</v>
      </c>
      <c r="U21" s="8">
        <v>28</v>
      </c>
      <c r="V21" s="3"/>
      <c r="Z21" s="4" t="s">
        <v>1602</v>
      </c>
      <c r="AA21" s="8" t="str">
        <f>IF(mgmt_consolidated_result="Included","m01",CONCATENATE("w0",wld_domain_number_chosen))</f>
        <v>w01</v>
      </c>
      <c r="AC21" s="221" t="s">
        <v>1459</v>
      </c>
      <c r="AD21" s="222"/>
      <c r="AE21" s="222"/>
    </row>
    <row r="22" spans="2:31" s="2" customFormat="1" ht="20" customHeight="1" x14ac:dyDescent="0.2">
      <c r="B22" s="4" t="s">
        <v>1444</v>
      </c>
      <c r="C22" s="8" t="str">
        <f>IF(ISBLANK('Configure Management Domain'!D481),"Value Missing",'Configure Management Domain'!D481)</f>
        <v>Value Missing</v>
      </c>
      <c r="E22" s="4" t="s">
        <v>1451</v>
      </c>
      <c r="F22" s="8" t="str">
        <f>IF(ISBLANK('Configure Workload Domain'!D476),"Value Missing",'Configure Workload Domain'!D476)</f>
        <v>Value Missing</v>
      </c>
      <c r="H22" s="4" t="s">
        <v>182</v>
      </c>
      <c r="I22" s="8" t="str">
        <f>IF(cluster_az1_vmotion_gateway_cidr="Value Missing","Value Missing",LEFT(cluster_az1_vmotion_gateway_cidr,FIND("/",cluster_az1_vmotion_gateway_cidr)-1))</f>
        <v>Value Missing</v>
      </c>
      <c r="K22" s="23" t="s">
        <v>1452</v>
      </c>
      <c r="L22" s="8" t="str">
        <f>IF(ISBLANK(input_nsxt_gm_admin_password),"Value Missing",input_nsxt_gm_admin_password)</f>
        <v>Value Missing</v>
      </c>
      <c r="N22" s="4" t="s">
        <v>1453</v>
      </c>
      <c r="O22" s="8" t="str">
        <f>IF(ISBLANK('Configure Management Domain'!D552),"Value Missing",'Configure Management Domain'!D552)</f>
        <v>Value Missing</v>
      </c>
      <c r="Q22" s="6"/>
      <c r="R22" s="6"/>
      <c r="T22" s="23" t="s">
        <v>1458</v>
      </c>
      <c r="U22" s="8">
        <v>32</v>
      </c>
      <c r="V22" s="3"/>
      <c r="W22" s="221" t="s">
        <v>1533</v>
      </c>
      <c r="X22" s="222"/>
      <c r="Z22" s="4" t="s">
        <v>1605</v>
      </c>
      <c r="AA22" s="8" t="str">
        <f>IF(this_instance="sfo","11","21")</f>
        <v>11</v>
      </c>
      <c r="AC22" s="200" t="s">
        <v>254</v>
      </c>
      <c r="AD22" s="201" t="s">
        <v>1044</v>
      </c>
      <c r="AE22" s="201" t="s">
        <v>1346</v>
      </c>
    </row>
    <row r="23" spans="2:31" s="2" customFormat="1" ht="20" customHeight="1" x14ac:dyDescent="0.2">
      <c r="B23" s="4" t="s">
        <v>1448</v>
      </c>
      <c r="C23" s="8" t="str">
        <f>IF(ISBLANK('Configure Management Domain'!D498),"Value Missing",'Configure Management Domain'!D498)</f>
        <v>Value Missing</v>
      </c>
      <c r="E23" s="4" t="s">
        <v>1455</v>
      </c>
      <c r="F23" s="8" t="str">
        <f>IF(ISBLANK('Configure Workload Domain'!D230),"Value Missing",'Configure Workload Domain'!D230)</f>
        <v>Value Missing</v>
      </c>
      <c r="H23" s="4" t="s">
        <v>3686</v>
      </c>
      <c r="I23" s="8" t="str">
        <f>IF(ISBLANK(input_cluster_az1_vmotion_gateway_cidr),"Value Missing",input_cluster_az1_vmotion_gateway_cidr)</f>
        <v>Value Missing</v>
      </c>
      <c r="K23" s="23" t="s">
        <v>1456</v>
      </c>
      <c r="L23" s="8" t="str">
        <f>IF(ISBLANK(input_nsxt_gm_audit_password),"Value Missing",input_nsxt_gm_audit_password)</f>
        <v>Value Missing</v>
      </c>
      <c r="N23" s="4" t="s">
        <v>1457</v>
      </c>
      <c r="O23" s="8" t="str">
        <f>IF(ISBLANK('Configure Management Domain'!D569),"Value Missing",'Configure Management Domain'!D569)</f>
        <v>Value Missing</v>
      </c>
      <c r="Q23" s="519" t="s">
        <v>1472</v>
      </c>
      <c r="R23" s="632"/>
      <c r="T23" s="4" t="s">
        <v>1462</v>
      </c>
      <c r="U23" s="8" t="str">
        <f>IF(ISBLANK(input_k8s_vcenter_category),"Value Missing",input_k8s_vcenter_category)</f>
        <v>Value Missing</v>
      </c>
      <c r="V23" s="3"/>
      <c r="W23" s="200" t="s">
        <v>254</v>
      </c>
      <c r="X23" s="201" t="s">
        <v>20</v>
      </c>
      <c r="Z23" s="4" t="s">
        <v>1608</v>
      </c>
      <c r="AA23" s="8" t="str">
        <f>IF(this_instance="sfo","10.11.","10.21.")</f>
        <v>10.11.</v>
      </c>
      <c r="AC23" s="4" t="s">
        <v>1391</v>
      </c>
      <c r="AD23" s="8" t="str">
        <f>'Value Reference Tables - MR'!F70</f>
        <v>Value Missing</v>
      </c>
      <c r="AE23" s="8" t="str">
        <f>'Value Reference Tables - MR'!F365</f>
        <v>Value Missing</v>
      </c>
    </row>
    <row r="24" spans="2:31" s="2" customFormat="1" ht="20" customHeight="1" x14ac:dyDescent="0.2">
      <c r="B24" s="4" t="s">
        <v>1451</v>
      </c>
      <c r="C24" s="8" t="str">
        <f>IF(ISBLANK('Configure Management Domain'!D515),"Value Missing",'Configure Management Domain'!D515)</f>
        <v>Value Missing</v>
      </c>
      <c r="E24" s="4" t="s">
        <v>1460</v>
      </c>
      <c r="F24" s="8" t="str">
        <f>IF(ISBLANK(input_wld_avilb_mgra_ip),"Value Missing",input_wld_avilb_mgra_ip)</f>
        <v>Value Missing</v>
      </c>
      <c r="H24" s="23" t="s">
        <v>248</v>
      </c>
      <c r="I24" s="8" t="str">
        <f>IF(ISBLANK(input_cluster_az1_vmotion_pool_start_ip),"Value Missing",input_cluster_az1_vmotion_pool_start_ip)</f>
        <v>Value Missing</v>
      </c>
      <c r="K24" s="23" t="s">
        <v>1449</v>
      </c>
      <c r="L24" s="8" t="str">
        <f>IF(ISBLANK(input_wld_nsxt_gm_root_password),"Value Missing",input_wld_nsxt_gm_root_password)</f>
        <v>Value Missing</v>
      </c>
      <c r="N24" s="4" t="s">
        <v>1461</v>
      </c>
      <c r="O24" s="8" t="str">
        <f>IF(ISBLANK('Configure Management Domain'!D583),"Value Missing",'Configure Management Domain'!D583)</f>
        <v>Value Missing</v>
      </c>
      <c r="Q24" s="28" t="s">
        <v>1478</v>
      </c>
      <c r="R24" s="8"/>
      <c r="T24" s="4" t="s">
        <v>1465</v>
      </c>
      <c r="U24" s="8" t="str">
        <f>IF(ISBLANK(input_k8s_vcenter_tag),"Value Missing",input_k8s_vcenter_tag)</f>
        <v>Value Missing</v>
      </c>
      <c r="V24" s="3"/>
      <c r="W24" s="4" t="s">
        <v>273</v>
      </c>
      <c r="X24" s="8" t="str">
        <f>IF(ISBLANK(input_mgmt_witnessaz_mgmt_gateway_ip),"Value Missing",input_mgmt_witnessaz_mgmt_gateway_ip)</f>
        <v>Value Missing</v>
      </c>
      <c r="Z24" s="4" t="s">
        <v>1612</v>
      </c>
      <c r="AA24" s="8" t="str">
        <f>IF(this_instance="sfo","12","22")</f>
        <v>12</v>
      </c>
    </row>
    <row r="25" spans="2:31" s="2" customFormat="1" ht="20" customHeight="1" x14ac:dyDescent="0.2">
      <c r="B25" s="4" t="s">
        <v>1455</v>
      </c>
      <c r="C25" s="8" t="str">
        <f>IF(ISBLANK('Configure Management Domain'!D287),"Value Missing",'Configure Management Domain'!D287)</f>
        <v>Value Missing</v>
      </c>
      <c r="E25" s="4" t="s">
        <v>1463</v>
      </c>
      <c r="F25" s="8" t="str">
        <f>IF(ISBLANK(input_wld_avilb_mgrb_ip),"Value Missing",input_wld_avilb_mgrb_ip)</f>
        <v>Value Missing</v>
      </c>
      <c r="H25" s="23" t="s">
        <v>249</v>
      </c>
      <c r="I25" s="8" t="str">
        <f>IF(ISBLANK(input_cluster_az1_vmotion_pool_end_ip),"Value Missing",input_cluster_az1_vmotion_pool_end_ip)</f>
        <v>Value Missing</v>
      </c>
      <c r="K25" s="23" t="s">
        <v>1452</v>
      </c>
      <c r="L25" s="8" t="str">
        <f>IF(ISBLANK(input_wld_nsxt_gm_admin_password),"Value Missing",input_wld_nsxt_gm_admin_password)</f>
        <v>Value Missing</v>
      </c>
      <c r="N25" s="4" t="s">
        <v>1464</v>
      </c>
      <c r="O25" s="8" t="str">
        <f>IF(ISBLANK('Configure Management Domain'!D581),"Value Missing",'Configure Management Domain'!D581)</f>
        <v>Value Missing</v>
      </c>
      <c r="Q25" s="6"/>
      <c r="R25" s="6"/>
      <c r="T25" s="4" t="s">
        <v>1468</v>
      </c>
      <c r="U25" s="8" t="str">
        <f>IF(ISBLANK(input_k8s_vcenter_storage_policy),"Value Missing",input_k8s_vcenter_storage_policy)</f>
        <v>Value Missing</v>
      </c>
      <c r="V25" s="3"/>
      <c r="Z25" s="4" t="s">
        <v>1615</v>
      </c>
      <c r="AA25" s="8" t="str">
        <f>IF(this_instance="sfo","10.12.","10.22.")</f>
        <v>10.12.</v>
      </c>
      <c r="AC25" s="221" t="s">
        <v>1474</v>
      </c>
      <c r="AD25" s="222"/>
      <c r="AE25" s="222"/>
    </row>
    <row r="26" spans="2:31" s="2" customFormat="1" ht="20" customHeight="1" x14ac:dyDescent="0.2">
      <c r="B26" s="4" t="s">
        <v>195</v>
      </c>
      <c r="C26" s="8" t="str">
        <f>IF(ISBLANK(input_mgmt_avilb_mgra_ip),"Value Missing",input_mgmt_avilb_mgra_ip)</f>
        <v>Value Missing</v>
      </c>
      <c r="E26" s="4" t="s">
        <v>1466</v>
      </c>
      <c r="F26" s="8" t="str">
        <f>IF(ISBLANK(input_wld_avilb_mgrc_ip),"Value Missing",input_wld_avilb_mgrc_ip)</f>
        <v>Value Missing</v>
      </c>
      <c r="H26" s="579" t="s">
        <v>258</v>
      </c>
      <c r="I26" s="581"/>
      <c r="K26" s="23" t="s">
        <v>1456</v>
      </c>
      <c r="L26" s="8" t="str">
        <f>IF(ISBLANK(input_wld_nsxt_gm_audit_password),"Value Missing",input_wld_nsxt_gm_audit_password)</f>
        <v>Value Missing</v>
      </c>
      <c r="N26" s="4" t="s">
        <v>1467</v>
      </c>
      <c r="O26" s="8" t="str">
        <f>IF(ISBLANK('Configure Management Domain'!D572),"Value Missing",'Configure Management Domain'!D572)</f>
        <v>Value Missing</v>
      </c>
      <c r="Q26" s="519" t="s">
        <v>1489</v>
      </c>
      <c r="R26" s="632"/>
      <c r="T26" s="4" t="s">
        <v>1473</v>
      </c>
      <c r="U26" s="8" t="str">
        <f>IF(ISBLANK(input_k8s_vcenter_content_library),"Value Missing",input_k8s_vcenter_content_library)</f>
        <v>Value Missing</v>
      </c>
      <c r="V26" s="3"/>
      <c r="W26" s="221" t="s">
        <v>1545</v>
      </c>
      <c r="X26" s="222"/>
      <c r="Z26" s="4" t="s">
        <v>1629</v>
      </c>
      <c r="AA26" s="8" t="str">
        <f>IF(this_instance="sfo","192.168.31","192.168.32")</f>
        <v>192.168.31</v>
      </c>
      <c r="AC26" s="200" t="s">
        <v>254</v>
      </c>
      <c r="AD26" s="201" t="s">
        <v>1044</v>
      </c>
      <c r="AE26" s="201" t="s">
        <v>1346</v>
      </c>
    </row>
    <row r="27" spans="2:31" s="2" customFormat="1" ht="20" customHeight="1" x14ac:dyDescent="0.2">
      <c r="B27" s="4" t="s">
        <v>197</v>
      </c>
      <c r="C27" s="8" t="str">
        <f>IF(ISBLANK(input_mgmt_avilb_mgrb_ip),"Value Missing",input_mgmt_avilb_mgrb_ip)</f>
        <v>Value Missing</v>
      </c>
      <c r="E27" s="23" t="s">
        <v>3886</v>
      </c>
      <c r="F27" s="8" t="str">
        <f>IF(ISBLANK(input_wld_vnaa_ip),"Value Missing",input_wld_vnaa_ip)</f>
        <v>Value Missing</v>
      </c>
      <c r="H27" s="4" t="s">
        <v>85</v>
      </c>
      <c r="I27" s="8" t="str">
        <f>IF(ISBLANK(input_cluster_az1_principal_storage_vlan),"Value Missing",input_cluster_az1_principal_storage_vlan)</f>
        <v>Value Missing</v>
      </c>
      <c r="K27" s="23" t="s">
        <v>1470</v>
      </c>
      <c r="L27" s="8" t="str">
        <f>IF(ISBLANK(input_sddc_mgr_root_password),"Value Missing",input_sddc_mgr_root_password)</f>
        <v>Value Missing</v>
      </c>
      <c r="N27" s="4" t="s">
        <v>1471</v>
      </c>
      <c r="O27" s="8" t="str">
        <f>IF(ISBLANK('Configure Management Domain'!D593),"Value Missing",'Configure Management Domain'!D593)</f>
        <v>Value Missing</v>
      </c>
      <c r="Q27" s="28" t="s">
        <v>1493</v>
      </c>
      <c r="R27" s="8"/>
      <c r="T27" s="4" t="s">
        <v>1479</v>
      </c>
      <c r="U27" s="8" t="s">
        <v>539</v>
      </c>
      <c r="W27" s="200" t="s">
        <v>254</v>
      </c>
      <c r="X27" s="201" t="s">
        <v>20</v>
      </c>
      <c r="Z27" s="4" t="s">
        <v>1633</v>
      </c>
      <c r="AA27" s="8" t="str">
        <f>IF(this_instance="sfo","192.168.11","192.168.12")</f>
        <v>192.168.11</v>
      </c>
      <c r="AC27" s="4" t="s">
        <v>1391</v>
      </c>
      <c r="AD27" s="8" t="str">
        <f>'Value Reference Tables - MR'!I9</f>
        <v>Value Missing</v>
      </c>
      <c r="AE27" s="8" t="str">
        <f>'Value Reference Tables - MR'!I295</f>
        <v>Value Missing</v>
      </c>
    </row>
    <row r="28" spans="2:31" s="2" customFormat="1" ht="20" customHeight="1" x14ac:dyDescent="0.2">
      <c r="B28" s="4" t="s">
        <v>199</v>
      </c>
      <c r="C28" s="8" t="str">
        <f>IF(ISBLANK(input_mgmt_avilb_mgrc_ip),"Value Missing",input_mgmt_avilb_mgrc_ip)</f>
        <v>Value Missing</v>
      </c>
      <c r="E28" s="23" t="s">
        <v>3887</v>
      </c>
      <c r="F28" s="8" t="str">
        <f>IF(ISBLANK(input_wld_vnab_ip),"Value Missing",input_wld_vnab_ip)</f>
        <v>Value Missing</v>
      </c>
      <c r="H28" s="4" t="s">
        <v>157</v>
      </c>
      <c r="I28" s="8" t="str">
        <f>IF(ISBLANK(input_cluster_az1_principal_storage_mtu),"Value Missing",input_cluster_az1_principal_storage_mtu)</f>
        <v>Value Missing</v>
      </c>
      <c r="K28" s="23" t="s">
        <v>1476</v>
      </c>
      <c r="L28" s="8" t="str">
        <f>IF(ISBLANK(input_sddc_mgr_vcf_password),"Value Missing",input_sddc_mgr_vcf_password)</f>
        <v>Value Missing</v>
      </c>
      <c r="N28" s="4" t="s">
        <v>1477</v>
      </c>
      <c r="O28" s="8"/>
      <c r="Q28" s="6"/>
      <c r="R28" s="6"/>
      <c r="T28" s="4" t="s">
        <v>1484</v>
      </c>
      <c r="U28" s="8" t="s">
        <v>1485</v>
      </c>
      <c r="W28" s="4" t="s">
        <v>273</v>
      </c>
      <c r="X28" s="8" t="str">
        <f>IF(ISBLANK(input_mgmt_witnessaz_mgmt_mtu),"Value Missing",input_mgmt_witnessaz_mgmt_mtu)</f>
        <v>Value Missing</v>
      </c>
      <c r="Z28" s="4" t="s">
        <v>1639</v>
      </c>
      <c r="AA28" s="8" t="str">
        <f>IF(this_instance="sfo","21","11")</f>
        <v>21</v>
      </c>
    </row>
    <row r="29" spans="2:31" s="2" customFormat="1" ht="20" customHeight="1" x14ac:dyDescent="0.2">
      <c r="B29" s="4" t="s">
        <v>1481</v>
      </c>
      <c r="C29" s="8" t="str">
        <f>IF(ISBLANK(input_flt_vidb_vip_ip),"Value Missing",input_flt_vidb_vip_ip)</f>
        <v>Value Missing</v>
      </c>
      <c r="H29" s="4" t="s">
        <v>245</v>
      </c>
      <c r="I29" s="8" t="str">
        <f>IF(cluster_az1_principal_storage_gateway_cidr="Value Missing","Value Missing",CONCATENATE(_xlfn.TEXTBEFORE(cluster_az1_principal_storage_gateway_cidr,".",3),".0"))</f>
        <v>Value Missing</v>
      </c>
      <c r="K29" s="23" t="s">
        <v>1482</v>
      </c>
      <c r="L29" s="8" t="str">
        <f>IF(ISBLANK(input_sddc_mgr_admin_local_password),"Value Missing",input_sddc_mgr_admin_local_password)</f>
        <v>Value Missing</v>
      </c>
      <c r="N29" s="4" t="s">
        <v>1483</v>
      </c>
      <c r="O29" s="8"/>
      <c r="Q29" s="519" t="s">
        <v>1499</v>
      </c>
      <c r="R29" s="632"/>
      <c r="T29" s="4" t="s">
        <v>1490</v>
      </c>
      <c r="U29" s="8">
        <v>5</v>
      </c>
      <c r="V29" s="3"/>
      <c r="Z29" s="4" t="s">
        <v>1642</v>
      </c>
      <c r="AA29" s="8" t="str">
        <f>IF(this_instance="sfo","10.21.","10.11.")</f>
        <v>10.21.</v>
      </c>
      <c r="AC29" s="221" t="s">
        <v>1495</v>
      </c>
      <c r="AD29" s="222"/>
      <c r="AE29" s="222"/>
    </row>
    <row r="30" spans="2:31" s="2" customFormat="1" ht="20" customHeight="1" x14ac:dyDescent="0.2">
      <c r="B30" s="4" t="s">
        <v>3763</v>
      </c>
      <c r="C30" s="8" t="str">
        <f>IF(ISBLANK(input_flt_auto_node_pool_start_ip),"Value Missing",input_flt_auto_node_pool_start_ip)</f>
        <v>Value Missing</v>
      </c>
      <c r="E30" s="633" t="s">
        <v>1475</v>
      </c>
      <c r="F30" s="634"/>
      <c r="H30" s="4" t="s">
        <v>278</v>
      </c>
      <c r="I30" s="8" t="str">
        <f>IF(cluster_az1_principal_storage_gateway_cidr="Value Missing",cluster_az1_principal_storage_gateway_cidr,VLOOKUP(INT(RIGHT(cluster_az1_principal_storage_gateway_cidr,LEN(cluster_az1_principal_storage_gateway_cidr)-FIND("/",cluster_az1_principal_storage_gateway_cidr))),table_cidr_to_mask,2,FALSE))</f>
        <v>Value Missing</v>
      </c>
      <c r="K30" s="23" t="s">
        <v>1487</v>
      </c>
      <c r="L30" s="8" t="str">
        <f>IF(ISBLANK(input_svc_my_vmware_password),"Value Missing",input_svc_my_vmware_password)</f>
        <v>Value Missing</v>
      </c>
      <c r="N30" s="4" t="s">
        <v>1488</v>
      </c>
      <c r="O30" s="8" t="str">
        <f>IF(ISBLANK(input_mgmt_avilb_cluster_name),"Value Missing",input_mgmt_avilb_cluster_name)</f>
        <v>Value Missing</v>
      </c>
      <c r="Q30" s="28" t="s">
        <v>1505</v>
      </c>
      <c r="R30" s="8"/>
      <c r="T30" s="28" t="s">
        <v>1494</v>
      </c>
      <c r="U30" s="8"/>
      <c r="V30" s="3"/>
      <c r="W30" s="221" t="s">
        <v>1557</v>
      </c>
      <c r="X30" s="222"/>
      <c r="Z30" s="4" t="s">
        <v>1646</v>
      </c>
      <c r="AA30" s="8" t="str">
        <f>IF(mgmt_domain_chosen="First Domain","6500","6502")</f>
        <v>6502</v>
      </c>
      <c r="AC30" s="200" t="s">
        <v>254</v>
      </c>
      <c r="AD30" s="201" t="s">
        <v>1044</v>
      </c>
      <c r="AE30" s="201" t="s">
        <v>1346</v>
      </c>
    </row>
    <row r="31" spans="2:31" s="2" customFormat="1" ht="20" customHeight="1" x14ac:dyDescent="0.2">
      <c r="B31" s="4" t="s">
        <v>3762</v>
      </c>
      <c r="C31" s="8" t="str">
        <f>IF(ISBLANK(input_flt_auto_node_pool_end_ip),"Value Missing",input_flt_auto_node_pool_end_ip)</f>
        <v>Value Missing</v>
      </c>
      <c r="E31" s="223" t="s">
        <v>254</v>
      </c>
      <c r="F31" s="224" t="s">
        <v>20</v>
      </c>
      <c r="H31" s="4" t="s">
        <v>451</v>
      </c>
      <c r="I31" s="8" t="str">
        <f>IF(OR(cluster_az1_principal_storage_network="Value Missing",cluster_az1_principal_storage_mask="Value Missing"),"Value Missing",(CONCATENATE(cluster_az1_principal_storage_network,"/",VLOOKUP(cluster_az1_principal_storage_mask,table_mask_to_cidr,2,FALSE))))</f>
        <v>Value Missing</v>
      </c>
      <c r="K31" s="23" t="s">
        <v>1387</v>
      </c>
      <c r="L31" s="8" t="str">
        <f>IF(ISBLANK(input_ca_administrator_password),"Value Missing",input_ca_administrator_password)</f>
        <v>Value Missing</v>
      </c>
      <c r="N31" s="4" t="s">
        <v>1492</v>
      </c>
      <c r="O31" s="8" t="str">
        <f>IF(ISBLANK(input_mgmt_avilb_cluster_version),"Value Missing",input_mgmt_avilb_cluster_version)</f>
        <v>Value Missing</v>
      </c>
      <c r="Q31" s="6"/>
      <c r="R31" s="6"/>
      <c r="T31" s="28" t="s">
        <v>1497</v>
      </c>
      <c r="U31" s="8"/>
      <c r="V31" s="3"/>
      <c r="W31" s="200" t="s">
        <v>254</v>
      </c>
      <c r="X31" s="201" t="s">
        <v>20</v>
      </c>
      <c r="Z31" s="4" t="s">
        <v>1650</v>
      </c>
      <c r="AA31" s="8">
        <f>IF(AND(this_instance="sfo",wld_domain_number_chosen=1),13,IF(AND(this_instance="sfo",wld_domain_number_chosen=2),15,IF(AND(this_instance="sfo",wld_domain_number_chosen=3),17,IF(AND(this_instance="lax",wld_domain_number_chosen=1),23,IF(AND(this_instance="lax",wld_domain_number_chosen=2),25,IF(AND(this_instance="lax",wld_domain_number_chosen=3),27))))))</f>
        <v>13</v>
      </c>
      <c r="AC31" s="4" t="s">
        <v>1391</v>
      </c>
      <c r="AD31" s="8" t="s">
        <v>1501</v>
      </c>
      <c r="AE31" s="8" t="str">
        <f>wld_cl01_az1_vm_pg</f>
        <v>VM Network</v>
      </c>
    </row>
    <row r="32" spans="2:31" s="2" customFormat="1" ht="20" customHeight="1" x14ac:dyDescent="0.2">
      <c r="B32" s="4" t="s">
        <v>3764</v>
      </c>
      <c r="C32" s="8" t="str">
        <f>IF(ISBLANK(input_flt_vcfms_node_pool_start_ip),"Value Missing",input_flt_vcfms_node_pool_start_ip)</f>
        <v>Value Missing</v>
      </c>
      <c r="E32" s="4" t="s">
        <v>1415</v>
      </c>
      <c r="F32" s="8" t="str">
        <f>IF(wld_vc_fqdn="Value Missing",wld_vc_fqdn,LEFT(wld_vc_fqdn,FIND(".",wld_vc_fqdn)-1))</f>
        <v>Value Missing</v>
      </c>
      <c r="H32" s="4" t="s">
        <v>182</v>
      </c>
      <c r="I32" s="8" t="str">
        <f>IF(cluster_az1_principal_storage_gateway_cidr="Value Missing","Value Missing",LEFT(cluster_az1_principal_storage_gateway_cidr,FIND("/",cluster_az1_principal_storage_gateway_cidr)-1))</f>
        <v>Value Missing</v>
      </c>
      <c r="K32" s="23" t="s">
        <v>1496</v>
      </c>
      <c r="L32" s="8" t="str">
        <f>IF(ISBLANK(input_avilb_root_password),"Value Missing",input_avilb_root_password)</f>
        <v>Value Missing</v>
      </c>
      <c r="N32" s="4" t="s">
        <v>172</v>
      </c>
      <c r="O32" s="8"/>
      <c r="Q32" s="630" t="s">
        <v>1514</v>
      </c>
      <c r="R32" s="631"/>
      <c r="T32" s="28" t="s">
        <v>1500</v>
      </c>
      <c r="U32" s="8" t="str">
        <f>IF(mgmt_consolidated_result="Included",CONCATENATE(mgmt_cl01_cluster,".",child_dns_zone),CONCATENATE(wld_cl01_cluster,".",child_dns_zone))</f>
        <v>Value Missing.Value Missing</v>
      </c>
      <c r="V32" s="3"/>
      <c r="W32" s="4" t="s">
        <v>273</v>
      </c>
      <c r="X32" s="8" t="str">
        <f>IF(ISBLANK(input_wld_witnessaz_mgmt_vlan),"Value Missing",input_wld_witnessaz_mgmt_vlan)</f>
        <v>Value Missing</v>
      </c>
      <c r="Z32" s="4" t="s">
        <v>1655</v>
      </c>
      <c r="AA32" s="8" t="str">
        <f>IF(AND(this_instance="sfo",wld_domain_number_chosen=1),"10.13.",IF(AND(this_instance="sfo",wld_domain_number_chosen=2),"10.15.",IF(AND(this_instance="sfo",wld_domain_number_chosen=3),"10.17.",IF(AND(this_instance="lax",wld_domain_number_chosen=1),"10.23.",IF(AND(this_instance="lax",wld_domain_number_chosen=2),"10.25.",IF(AND(this_instance="lax",wld_domain_number_chosen=3),"10.27."))))))</f>
        <v>10.13.</v>
      </c>
    </row>
    <row r="33" spans="2:31" s="2" customFormat="1" ht="20" customHeight="1" x14ac:dyDescent="0.2">
      <c r="B33" s="4" t="s">
        <v>3765</v>
      </c>
      <c r="C33" s="8" t="str">
        <f>IF(ISBLANK(input_flt_vcfms_node_pool_end_ip),"Value Missing",input_flt_vcfms_node_pool_end_ip)</f>
        <v>Value Missing</v>
      </c>
      <c r="E33" s="4" t="s">
        <v>1421</v>
      </c>
      <c r="F33" s="8" t="str">
        <f>IF(wld_nsxt_vip_fqdn="Value Missing",wld_nsxt_vip_fqdn,LEFT(wld_nsxt_vip_fqdn,FIND(".",wld_nsxt_vip_fqdn)-1))</f>
        <v>Value Missing</v>
      </c>
      <c r="H33" s="4" t="s">
        <v>3686</v>
      </c>
      <c r="I33" s="8" t="str">
        <f>IF(ISBLANK(input_cluster_az1_principal_storage_gateway_cidr),"Value Missing",input_cluster_az1_principal_storage_gateway_cidr)</f>
        <v>Value Missing</v>
      </c>
      <c r="K33" s="23" t="s">
        <v>1498</v>
      </c>
      <c r="L33" s="8" t="str">
        <f>IF(ISBLANK(input_svc_vcf_bck_password),"Value Missing",input_svc_vcf_bck_password)</f>
        <v>Value Missing</v>
      </c>
      <c r="N33" s="4" t="s">
        <v>174</v>
      </c>
      <c r="O33" s="8"/>
      <c r="Q33" s="224" t="s">
        <v>254</v>
      </c>
      <c r="R33" s="224" t="s">
        <v>20</v>
      </c>
      <c r="T33" s="28" t="s">
        <v>1506</v>
      </c>
      <c r="U33" s="8" t="str">
        <f>IF(ISBLANK(input_k8s_kubectl_path),"Value Missing",input_k8s_kubectl_path)</f>
        <v>Value Missing</v>
      </c>
      <c r="V33" s="3"/>
      <c r="Z33" s="4" t="s">
        <v>1660</v>
      </c>
      <c r="AA33" s="8" t="str">
        <f>IF(AND(this_instance="sfo",wld_domain_number_chosen=1),"10.23.",IF(AND(this_instance="sfo",wld_domain_number_chosen=2),"10.25.",IF(AND(this_instance="sfo",wld_domain_number_chosen=3),"10.27.",IF(AND(this_instance="lax",wld_domain_number_chosen=1),"10.13.",IF(AND(this_instance="lax",wld_domain_number_chosen=2),"10.15.",IF(AND(this_instance="lax",wld_domain_number_chosen=3),"10.17."))))))</f>
        <v>10.23.</v>
      </c>
      <c r="AC33" s="221" t="s">
        <v>1512</v>
      </c>
      <c r="AD33" s="222"/>
      <c r="AE33" s="222"/>
    </row>
    <row r="34" spans="2:31" s="2" customFormat="1" ht="20" customHeight="1" x14ac:dyDescent="0.2">
      <c r="E34" s="4" t="s">
        <v>1425</v>
      </c>
      <c r="F34" s="8" t="str">
        <f>IF(wld_nsxt_mgra_fqdn="Value Missing",wld_nsxt_mgra_fqdn,LEFT(wld_nsxt_mgra_fqdn,FIND(".",wld_nsxt_mgra_fqdn)-1))</f>
        <v>Value Missing</v>
      </c>
      <c r="H34" s="23" t="s">
        <v>248</v>
      </c>
      <c r="I34" s="8" t="str">
        <f>IF(ISBLANK(input_cluster_az1_principal_storage_pool_start_ip),"Value Missing",input_cluster_az1_principal_storage_pool_start_ip)</f>
        <v>Value Missing</v>
      </c>
      <c r="K34" s="23" t="s">
        <v>1503</v>
      </c>
      <c r="L34" s="8" t="str">
        <f t="array" ref="L34">IF(ISBLANK(input_mgmt_witness_root_password),"Value Missing",input_mgmt_witness_root_password)</f>
        <v>Value Missing</v>
      </c>
      <c r="N34" s="4" t="s">
        <v>1504</v>
      </c>
      <c r="O34" s="8" t="str">
        <f>IF(ISBLANK(input_mgmt_sddc_domain),"Value Missing",CONCATENATE(input_mgmt_sddc_domain,"-fd-mgmt"))</f>
        <v>Value Missing</v>
      </c>
      <c r="Q34" s="23" t="s">
        <v>1518</v>
      </c>
      <c r="R34" s="8" t="str">
        <f>IF(ISBLANK('Deploy Management Domain'!L381),"Value Missing",'Deploy Management Domain'!L381)</f>
        <v>Value Missing</v>
      </c>
      <c r="T34" s="28" t="s">
        <v>1519</v>
      </c>
      <c r="U34" s="8" t="str">
        <f>IF(ISBLANK(input_k8s_vm_class),"Value Missing",input_k8s_vm_class)</f>
        <v>Value Missing</v>
      </c>
      <c r="V34" s="3"/>
      <c r="W34" s="220" t="s">
        <v>1575</v>
      </c>
      <c r="X34" s="220"/>
      <c r="Z34" s="4" t="s">
        <v>1663</v>
      </c>
      <c r="AA34" s="8">
        <f>IF(AND(this_instance="sfo",wld_domain_number_chosen=1),14,IF(AND(this_instance="sfo",wld_domain_number_chosen=2),16,IF(AND(this_instance="sfo",wld_domain_number_chosen=3),18,IF(AND(this_instance="lax",wld_domain_number_chosen=1),24,IF(AND(this_instance="lax",wld_domain_number_chosen=2),26,IF(AND(this_instance="lax",wld_domain_number_chosen=3),28))))))</f>
        <v>14</v>
      </c>
      <c r="AC34" s="200" t="s">
        <v>254</v>
      </c>
      <c r="AD34" s="201" t="s">
        <v>1044</v>
      </c>
      <c r="AE34" s="201" t="s">
        <v>1346</v>
      </c>
    </row>
    <row r="35" spans="2:31" s="2" customFormat="1" ht="20" customHeight="1" x14ac:dyDescent="0.2">
      <c r="B35" s="638" t="s">
        <v>1509</v>
      </c>
      <c r="C35" s="638"/>
      <c r="E35" s="4" t="s">
        <v>1430</v>
      </c>
      <c r="F35" s="8" t="str">
        <f>IF(wld_nsxt_mgrb_fqdn="Value Missing",wld_nsxt_mgrb_fqdn,LEFT(wld_nsxt_mgrb_fqdn,FIND(".",wld_nsxt_mgrb_fqdn)-1))</f>
        <v>Value Missing</v>
      </c>
      <c r="H35" s="23" t="s">
        <v>249</v>
      </c>
      <c r="I35" s="8" t="str">
        <f>IF(ISBLANK(input_cluster_az1_principal_storage_pool_end_ip),"Value Missing",input_cluster_az1_principal_storage_pool_end_ip)</f>
        <v>Value Missing</v>
      </c>
      <c r="K35" s="23" t="s">
        <v>1510</v>
      </c>
      <c r="L35" s="8" t="str">
        <f>IF(ISBLANK(input_wld_witness_root_password),"Value Missing",input_wld_witness_root_password)</f>
        <v>Value Missing</v>
      </c>
      <c r="N35" s="4" t="s">
        <v>1511</v>
      </c>
      <c r="O35" s="8" t="str">
        <f>IF(ISBLANK(input_mgmt_sddc_domain),"Value Missing",CONCATENATE(input_mgmt_sddc_domain,"-fd-nsx"))</f>
        <v>Value Missing</v>
      </c>
      <c r="Q35" s="23" t="s">
        <v>1523</v>
      </c>
      <c r="R35" s="8" t="str">
        <f>IF(flt_auto_node_pool_start_ip="Value Missing","Value Missing",flt_auto_node_pool_start_ip)</f>
        <v>Value Missing</v>
      </c>
      <c r="T35" s="28" t="s">
        <v>565</v>
      </c>
      <c r="U35" s="8" t="str">
        <f>CONCATENATE(IF(ISBLANK(input_region_dns1_ip),"Value Missing",region_dns1_ip),",",IF(ISBLANK(input_region_dns2_ip),"Value Missing",region_dns2_ip))</f>
        <v>Value Missing,Value Missing</v>
      </c>
      <c r="V35" s="3"/>
      <c r="W35" s="200" t="s">
        <v>254</v>
      </c>
      <c r="X35" s="201" t="s">
        <v>20</v>
      </c>
      <c r="Z35" s="4" t="s">
        <v>1668</v>
      </c>
      <c r="AA35" s="8" t="str">
        <f>IF(AND(this_instance="sfo",wld_domain_number_chosen=1),"10.14.",IF(AND(this_instance="sfo",wld_domain_number_chosen=2),"10.16.",IF(AND(this_instance="sfo",wld_domain_number_chosen=3),"10.18.",IF(AND(this_instance="lax",wld_domain_number_chosen=1),"10.24.",IF(AND(this_instance="lax",wld_domain_number_chosen=2),"10.26.",IF(AND(this_instance="lax",wld_domain_number_chosen=3),"10.28."))))))</f>
        <v>10.14.</v>
      </c>
      <c r="AC35" s="4" t="s">
        <v>1391</v>
      </c>
      <c r="AD35" s="8" t="str">
        <f>'Value Reference Tables - MR'!I24</f>
        <v>Value Missing</v>
      </c>
      <c r="AE35" s="8" t="str">
        <f>'Value Reference Tables - MR'!I310</f>
        <v>Value Missing</v>
      </c>
    </row>
    <row r="36" spans="2:31" s="2" customFormat="1" ht="20" customHeight="1" x14ac:dyDescent="0.2">
      <c r="B36" s="223" t="s">
        <v>254</v>
      </c>
      <c r="C36" s="223" t="s">
        <v>20</v>
      </c>
      <c r="E36" s="4" t="s">
        <v>1434</v>
      </c>
      <c r="F36" s="8" t="str">
        <f>IF(wld_nsxt_mgrc_fqdn="Value Missing",wld_nsxt_mgrc_fqdn,LEFT(wld_nsxt_mgrc_fqdn,FIND(".",wld_nsxt_mgrc_fqdn)-1))</f>
        <v>Value Missing</v>
      </c>
      <c r="H36" s="579" t="s">
        <v>1502</v>
      </c>
      <c r="I36" s="581"/>
      <c r="K36" s="4" t="s">
        <v>1396</v>
      </c>
      <c r="L36" s="8"/>
      <c r="N36" s="4" t="s">
        <v>1513</v>
      </c>
      <c r="O36" s="8" t="str">
        <f>IF(ISBLANK(input_mgmt_sddc_domain),"Value Missing",CONCATENATE(input_mgmt_sddc_domain,"-fd-edge"))</f>
        <v>Value Missing</v>
      </c>
      <c r="Q36" s="23" t="s">
        <v>1526</v>
      </c>
      <c r="R36" s="8" t="str">
        <f>IF(flt_auto_node_pool_start_ip="Value Missing","Value Missing",LEFT(xreg_vra_nodea_ip,FIND("~",SUBSTITUTE(xreg_vra_nodea_ip,".","~",3)))&amp;(RIGHT(xreg_vra_nodea_ip,LEN(xreg_vra_nodea_ip)-FIND("~",SUBSTITUTE(xreg_vra_nodea_ip,".","~",3)))+1))</f>
        <v>Value Missing</v>
      </c>
      <c r="T36" s="28" t="s">
        <v>292</v>
      </c>
      <c r="U36" s="8" t="str">
        <f>IF(AND((NOT(ISBLANK(region_ntp2_server))),(region_ntp2_server &lt;&gt; "n/a"),(region_ntp2_server &lt;&gt; "")),CONCATENATE(region_ntp1_server,",",region_ntp2_server),region_ntp1_server)</f>
        <v>Value Missing,Value Missing</v>
      </c>
      <c r="V36" s="3"/>
      <c r="W36" s="4" t="s">
        <v>273</v>
      </c>
      <c r="X36" s="8" t="str">
        <f>IF(ISBLANK('Configure Workload Domain'!D342),"Value Missing",'Configure Workload Domain'!D342)</f>
        <v>Value Missing</v>
      </c>
      <c r="Z36" s="4" t="s">
        <v>1681</v>
      </c>
      <c r="AA36" s="8" t="str">
        <f>IF(this_instance="sfo","21","11")</f>
        <v>21</v>
      </c>
    </row>
    <row r="37" spans="2:31" s="2" customFormat="1" ht="20" customHeight="1" x14ac:dyDescent="0.2">
      <c r="B37" s="4" t="s">
        <v>1414</v>
      </c>
      <c r="C37" s="8" t="str">
        <f>IF(vcf_installer_fqdn="Value Missing",vcf_installer_fqdn,LEFT(vcf_installer_fqdn,FIND(".",vcf_installer_fqdn)-1))</f>
        <v>Value Missing</v>
      </c>
      <c r="E37" s="4" t="s">
        <v>1439</v>
      </c>
      <c r="F37" s="8" t="str">
        <f>IF(wld_nsxt_gm_vip_fqdn="Value Missing",wld_nsxt_gm_vip_fqdn,LEFT(wld_nsxt_gm_vip_fqdn,FIND(".",wld_nsxt_gm_vip_fqdn)-1))</f>
        <v>Value Missing</v>
      </c>
      <c r="H37" s="4" t="s">
        <v>85</v>
      </c>
      <c r="I37" s="8" t="str">
        <f>IF(ISBLANK(input_cluster_az1_secondary_storage_vlan),"Value Missing",input_cluster_az1_secondary_storage_vlan)</f>
        <v>Value Missing</v>
      </c>
      <c r="K37" s="4" t="s">
        <v>1515</v>
      </c>
      <c r="L37" s="8" t="str">
        <f>IF(ISBLANK(input_mgmt_internet_proxy_email),"Value Missing",input_mgmt_internet_proxy_email)</f>
        <v>Value Missing</v>
      </c>
      <c r="N37" s="4" t="s">
        <v>48</v>
      </c>
      <c r="O37" s="8" t="str">
        <f>IF(ISBLANK('Configure Management Domain'!D46),"Value Missing",'Configure Management Domain'!D46)</f>
        <v>Value Missing</v>
      </c>
      <c r="Q37" s="23" t="s">
        <v>1529</v>
      </c>
      <c r="R37" s="8" t="str">
        <f>IF(flt_auto_node_pool_start_ip="Value Missing","Value Missing",LEFT(xreg_vra_nodea_ip,FIND("~",SUBSTITUTE(xreg_vra_nodea_ip,".","~",3)))&amp;(RIGHT(xreg_vra_nodea_ip,LEN(xreg_vra_nodea_ip)-FIND("~",SUBSTITUTE(xreg_vra_nodea_ip,".","~",3)))+2))</f>
        <v>Value Missing</v>
      </c>
      <c r="V37" s="3"/>
      <c r="Z37" s="4" t="s">
        <v>1685</v>
      </c>
      <c r="AA37" s="8" t="str">
        <f>IF(this_instance="sfo","10.21.","10.11.")</f>
        <v>10.21.</v>
      </c>
      <c r="AC37" s="221" t="s">
        <v>1527</v>
      </c>
      <c r="AD37" s="222"/>
      <c r="AE37" s="222"/>
    </row>
    <row r="38" spans="2:31" s="2" customFormat="1" ht="20" customHeight="1" x14ac:dyDescent="0.2">
      <c r="B38" s="4" t="s">
        <v>1420</v>
      </c>
      <c r="C38" s="8" t="str">
        <f>IF(sddc_mgr_fqdn="Value Missing",sddc_mgr_fqdn,LEFT(sddc_mgr_fqdn,FIND(".",sddc_mgr_fqdn)-1))</f>
        <v>Value Missing</v>
      </c>
      <c r="E38" s="4" t="s">
        <v>1444</v>
      </c>
      <c r="F38" s="8" t="str">
        <f>IF(wld_nsxt_global_mgra_fqdn="Value Missing",wld_nsxt_global_mgra_fqdn,LEFT(wld_nsxt_global_mgra_fqdn,FIND(".",wld_nsxt_global_mgra_fqdn)-1))</f>
        <v>Value Missing</v>
      </c>
      <c r="H38" s="4" t="s">
        <v>157</v>
      </c>
      <c r="I38" s="8" t="str">
        <f>IF(ISBLANK(input_cluster_az1_secondary_storage_mtu),"Value Missing",input_cluster_az1_secondary_storage_mtu)</f>
        <v>Value Missing</v>
      </c>
      <c r="K38" s="4" t="s">
        <v>1517</v>
      </c>
      <c r="L38" s="8" t="str">
        <f>IF(ISBLANK(input_mgmt_internet_proxy_password),"Value Missing",input_mgmt_internet_proxy_password)</f>
        <v>Value Missing</v>
      </c>
      <c r="N38" s="4" t="s">
        <v>63</v>
      </c>
      <c r="O38" s="8" t="str">
        <f>IF(ISBLANK('Configure Management Domain'!D62),"Value Missing",'Configure Management Domain'!D62)</f>
        <v>Value Missing</v>
      </c>
      <c r="Q38" s="23" t="s">
        <v>1531</v>
      </c>
      <c r="R38" s="8" t="str">
        <f>IF(flt_auto_node_pool_start_ip="Value Missing","Value Missing",LEFT(xreg_vra_nodea_ip,FIND("~",SUBSTITUTE(xreg_vra_nodea_ip,".","~",3)))&amp;(RIGHT(xreg_vra_nodea_ip,LEN(xreg_vra_nodea_ip)-FIND("~",SUBSTITUTE(xreg_vra_nodea_ip,".","~",3)))+3))</f>
        <v>Value Missing</v>
      </c>
      <c r="T38" s="519" t="s">
        <v>1532</v>
      </c>
      <c r="U38" s="520"/>
      <c r="V38" s="3"/>
      <c r="W38" s="220" t="s">
        <v>1590</v>
      </c>
      <c r="X38" s="220"/>
      <c r="Z38" s="4" t="s">
        <v>1689</v>
      </c>
      <c r="AA38" s="8" t="str">
        <f>IF(mgmt_domain_chosen="First Domain","6501","6503")</f>
        <v>6503</v>
      </c>
      <c r="AC38" s="200" t="s">
        <v>254</v>
      </c>
      <c r="AD38" s="201" t="s">
        <v>1044</v>
      </c>
      <c r="AE38" s="201" t="s">
        <v>1346</v>
      </c>
    </row>
    <row r="39" spans="2:31" s="2" customFormat="1" ht="20" customHeight="1" x14ac:dyDescent="0.2">
      <c r="B39" s="4" t="s">
        <v>1415</v>
      </c>
      <c r="C39" s="8" t="str">
        <f>IF(mgmt_vc_fqdn="Value Missing",mgmt_vc_fqdn,LEFT(mgmt_vc_fqdn,FIND(".",mgmt_vc_fqdn)-1))</f>
        <v>Value Missing</v>
      </c>
      <c r="E39" s="4" t="s">
        <v>1448</v>
      </c>
      <c r="F39" s="8" t="str">
        <f>IF(wld_nsxt_global_mgrb_fqdn="Value Missing",wld_nsxt_global_mgrb_fqdn,LEFT(wld_nsxt_global_mgrb_fqdn,FIND(".",wld_nsxt_global_mgrb_fqdn)-1))</f>
        <v>Value Missing</v>
      </c>
      <c r="H39" s="4" t="s">
        <v>245</v>
      </c>
      <c r="I39" s="8" t="str">
        <f>IF(cluster_az1_secondary_storage_gateway_cidr="Value Missing","Value Missing",CONCATENATE(_xlfn.TEXTBEFORE(cluster_az1_secondary_storage_gateway_cidr,".",3),".0"))</f>
        <v>Value Missing</v>
      </c>
      <c r="K39" s="4" t="s">
        <v>1522</v>
      </c>
      <c r="L39" s="8" t="str">
        <f>IF(ISBLANK(input_xreg_vrops_collector_root_password),"Value Missing",input_xreg_vrops_collector_root_password)</f>
        <v>Value Missing</v>
      </c>
      <c r="N39" s="4" t="s">
        <v>57</v>
      </c>
      <c r="O39" s="8" t="str">
        <f>IF(ISBLANK('Configure Management Domain'!D59),"Value Missing",'Configure Management Domain'!D59)</f>
        <v>Value Missing</v>
      </c>
      <c r="Q39" s="23" t="s">
        <v>3693</v>
      </c>
      <c r="R39" s="8" t="str">
        <f>IF(flt_auto_node_pool_start_ip="Value Missing","Value Missing",LEFT(xreg_vra_nodea_ip,FIND("~",SUBSTITUTE(xreg_vra_nodea_ip,".","~",3)))&amp;(RIGHT(xreg_vra_nodea_ip,LEN(xreg_vra_nodea_ip)-FIND("~",SUBSTITUTE(xreg_vra_nodea_ip,".","~",3)))+4))</f>
        <v>Value Missing</v>
      </c>
      <c r="T39" s="200" t="s">
        <v>254</v>
      </c>
      <c r="U39" s="201" t="s">
        <v>20</v>
      </c>
      <c r="W39" s="200" t="s">
        <v>254</v>
      </c>
      <c r="X39" s="201" t="s">
        <v>20</v>
      </c>
      <c r="Z39" s="4" t="s">
        <v>1693</v>
      </c>
      <c r="AA39" s="8" t="str">
        <f>IF(this_instance="sfo","192.168.2","192.168.4")</f>
        <v>192.168.2</v>
      </c>
      <c r="AC39" s="4" t="s">
        <v>1391</v>
      </c>
      <c r="AD39" s="8" t="str">
        <f>'Value Reference Tables - MR'!I86</f>
        <v>Value Missing</v>
      </c>
      <c r="AE39" s="8" t="str">
        <f>'Value Reference Tables - MR'!I355</f>
        <v>Value Missing</v>
      </c>
    </row>
    <row r="40" spans="2:31" s="2" customFormat="1" ht="20" customHeight="1" x14ac:dyDescent="0.2">
      <c r="B40" s="4" t="s">
        <v>1421</v>
      </c>
      <c r="C40" s="8" t="str">
        <f>IF(mgmt_nsxt_vip_fqdn="Value Missing",mgmt_nsxt_vip_fqdn,LEFT(mgmt_nsxt_vip_fqdn,FIND(".",mgmt_nsxt_vip_fqdn)-1))</f>
        <v>Value Missing</v>
      </c>
      <c r="E40" s="4" t="s">
        <v>1451</v>
      </c>
      <c r="F40" s="8" t="str">
        <f>IF(wld_nsxt_global_mgrc_fqdn="Value Missing",wld_nsxt_global_mgrc_fqdn,LEFT(wld_nsxt_global_mgrc_fqdn,FIND(".",wld_nsxt_global_mgrc_fqdn)-1))</f>
        <v>Value Missing</v>
      </c>
      <c r="H40" s="4" t="s">
        <v>278</v>
      </c>
      <c r="I40" s="8" t="str">
        <f>IF(cluster_az1_secondary_storage_gateway_cidr="Value Missing",cluster_az1_secondary_storage_gateway_cidr,VLOOKUP(INT(RIGHT(cluster_az1_secondary_storage_gateway_cidr,LEN(cluster_az1_secondary_storage_gateway_cidr)-FIND("/",cluster_az1_secondary_storage_gateway_cidr))),table_cidr_to_mask,2,FALSE))</f>
        <v>Value Missing</v>
      </c>
      <c r="K40" s="4" t="s">
        <v>1525</v>
      </c>
      <c r="L40" s="8" t="str">
        <f>IF(ISBLANK(input_wld_esx_root_username),"Value Missing",input_wld_esx_root_username)</f>
        <v>Value Missing</v>
      </c>
      <c r="N40" s="4" t="s">
        <v>71</v>
      </c>
      <c r="O40" s="8" t="str">
        <f>IF(ISBLANK('Configure Management Domain'!D66),"Value Missing",'Configure Management Domain'!D66)</f>
        <v>Value Missing</v>
      </c>
      <c r="Q40" s="23" t="s">
        <v>3694</v>
      </c>
      <c r="R40" s="8" t="str">
        <f>IF(flt_auto_node_pool_start_ip="Value Missing","Value Missing",LEFT(xreg_vra_nodea_ip,FIND("~",SUBSTITUTE(xreg_vra_nodea_ip,".","~",3)))&amp;(RIGHT(xreg_vra_nodea_ip,LEN(xreg_vra_nodea_ip)-FIND("~",SUBSTITUTE(xreg_vra_nodea_ip,".","~",3)))+5))</f>
        <v>Value Missing</v>
      </c>
      <c r="T40" s="28" t="s">
        <v>1538</v>
      </c>
      <c r="U40" s="8" t="str">
        <f>IF(ISBLANK(input_air_license),"Value Missing",input_air_license)</f>
        <v>Value Missing</v>
      </c>
      <c r="W40" s="4" t="s">
        <v>273</v>
      </c>
      <c r="X40" s="8" t="str">
        <f>IF(ISBLANK(input_wld_witnessaz_mgmt_cidr),"Value Missing",input_wld_witnessaz_mgmt_cidr)</f>
        <v>Value Missing</v>
      </c>
      <c r="Z40" s="4" t="s">
        <v>1697</v>
      </c>
      <c r="AA40" s="8" t="str">
        <f>IF(this_instance="sfo","10.21.","10.11.")</f>
        <v>10.21.</v>
      </c>
      <c r="AC40" s="4" t="s">
        <v>1055</v>
      </c>
      <c r="AE40" s="8" t="str">
        <f>IF(input_wld_az2_host_overlay_gateway_ip="DHCP","",IF(ISBLANK('Configure Workload Domain'!D288),"Value Missing",'Configure Workload Domain'!D288))</f>
        <v>Value Missing</v>
      </c>
    </row>
    <row r="41" spans="2:31" s="2" customFormat="1" ht="20" customHeight="1" x14ac:dyDescent="0.2">
      <c r="B41" s="4" t="s">
        <v>1425</v>
      </c>
      <c r="C41" s="8" t="str">
        <f>IF(mgmt_nsxt_mgra_fqdn="Value Missing",mgmt_nsxt_mgra_fqdn,LEFT(mgmt_nsxt_mgra_fqdn,FIND(".",mgmt_nsxt_mgra_fqdn)-1))</f>
        <v>Value Missing</v>
      </c>
      <c r="E41" s="4" t="s">
        <v>1455</v>
      </c>
      <c r="F41" s="8" t="str">
        <f>IF(wld_avilb_fqdn="Value Missing",wld_avilb_fqdn,LEFT(wld_avilb_fqdn,FIND(".",wld_avilb_fqdn)-1))</f>
        <v>Value Missing</v>
      </c>
      <c r="H41" s="4" t="s">
        <v>451</v>
      </c>
      <c r="I41" s="8" t="str">
        <f>IF(cluster_az1_secondary_storage_network="Value missing","Value Missing",CONCATENATE(cluster_az1_secondary_storage_network,"/",VLOOKUP(cluster_az1_secondary_storage_mask,table_mask_to_cidr,2,FALSE)))</f>
        <v>Value Missing</v>
      </c>
      <c r="N41" s="4" t="s">
        <v>1486</v>
      </c>
      <c r="O41" s="8" t="str">
        <f>IF(ISBLANK(input_ca_email_address),"Value Missing",input_ca_email_address)</f>
        <v>Value Missing</v>
      </c>
      <c r="Q41" s="23" t="s">
        <v>585</v>
      </c>
      <c r="R41" s="8" t="e">
        <f>xreg_vra_k8s_cluster_cidr_chosen</f>
        <v>#NAME?</v>
      </c>
      <c r="T41" s="4" t="s">
        <v>1540</v>
      </c>
      <c r="U41" s="8" t="str">
        <f>IF(ISBLANK(input_air_GPU_VM_class),"Value Missing",input_air_GPU_VM_class)</f>
        <v>Value Missing</v>
      </c>
      <c r="V41" s="3"/>
      <c r="Z41" s="4" t="s">
        <v>1702</v>
      </c>
      <c r="AA41" s="8" t="s">
        <v>1703</v>
      </c>
    </row>
    <row r="42" spans="2:31" s="2" customFormat="1" ht="20" customHeight="1" x14ac:dyDescent="0.2">
      <c r="B42" s="4" t="s">
        <v>1430</v>
      </c>
      <c r="C42" s="8" t="str">
        <f>IF(mgmt_nsxt_mgrb_fqdn="Value Missing",mgmt_nsxt_mgrb_fqdn,LEFT(mgmt_nsxt_mgrb_fqdn,FIND(".",mgmt_nsxt_mgrb_fqdn)-1))</f>
        <v>Value Missing</v>
      </c>
      <c r="H42" s="4" t="s">
        <v>182</v>
      </c>
      <c r="I42" s="8" t="str">
        <f>IF(cluster_az1_secondary_storage_gateway_cidr="Value Missing","Value Missing",LEFT(cluster_az1_secondary_storage_gateway_cidr,FIND("/",cluster_az1_secondary_storage_gateway_cidr)-1))</f>
        <v>Value Missing</v>
      </c>
      <c r="K42" s="220" t="s">
        <v>1530</v>
      </c>
      <c r="L42" s="220"/>
      <c r="N42" s="4" t="s">
        <v>67</v>
      </c>
      <c r="O42" s="8" t="str">
        <f>IF(ISBLANK('Configure Management Domain'!D64),"Value Missing",'Configure Management Domain'!D64)</f>
        <v>Value Missing</v>
      </c>
      <c r="T42" s="23" t="s">
        <v>1544</v>
      </c>
      <c r="U42" s="8" t="str">
        <f>IF(ISBLANK(input_air_GPU_operator_namespace),"Value Missing",input_air_GPU_operator_namespace)</f>
        <v>Value Missing</v>
      </c>
      <c r="V42" s="3"/>
      <c r="W42" s="220" t="s">
        <v>1604</v>
      </c>
      <c r="X42" s="220"/>
      <c r="Z42" s="4" t="s">
        <v>1714</v>
      </c>
      <c r="AA42" s="8" t="str">
        <f>IF(this_instance="sfo","10.11.99","10.21.99")</f>
        <v>10.11.99</v>
      </c>
      <c r="AC42" s="221" t="s">
        <v>1541</v>
      </c>
      <c r="AD42" s="222"/>
      <c r="AE42" s="222"/>
    </row>
    <row r="43" spans="2:31" s="2" customFormat="1" ht="20" customHeight="1" x14ac:dyDescent="0.2">
      <c r="B43" s="4" t="s">
        <v>1434</v>
      </c>
      <c r="C43" s="8" t="str">
        <f>IF(mgmt_nsxt_mgrc_fqdn="Value Missing",mgmt_nsxt_mgrc_fqdn,LEFT(mgmt_nsxt_mgrc_fqdn,FIND(".",mgmt_nsxt_mgrc_fqdn)-1))</f>
        <v>Value Missing</v>
      </c>
      <c r="E43" s="633" t="s">
        <v>1528</v>
      </c>
      <c r="F43" s="635"/>
      <c r="H43" s="4" t="s">
        <v>3686</v>
      </c>
      <c r="I43" s="8" t="str">
        <f>IF(ISBLANK(input_cluster_az1_secondary_storage_gateway_cidr),"Value Missing",input_cluster_az1_secondary_storage_gateway_cidr)</f>
        <v>Value Missing</v>
      </c>
      <c r="K43" s="200" t="s">
        <v>254</v>
      </c>
      <c r="L43" s="201" t="s">
        <v>20</v>
      </c>
      <c r="N43" s="4" t="s">
        <v>59</v>
      </c>
      <c r="O43" s="8" t="str">
        <f>IF(ISBLANK('Configure Management Domain'!D61),"Value Missing",'Configure Management Domain'!D61)</f>
        <v>Value Missing</v>
      </c>
      <c r="Q43" s="630" t="s">
        <v>1543</v>
      </c>
      <c r="R43" s="631"/>
      <c r="T43" s="4" t="s">
        <v>1548</v>
      </c>
      <c r="U43" s="8" t="str">
        <f>IF(ISBLANK(input_air_GPU_network_operator_namespace),"Value Missing",input_air_GPU_network_operator_namespace)</f>
        <v>Value Missing</v>
      </c>
      <c r="V43" s="3"/>
      <c r="W43" s="200" t="s">
        <v>254</v>
      </c>
      <c r="X43" s="201" t="s">
        <v>20</v>
      </c>
      <c r="Z43" s="4" t="s">
        <v>3768</v>
      </c>
      <c r="AA43" s="8" t="s">
        <v>3769</v>
      </c>
      <c r="AC43" s="200" t="s">
        <v>254</v>
      </c>
      <c r="AD43" s="201" t="s">
        <v>1044</v>
      </c>
      <c r="AE43" s="201" t="s">
        <v>1346</v>
      </c>
    </row>
    <row r="44" spans="2:31" s="2" customFormat="1" ht="20" customHeight="1" x14ac:dyDescent="0.2">
      <c r="B44" s="4" t="s">
        <v>1439</v>
      </c>
      <c r="C44" s="8" t="str">
        <f>IF(mgmt_nsxt_gm_vip_fqdn="Value Missing",mgmt_nsxt_gm_vip_fqdn,LEFT(mgmt_nsxt_gm_vip_fqdn,FIND(".",mgmt_nsxt_gm_vip_fqdn)-1))</f>
        <v>Value Missing</v>
      </c>
      <c r="E44" s="223" t="s">
        <v>254</v>
      </c>
      <c r="F44" s="224" t="s">
        <v>20</v>
      </c>
      <c r="H44" s="23" t="s">
        <v>248</v>
      </c>
      <c r="I44" s="8" t="str">
        <f>IF(ISBLANK(input_cluster_az1_secondary_storage_pool_start_ip),"Value Missing",input_cluster_az1_secondary_storage_pool_start_ip)</f>
        <v>Value Missing</v>
      </c>
      <c r="K44" s="4" t="s">
        <v>1536</v>
      </c>
      <c r="L44" s="8" t="str">
        <f>IF(ISBLANK(input_region_ntp1_server),"Value Missing",input_region_ntp1_server)</f>
        <v>Value Missing</v>
      </c>
      <c r="N44" s="4" t="s">
        <v>1537</v>
      </c>
      <c r="O44" s="8" t="str">
        <f>IF(ISBLANK('Configure Management Domain'!D60),"Value Missing",'Configure Management Domain'!D60)</f>
        <v>Value Missing</v>
      </c>
      <c r="Q44" s="224" t="s">
        <v>254</v>
      </c>
      <c r="R44" s="224" t="s">
        <v>20</v>
      </c>
      <c r="V44" s="3"/>
      <c r="W44" s="4" t="s">
        <v>273</v>
      </c>
      <c r="X44" s="8" t="str">
        <f>IF(ISBLANK(input_wld_witnessaz_mgmt_gateway_ip),"Value Missing",input_wld_witnessaz_mgmt_gateway_ip)</f>
        <v>Value Missing</v>
      </c>
      <c r="Z44" s="4" t="s">
        <v>3770</v>
      </c>
      <c r="AA44" s="26">
        <v>6811</v>
      </c>
      <c r="AC44" s="4" t="s">
        <v>1391</v>
      </c>
      <c r="AD44" s="8" t="str">
        <f>'Value Reference Tables - MR'!I70</f>
        <v>Value Missing</v>
      </c>
      <c r="AE44" s="8" t="str">
        <f>'Value Reference Tables - MR'!I370</f>
        <v>Value Missing</v>
      </c>
    </row>
    <row r="45" spans="2:31" s="2" customFormat="1" ht="20" customHeight="1" x14ac:dyDescent="0.2">
      <c r="B45" s="4" t="s">
        <v>1444</v>
      </c>
      <c r="C45" s="8" t="str">
        <f>IF(mgmt_nsxt_global_mgra_fqdn="Value Missing",mgmt_nsxt_global_mgra_fqdn,LEFT(mgmt_nsxt_global_mgra_fqdn,FIND(".",mgmt_nsxt_global_mgra_fqdn)-1))</f>
        <v>Value Missing</v>
      </c>
      <c r="E45" s="4" t="s">
        <v>1415</v>
      </c>
      <c r="F45" s="8" t="str">
        <f>IF(ISBLANK(input_wld_vc_fqdn),"Value Missing",input_wld_vc_fqdn)</f>
        <v>Value Missing</v>
      </c>
      <c r="H45" s="23" t="s">
        <v>249</v>
      </c>
      <c r="I45" s="8" t="str">
        <f>IF(ISBLANK(input_cluster_az1_secondary_storage_pool_end_ip),"Value Missing",input_cluster_az1_secondary_storage_pool_end_ip)</f>
        <v>Value Missing</v>
      </c>
      <c r="K45" s="4" t="s">
        <v>1539</v>
      </c>
      <c r="L45" s="8" t="str">
        <f>IF(ISBLANK(input_region_ntp2_server),"Value Missing",input_region_ntp2_server)</f>
        <v>Value Missing</v>
      </c>
      <c r="N45" s="4" t="s">
        <v>65</v>
      </c>
      <c r="O45" s="8" t="str">
        <f>IF(ISBLANK('Configure Management Domain'!D63),"Value Missing",'Configure Management Domain'!D63)</f>
        <v>Value Missing</v>
      </c>
      <c r="Q45" s="23" t="s">
        <v>1518</v>
      </c>
      <c r="R45" s="8" t="str">
        <f>IF(xreg_vra_virtual_fqdn="Value Missing",xreg_vra_virtual_fqdn,LEFT(xreg_vra_virtual_fqdn,FIND(".",xreg_vra_virtual_fqdn)-1))</f>
        <v>Value Missing</v>
      </c>
      <c r="V45" s="3"/>
    </row>
    <row r="46" spans="2:31" s="2" customFormat="1" ht="20" customHeight="1" x14ac:dyDescent="0.2">
      <c r="B46" s="4" t="s">
        <v>1448</v>
      </c>
      <c r="C46" s="8" t="str">
        <f>IF(mgmt_nsxt_global_mgrb_fqdn="Value Missing",mgmt_nsxt_global_mgrb_fqdn,LEFT(mgmt_nsxt_global_mgrb_fqdn,FIND(".",mgmt_nsxt_global_mgrb_fqdn)-1))</f>
        <v>Value Missing</v>
      </c>
      <c r="E46" s="4" t="s">
        <v>1421</v>
      </c>
      <c r="F46" s="8" t="str">
        <f>IF(ISBLANK(input_wld_nsxt_vip_fqdn),"Value Missing",input_wld_nsxt_vip_fqdn)</f>
        <v>Value Missing</v>
      </c>
      <c r="H46" s="579" t="s">
        <v>706</v>
      </c>
      <c r="I46" s="581"/>
      <c r="K46" s="4" t="s">
        <v>1542</v>
      </c>
      <c r="L46" s="8"/>
      <c r="N46" s="4" t="s">
        <v>25</v>
      </c>
      <c r="O46" s="8" t="str">
        <f>IF(ISBLANK('Configure Management Domain'!D23),"Value Missing",'Configure Management Domain'!D23)</f>
        <v>Value Missing</v>
      </c>
      <c r="T46" s="519" t="s">
        <v>1556</v>
      </c>
      <c r="U46" s="520"/>
      <c r="V46" s="3"/>
      <c r="W46" s="220" t="s">
        <v>1620</v>
      </c>
      <c r="X46" s="220"/>
      <c r="Z46" s="221" t="s">
        <v>1727</v>
      </c>
      <c r="AA46" s="222" t="s">
        <v>3771</v>
      </c>
    </row>
    <row r="47" spans="2:31" s="2" customFormat="1" ht="20" customHeight="1" x14ac:dyDescent="0.2">
      <c r="B47" s="4" t="s">
        <v>1451</v>
      </c>
      <c r="C47" s="8" t="str">
        <f>IF(mgmt_nsxt_global_mgrc_fqdn="Value Missing",mgmt_nsxt_global_mgrc_fqdn,LEFT(mgmt_nsxt_global_mgrc_fqdn,FIND(".",mgmt_nsxt_global_mgrc_fqdn)-1))</f>
        <v>Value Missing</v>
      </c>
      <c r="E47" s="4" t="s">
        <v>1425</v>
      </c>
      <c r="F47" s="8" t="str">
        <f>IF(ISBLANK(input_wld_nsxt_mgra_fqdn),"Value Missing",input_wld_nsxt_mgra_fqdn)</f>
        <v>Value Missing</v>
      </c>
      <c r="H47" s="4" t="s">
        <v>85</v>
      </c>
      <c r="I47" s="8" t="str">
        <f>IF(ISBLANK(input_cluster_az1_storage_cluster_vlan),"Value Missing",input_cluster_az1_storage_cluster_vlan)</f>
        <v>Value Missing</v>
      </c>
      <c r="K47" s="4" t="s">
        <v>1547</v>
      </c>
      <c r="L47" s="8" t="str">
        <f>IF(ISBLANK(input_xregion_ntp1_server),"Value Missing",input_xregion_ntp1_server)</f>
        <v>Value Missing</v>
      </c>
      <c r="N47" s="4" t="s">
        <v>1054</v>
      </c>
      <c r="O47" s="8" t="str">
        <f>IF(ISBLANK('Configure Management Domain'!D24),"Value Missing",'Configure Management Domain'!D24)</f>
        <v>Value Missing</v>
      </c>
      <c r="Q47" s="630" t="s">
        <v>1555</v>
      </c>
      <c r="R47" s="631"/>
      <c r="T47" s="200" t="s">
        <v>254</v>
      </c>
      <c r="U47" s="201" t="s">
        <v>20</v>
      </c>
      <c r="V47" s="3"/>
      <c r="W47" s="200" t="s">
        <v>254</v>
      </c>
      <c r="X47" s="201" t="s">
        <v>20</v>
      </c>
      <c r="Z47" s="200" t="s">
        <v>254</v>
      </c>
      <c r="AA47" s="201" t="s">
        <v>1621</v>
      </c>
    </row>
    <row r="48" spans="2:31" s="2" customFormat="1" ht="20" customHeight="1" x14ac:dyDescent="0.2">
      <c r="B48" s="4" t="s">
        <v>1455</v>
      </c>
      <c r="C48" s="8" t="str">
        <f>IF(mgmt_avilb_fqdn="Value Missing",mgmt_avilb_fqdn,LEFT(mgmt_avilb_fqdn,FIND(".",mgmt_avilb_fqdn)-1))</f>
        <v>Value Missing</v>
      </c>
      <c r="E48" s="4" t="s">
        <v>1430</v>
      </c>
      <c r="F48" s="8" t="str">
        <f>IF(ISBLANK(input_wld_nsxt_mgrb_fqdn),"Value Missing",input_wld_nsxt_mgrb_fqdn)</f>
        <v>Value Missing</v>
      </c>
      <c r="H48" s="4" t="s">
        <v>157</v>
      </c>
      <c r="I48" s="8" t="str">
        <f>IF(ISBLANK(input_cluster_az1_storage_cluster_mtu),"Value Missing",input_cluster_az1_storage_cluster_mtu)</f>
        <v>Value Missing</v>
      </c>
      <c r="K48" s="4" t="s">
        <v>1550</v>
      </c>
      <c r="L48" s="8" t="str">
        <f>IF(AND((OR((spr_chosen="Management Only"),(spr_chosen="Management &amp; VI Workload"))),(ISBLANK(input_xregion_ntp2_server))),"Value Missing",IF(ISBLANK(input_xregion_ntp2_server),"",input_xregion_ntp2_server))</f>
        <v/>
      </c>
      <c r="N48" s="4" t="s">
        <v>1551</v>
      </c>
      <c r="O48" s="8" t="str">
        <f>IF(ISBLANK('Configure Management Domain'!D25),"Value Missing",'Configure Management Domain'!D25)</f>
        <v>Value Missing</v>
      </c>
      <c r="Q48" s="224" t="s">
        <v>254</v>
      </c>
      <c r="R48" s="224" t="s">
        <v>20</v>
      </c>
      <c r="T48" s="4" t="s">
        <v>1566</v>
      </c>
      <c r="U48" s="8" t="str">
        <f>IF(ISBLANK(input_mgmt_srm_recovery_sddc_manager_fqdn),"Value Missing",input_mgmt_srm_recovery_sddc_manager_fqdn)</f>
        <v>Value Missing</v>
      </c>
      <c r="V48" s="3"/>
      <c r="W48" s="4" t="s">
        <v>273</v>
      </c>
      <c r="X48" s="8" t="str">
        <f>IF(ISBLANK(input_wld_witnessaz_mgmt_mtu),"Value Missing",input_wld_witnessaz_mgmt_mtu)</f>
        <v>Value Missing</v>
      </c>
      <c r="Z48" s="4" t="s">
        <v>1737</v>
      </c>
      <c r="AA48" s="8" t="str">
        <f>IF(AND((spr_chosen="Management Only"),(spr_result="Included")),"True","False")</f>
        <v>False</v>
      </c>
    </row>
    <row r="49" spans="2:27" s="2" customFormat="1" ht="20" customHeight="1" x14ac:dyDescent="0.2">
      <c r="B49" s="4" t="s">
        <v>1552</v>
      </c>
      <c r="C49" s="8" t="str">
        <f>IF(flt_vidb_vip_fqdn="Value Missing",flt_vidb_vip_fqdn,LEFT(flt_vidb_vip_fqdn,FIND(".",flt_vidb_vip_fqdn)-1))</f>
        <v>Value Missing</v>
      </c>
      <c r="E49" s="4" t="s">
        <v>1434</v>
      </c>
      <c r="F49" s="8" t="str">
        <f>IF(ISBLANK(input_wld_nsxt_mgrc_fqdn),"Value Missing",input_wld_nsxt_mgrc_fqdn)</f>
        <v>Value Missing</v>
      </c>
      <c r="H49" s="4" t="s">
        <v>245</v>
      </c>
      <c r="I49" s="8" t="str">
        <f>IF(cluster_az1_storage_cluster_gateway_cidr="Value Missing","Value Missing",CONCATENATE(_xlfn.TEXTBEFORE(cluster_az1_storage_cluster_gateway_cidr,".",3),".0"))</f>
        <v>Value Missing</v>
      </c>
      <c r="K49" s="4" t="s">
        <v>1553</v>
      </c>
      <c r="L49" s="8" t="str">
        <f>IF(ISBLANK('Configure Management Domain'!D397),"Value Missing",'Configure Management Domain'!D397)</f>
        <v>Value Missing</v>
      </c>
      <c r="N49" s="4" t="s">
        <v>32</v>
      </c>
      <c r="O49" s="8" t="str">
        <f>IF(ISBLANK('Configure Management Domain'!D27),"Value Missing",'Configure Management Domain'!D27)</f>
        <v>Value Missing</v>
      </c>
      <c r="Q49" s="23" t="s">
        <v>1518</v>
      </c>
      <c r="R49" s="8" t="str">
        <f>IF(ISBLANK(input_xreg_vra_virtual_fqdn),"Value Missing",input_xreg_vra_virtual_fqdn)</f>
        <v>Value Missing</v>
      </c>
      <c r="T49" s="4" t="s">
        <v>1570</v>
      </c>
      <c r="U49" s="8" t="str">
        <f>IF(ISBLANK(input_mgmt_srm_recovery_sddc_manager_username),"Value Missing",input_mgmt_srm_recovery_sddc_manager_username)</f>
        <v>Value Missing</v>
      </c>
      <c r="V49" s="3"/>
      <c r="Z49" s="4" t="s">
        <v>1741</v>
      </c>
      <c r="AA49" s="8" t="str">
        <f>IF(AND((spr_chosen="Workload Only"),(spr_result="Included")),"True","False")</f>
        <v>False</v>
      </c>
    </row>
    <row r="50" spans="2:27" s="2" customFormat="1" ht="20" customHeight="1" x14ac:dyDescent="0.2">
      <c r="B50" s="4" t="s">
        <v>3755</v>
      </c>
      <c r="C50" s="8" t="str">
        <f>IF(flt_lc_fqdn="Value Missing",flt_lc_fqdn,LEFT(flt_lc_fqdn,FIND(".",flt_lc_fqdn)-1))</f>
        <v>Value Missing</v>
      </c>
      <c r="E50" s="4" t="s">
        <v>1439</v>
      </c>
      <c r="F50" s="8" t="str">
        <f>IF(ISBLANK(input_wld_nsxt_gm_vip_fqdn),"Value Missing",input_wld_nsxt_gm_vip_fqdn)</f>
        <v>Value Missing</v>
      </c>
      <c r="H50" s="4" t="s">
        <v>278</v>
      </c>
      <c r="I50" s="8" t="str">
        <f>IF(cluster_az1_storage_cluster_gateway_cidr="Value Missing",cluster_az1_storage_cluster_gateway_cidr,VLOOKUP(INT(RIGHT(cluster_az1_storage_cluster_gateway_cidr,LEN(cluster_az1_storage_cluster_gateway_cidr)-FIND("/",cluster_az1_storage_cluster_gateway_cidr))),table_cidr_to_mask,2,FALSE))</f>
        <v>Value Missing</v>
      </c>
      <c r="K50" s="4" t="s">
        <v>1553</v>
      </c>
      <c r="L50" s="8" t="str">
        <f>IF(ISBLANK('Configure Management Domain'!D398),"Value Missing",'Configure Management Domain'!D398)</f>
        <v>Value Missing</v>
      </c>
      <c r="N50" s="4" t="s">
        <v>1554</v>
      </c>
      <c r="O50" s="8" t="str">
        <f>IF(ISBLANK('Configure Management Domain'!D28),"Value Missing",'Configure Management Domain'!D28)</f>
        <v>Value Missing</v>
      </c>
      <c r="Q50" s="23" t="s">
        <v>1518</v>
      </c>
      <c r="R50" s="8" t="str">
        <f>IF(ISBLANK(input_flt_auto_sr_fqdn),"Value Missing",input_flt_auto_sr_fqdn)</f>
        <v>Value Missing</v>
      </c>
      <c r="T50" s="4" t="s">
        <v>1574</v>
      </c>
      <c r="U50" s="8" t="str">
        <f>IF(ISBLANK(input_mgmt_srm_recovery_sddc_manager_password),"Value Missing",input_mgmt_srm_recovery_sddc_manager_password)</f>
        <v>Value Missing</v>
      </c>
      <c r="V50" s="3"/>
      <c r="Z50" s="4" t="s">
        <v>1744</v>
      </c>
      <c r="AA50" s="8" t="str">
        <f>IF(spr_chosen="Management &amp; Workload","True","False")</f>
        <v>False</v>
      </c>
    </row>
    <row r="51" spans="2:27" s="2" customFormat="1" ht="20" customHeight="1" x14ac:dyDescent="0.2">
      <c r="B51" s="4" t="s">
        <v>3753</v>
      </c>
      <c r="C51" s="8" t="str">
        <f>IF(flt_sr_fqdn="Value Missing",flt_sr_fqdn,LEFT(flt_sr_fqdn,FIND(".",flt_sr_fqdn)-1))</f>
        <v>Value Missing</v>
      </c>
      <c r="E51" s="4" t="s">
        <v>1444</v>
      </c>
      <c r="F51" s="8" t="str">
        <f>IF(ISBLANK(input_wld_nsxt_global_mgra_fqdn),"Value Missing",input_wld_nsxt_global_mgra_fqdn)</f>
        <v>Value Missing</v>
      </c>
      <c r="H51" s="4" t="s">
        <v>451</v>
      </c>
      <c r="I51" s="8" t="str">
        <f>IF(cluster_az1_storage_cluster_network="Value missing","Value Missing",CONCATENATE(cluster_az1_storage_cluster_network,"/",VLOOKUP(cluster_az1_storage_cluster_mask,table_mask_to_cidr,2,FALSE)))</f>
        <v>Value Missing</v>
      </c>
      <c r="K51" s="4" t="s">
        <v>1560</v>
      </c>
      <c r="L51" s="8" t="str">
        <f>IF(ISBLANK(input_region_dns1_ip),"Value Missing",input_region_dns1_ip)</f>
        <v>Value Missing</v>
      </c>
      <c r="N51" s="4" t="s">
        <v>36</v>
      </c>
      <c r="O51" s="8" t="str">
        <f>IF(ISBLANK('Configure Management Domain'!D29),"Value Missing",'Configure Management Domain'!D29)</f>
        <v>Value Missing</v>
      </c>
      <c r="T51" s="4" t="s">
        <v>1577</v>
      </c>
      <c r="U51" s="8" t="s">
        <v>525</v>
      </c>
      <c r="Z51" s="4" t="s">
        <v>1748</v>
      </c>
      <c r="AA51" s="8" t="str">
        <f>IF(AND((mgmt_domain_chosen="Deploy a new VCF fleet"),(OR((spr_mo_result="True"),(spr_mw_result="True")))),"True","False")</f>
        <v>False</v>
      </c>
    </row>
    <row r="52" spans="2:27" s="2" customFormat="1" ht="20" customHeight="1" x14ac:dyDescent="0.2">
      <c r="B52" s="4" t="s">
        <v>3754</v>
      </c>
      <c r="C52" s="8" t="str">
        <f>IF(flt_ic_fqdn="Value Missing",flt_ic_fqdn,LEFT(flt_ic_fqdn,FIND(".",flt_ic_fqdn)-1))</f>
        <v>Value Missing</v>
      </c>
      <c r="E52" s="4" t="s">
        <v>1448</v>
      </c>
      <c r="F52" s="8" t="str">
        <f t="array" ref="F52">IF(ISBLANK(input_wld_nsxt_global_mgrb_fqdn),"Value Missing",input_wld_nsxt_global_mgrb_fqdn)</f>
        <v>Value Missing</v>
      </c>
      <c r="H52" s="4" t="s">
        <v>182</v>
      </c>
      <c r="I52" s="8" t="str">
        <f>IF(cluster_az1_storage_cluster_gateway_cidr="Value Missing","Value Missing",LEFT(cluster_az1_storage_cluster_gateway_cidr,FIND("/",cluster_az1_storage_cluster_gateway_cidr)-1))</f>
        <v>Value Missing</v>
      </c>
      <c r="K52" s="4" t="s">
        <v>1563</v>
      </c>
      <c r="L52" s="8" t="str">
        <f>IF(ISBLANK(input_region_dns2_ip),"Value Missing",input_region_dns2_ip)</f>
        <v>Value Missing</v>
      </c>
      <c r="N52" s="23" t="s">
        <v>1564</v>
      </c>
      <c r="O52" s="8" t="s">
        <v>1565</v>
      </c>
      <c r="Q52" s="220" t="s">
        <v>1573</v>
      </c>
      <c r="R52" s="222"/>
      <c r="T52" s="4" t="s">
        <v>1582</v>
      </c>
      <c r="U52" s="8" t="s">
        <v>525</v>
      </c>
      <c r="Z52" s="4" t="s">
        <v>1752</v>
      </c>
      <c r="AA52" s="8" t="str">
        <f>IF(AND((mgmt_domain_chosen&lt;&gt;"First Domain"),(OR((spr_mo_result="True"),(spr_mw_result="True")))),"True","False")</f>
        <v>False</v>
      </c>
    </row>
    <row r="53" spans="2:27" s="2" customFormat="1" ht="20" customHeight="1" x14ac:dyDescent="0.2">
      <c r="E53" s="4" t="s">
        <v>1451</v>
      </c>
      <c r="F53" s="8" t="str">
        <f>IF(ISBLANK(input_wld_nsxt_global_mgrc_fqdn),"Value Missing",input_wld_nsxt_global_mgrc_fqdn)</f>
        <v>Value Missing</v>
      </c>
      <c r="H53" s="4" t="s">
        <v>3686</v>
      </c>
      <c r="I53" s="8" t="str">
        <f>IF(ISBLANK(input_cluster_az1_storage_cluster_gateway_cidr),"Value Missing",input_cluster_az1_storage_cluster_gateway_cidr)</f>
        <v>Value Missing</v>
      </c>
      <c r="K53" s="4" t="s">
        <v>1568</v>
      </c>
      <c r="L53" s="8" t="str">
        <f>IF(ISBLANK(Arkham!C13),"Value Missing",Arkham!C13)</f>
        <v>Value Missing</v>
      </c>
      <c r="N53" s="23" t="s">
        <v>1569</v>
      </c>
      <c r="O53" s="8" t="str">
        <f>CONCATENATE(mgmt_cl01_cluster,"_primary-az-vmgroup")</f>
        <v>Value Missing_primary-az-vmgroup</v>
      </c>
      <c r="Q53" s="200" t="s">
        <v>254</v>
      </c>
      <c r="R53" s="201" t="s">
        <v>20</v>
      </c>
      <c r="T53" s="4" t="s">
        <v>1585</v>
      </c>
      <c r="U53" s="8" t="str">
        <f>IF(ISBLANK(input_xreg_vrops_vrms_sso_username),"Value Missing",input_xreg_vrops_vrms_sso_username)</f>
        <v>Value Missing</v>
      </c>
      <c r="V53" s="3"/>
      <c r="Z53" s="4" t="s">
        <v>1759</v>
      </c>
      <c r="AA53" s="8" t="str">
        <f>IF(AND((mgmt_domain_chosen="First Domain"),(OR((spr_wo_result="True"),(spr_mw_result="True")))),"True","False")</f>
        <v>False</v>
      </c>
    </row>
    <row r="54" spans="2:27" s="2" customFormat="1" ht="20" customHeight="1" x14ac:dyDescent="0.2">
      <c r="B54" s="225" t="s">
        <v>1559</v>
      </c>
      <c r="C54" s="227"/>
      <c r="E54" s="4" t="s">
        <v>1561</v>
      </c>
      <c r="F54" s="8" t="str">
        <f>IF(ISBLANK(input_wld_az1_en1_fqdn),"Value Missing",input_wld_az1_en1_fqdn)</f>
        <v>Value Missing</v>
      </c>
      <c r="H54" s="23" t="s">
        <v>248</v>
      </c>
      <c r="I54" s="8" t="str">
        <f>IF(ISBLANK(input_cluster_az1_storage_cluster_pool_start_ip),"Value Missing",input_cluster_az1_storage_cluster_pool_start_ip)</f>
        <v>Value Missing</v>
      </c>
      <c r="K54" s="4" t="s">
        <v>1571</v>
      </c>
      <c r="L54" s="8" t="str">
        <f>IF(ISBLANK(Arkham!C14),"Value Missing",Arkham!C14)</f>
        <v>Value Missing</v>
      </c>
      <c r="N54" s="4" t="s">
        <v>1572</v>
      </c>
      <c r="O54" s="8" t="str">
        <f>IF(ISBLANK(mgmt_internet_proxy_type_chosen),"Value Missing",mgmt_internet_proxy_type_chosen)</f>
        <v>HTTPS</v>
      </c>
      <c r="Q54" s="23" t="s">
        <v>1581</v>
      </c>
      <c r="R54" s="8"/>
      <c r="T54" s="4" t="s">
        <v>1589</v>
      </c>
      <c r="U54" s="8" t="str">
        <f>IF(ISBLANK(input_xreg_vrops_vrms_sso_password),"Value Missing",input_xreg_vrops_vrms_sso_password)</f>
        <v>Value Missing</v>
      </c>
      <c r="V54" s="3"/>
      <c r="Z54" s="4" t="s">
        <v>1763</v>
      </c>
      <c r="AA54" s="8" t="str">
        <f>IF((mgmt_nsxt_federation_result="Included"),"True","False")</f>
        <v>False</v>
      </c>
    </row>
    <row r="55" spans="2:27" s="2" customFormat="1" ht="20" customHeight="1" x14ac:dyDescent="0.2">
      <c r="B55" s="223" t="s">
        <v>254</v>
      </c>
      <c r="C55" s="223" t="s">
        <v>20</v>
      </c>
      <c r="E55" s="4" t="s">
        <v>1567</v>
      </c>
      <c r="F55" s="8" t="str">
        <f>IF(ISBLANK(input_wld_az1_en2_fqdn),"Value Missing",input_wld_az1_en2_fqdn)</f>
        <v>Value Missing</v>
      </c>
      <c r="H55" s="23" t="s">
        <v>249</v>
      </c>
      <c r="I55" s="8" t="str">
        <f>IF(ISBLANK(input_cluster_az1_storage_cluster_pool_end_ip),"Value Missing",input_cluster_az1_storage_cluster_pool_end_ip)</f>
        <v>Value Missing</v>
      </c>
      <c r="K55" s="4" t="s">
        <v>1576</v>
      </c>
      <c r="L55" s="8" t="str">
        <f>IF(ISBLANK('Configure Management Domain'!D395),"Value Missing",'Configure Management Domain'!D395)</f>
        <v>Value Missing</v>
      </c>
      <c r="N55" s="4" t="s">
        <v>1057</v>
      </c>
      <c r="O55" s="8" t="str">
        <f>IF(ISBLANK(input_mgmt_internet_proxy_address),"Value Missing",input_mgmt_internet_proxy_address)</f>
        <v>Value Missing</v>
      </c>
      <c r="Q55" s="23" t="s">
        <v>1584</v>
      </c>
      <c r="R55" s="8"/>
      <c r="T55" s="4" t="s">
        <v>1594</v>
      </c>
      <c r="U55" s="8" t="str">
        <f>IF(ISBLANK(input_xreg_vrops_srm_sso_username),"Value Missing",input_xreg_vrops_srm_sso_username)</f>
        <v>Value Missing</v>
      </c>
      <c r="V55" s="3"/>
      <c r="Z55" s="4" t="s">
        <v>1768</v>
      </c>
      <c r="AA55" s="8" t="str">
        <f>IF(AND((mgmt_nsxt_federation_result="Included"),(wld_domain_result="Included")),"True","False")</f>
        <v>False</v>
      </c>
    </row>
    <row r="56" spans="2:27" s="2" customFormat="1" ht="20" customHeight="1" x14ac:dyDescent="0.2">
      <c r="B56" s="4" t="s">
        <v>1414</v>
      </c>
      <c r="C56" s="8" t="str">
        <f>IF(ISBLANK(input_vcf_installer_fqdn),"Value Missing",input_vcf_installer_fqdn)</f>
        <v>Value Missing</v>
      </c>
      <c r="E56" s="4" t="s">
        <v>1455</v>
      </c>
      <c r="F56" s="8" t="str">
        <f>IF(ISBLANK(input_wld_avilb_fqdn),"Value Missing",input_wld_avilb_fqdn)</f>
        <v>Value Missing</v>
      </c>
      <c r="H56" s="579" t="s">
        <v>1562</v>
      </c>
      <c r="I56" s="581"/>
      <c r="K56" s="4" t="s">
        <v>1579</v>
      </c>
      <c r="L56" s="8" t="str">
        <f>IF(ISBLANK('Configure Management Domain'!D396),"Value Missing",'Configure Management Domain'!D396)</f>
        <v>Value Missing</v>
      </c>
      <c r="N56" s="4" t="s">
        <v>1580</v>
      </c>
      <c r="O56" s="8" t="str">
        <f>IF(ISBLANK(input_mgmt_internet_proxy_port),"Value Missing",input_mgmt_internet_proxy_port)</f>
        <v>Value Missing</v>
      </c>
      <c r="Q56" s="23" t="s">
        <v>1588</v>
      </c>
      <c r="R56" s="8"/>
      <c r="T56" s="4" t="s">
        <v>1597</v>
      </c>
      <c r="U56" s="8" t="str">
        <f>IF(ISBLANK(input_xreg_vrops_srm_sso_password),"Value Missing",input_xreg_vrops_srm_sso_password)</f>
        <v>Value Missing</v>
      </c>
      <c r="V56" s="3"/>
      <c r="Z56" s="4" t="s">
        <v>1772</v>
      </c>
      <c r="AA56" s="8" t="str">
        <f>IF(AND((mgmt_nsxt_federation_result="Included")),"True","False")</f>
        <v>False</v>
      </c>
    </row>
    <row r="57" spans="2:27" s="2" customFormat="1" ht="20" customHeight="1" x14ac:dyDescent="0.2">
      <c r="B57" s="4" t="s">
        <v>1420</v>
      </c>
      <c r="C57" s="8" t="str">
        <f>IF(ISBLANK(input_sddc_mgr_fqdn),"Value Missing",input_sddc_mgr_fqdn)</f>
        <v>Value Missing</v>
      </c>
      <c r="E57" s="23" t="s">
        <v>3886</v>
      </c>
      <c r="F57" s="8" t="str">
        <f>IF(ISBLANK(input_wld_vnaa_fqdn),"Value Missing",input_wld_vnaa_fqdn)</f>
        <v>Value Missing</v>
      </c>
      <c r="H57" s="23" t="s">
        <v>208</v>
      </c>
      <c r="I57" s="8" t="str">
        <f>IF(ISBLANK(input_cluster_az1_host1_mgmt_ip),"Value Missing",input_cluster_az1_host1_mgmt_ip)</f>
        <v>Value Missing</v>
      </c>
      <c r="K57" s="4" t="s">
        <v>1583</v>
      </c>
      <c r="L57" s="8" t="str">
        <f>IF(ISBLANK(Arkham!C15),"Value Missing",Arkham!C15)</f>
        <v>Value Missing</v>
      </c>
      <c r="N57" s="4" t="s">
        <v>1061</v>
      </c>
      <c r="O57" s="8" t="str">
        <f>mgmt_internet_proxy_auth_chosen</f>
        <v>Unselected</v>
      </c>
      <c r="Q57" s="23" t="s">
        <v>1593</v>
      </c>
      <c r="R57" s="8"/>
      <c r="V57" s="3"/>
      <c r="Z57" s="4" t="s">
        <v>1776</v>
      </c>
      <c r="AA57" s="8" t="str">
        <f>IF(AND((mgmt_domain_chosen&lt;&gt;"First Domain"),(mgmt_nsxt_federation_result="Included"),(wld_domain_result="Included")),"True","False")</f>
        <v>False</v>
      </c>
    </row>
    <row r="58" spans="2:27" s="2" customFormat="1" ht="20" customHeight="1" x14ac:dyDescent="0.2">
      <c r="B58" s="4" t="s">
        <v>1415</v>
      </c>
      <c r="C58" s="8" t="str">
        <f>IF(ISBLANK(input_mgmt_vc_fqdn),"Value Missing",input_mgmt_vc_fqdn)</f>
        <v>Value Missing</v>
      </c>
      <c r="E58" s="23" t="s">
        <v>3887</v>
      </c>
      <c r="F58" s="8" t="str">
        <f>IF(ISBLANK(input_wld_vnab_fqdn),"Value Missing",input_wld_vnab_fqdn)</f>
        <v>Value Missing</v>
      </c>
      <c r="H58" s="23" t="s">
        <v>210</v>
      </c>
      <c r="I58" s="8" t="str">
        <f>IF(ISBLANK(input_cluster_az1_host2_mgmt_ip),"Value Missing",input_cluster_az1_host2_mgmt_ip)</f>
        <v>Value Missing</v>
      </c>
      <c r="K58" s="4" t="s">
        <v>1586</v>
      </c>
      <c r="L58" s="8" t="str">
        <f>IF(ISBLANK('Configure Management Domain'!D34),"Value Missing",'Configure Management Domain'!D34)</f>
        <v>Value Missing</v>
      </c>
      <c r="N58" s="4" t="s">
        <v>1587</v>
      </c>
      <c r="O58" s="8" t="str">
        <f>IF(ISBLANK(input_mgmt_offline_depot_fqdn),"Value Missing",input_mgmt_offline_depot_fqdn)</f>
        <v>Value Missing</v>
      </c>
      <c r="R58" s="3"/>
      <c r="T58" s="220" t="s">
        <v>1603</v>
      </c>
      <c r="U58" s="220"/>
      <c r="V58" s="3"/>
      <c r="Z58" s="4" t="s">
        <v>1780</v>
      </c>
      <c r="AA58" s="8" t="str">
        <f>IF(wld_domain_result="Included",IF(wld_domain_chosen="Create New SSO Domain","False","True"),"False")</f>
        <v>False</v>
      </c>
    </row>
    <row r="59" spans="2:27" s="2" customFormat="1" ht="20" customHeight="1" x14ac:dyDescent="0.2">
      <c r="B59" s="4" t="s">
        <v>1421</v>
      </c>
      <c r="C59" s="8" t="str">
        <f>IF(ISBLANK(input_mgmt_nsxt_vip_fqdn),"Value Missing",input_mgmt_nsxt_vip_fqdn)</f>
        <v>Value Missing</v>
      </c>
      <c r="H59" s="23" t="s">
        <v>212</v>
      </c>
      <c r="I59" s="8" t="str">
        <f>IF(ISBLANK(input_cluster_az1_host3_mgmt_ip),"Value Missing",input_cluster_az1_host3_mgmt_ip)</f>
        <v>Value Missing</v>
      </c>
      <c r="K59" s="4" t="s">
        <v>1591</v>
      </c>
      <c r="L59" s="8" t="str">
        <f>IF(ISBLANK('Configure Management Domain'!D68),"Value Missing",'Configure Management Domain'!D68)</f>
        <v>Value Missing</v>
      </c>
      <c r="N59" s="4" t="s">
        <v>1592</v>
      </c>
      <c r="O59" s="8" t="str">
        <f t="array" ref="O59">IF(ISBLANK(input_mgmt_offline_depot_port),"Value Missing",input_mgmt_offline_depot_port)</f>
        <v>Value Missing</v>
      </c>
      <c r="Q59" s="220" t="s">
        <v>1601</v>
      </c>
      <c r="R59" s="220"/>
      <c r="T59" s="200" t="s">
        <v>254</v>
      </c>
      <c r="U59" s="201" t="s">
        <v>20</v>
      </c>
      <c r="V59" s="3"/>
      <c r="Z59" s="4" t="s">
        <v>1784</v>
      </c>
      <c r="AA59" s="8" cm="1">
        <f t="array" ref="AA59">SUM(IF('Management Domain Sizing'!C44:C67="Workload Domain",1,0))</f>
        <v>0</v>
      </c>
    </row>
    <row r="60" spans="2:27" s="2" customFormat="1" ht="20" customHeight="1" x14ac:dyDescent="0.2">
      <c r="B60" s="4" t="s">
        <v>1425</v>
      </c>
      <c r="C60" s="8" t="str">
        <f>IF(ISBLANK(input_mgmt_nsxt_mgra_fqdn),"Value Missing",input_mgmt_nsxt_mgra_fqdn)</f>
        <v>Value Missing</v>
      </c>
      <c r="E60" s="225" t="s">
        <v>1578</v>
      </c>
      <c r="F60" s="227"/>
      <c r="H60" s="23" t="s">
        <v>214</v>
      </c>
      <c r="I60" s="8" t="str">
        <f>IF(ISBLANK(input_cluster_az1_host4_mgmt_ip),"Value Missing",input_cluster_az1_host4_mgmt_ip)</f>
        <v>Value Missing</v>
      </c>
      <c r="K60" s="4" t="s">
        <v>1596</v>
      </c>
      <c r="L60" s="8" t="str">
        <f>IF(ISBLANK('Configure Management Domain'!D22),"Value Missing",'Configure Management Domain'!D22)</f>
        <v>Value Missing</v>
      </c>
      <c r="Q60" s="200" t="s">
        <v>254</v>
      </c>
      <c r="R60" s="201" t="s">
        <v>20</v>
      </c>
      <c r="T60" s="4" t="s">
        <v>1611</v>
      </c>
      <c r="U60" s="8" t="str">
        <f>IF(ISBLANK(input_mgmt_recovery_lb_creation_method),"Value Missing",input_mgmt_recovery_lb_creation_method)</f>
        <v>Value Missing</v>
      </c>
      <c r="V60" s="3"/>
      <c r="Z60" s="95" t="s">
        <v>1790</v>
      </c>
      <c r="AA60" s="229" cm="1">
        <f t="array" ref="AA60">SUM(IF('Management Domain Sizing'!C44:C67="Isolated Workload Domain",1,0))</f>
        <v>0</v>
      </c>
    </row>
    <row r="61" spans="2:27" s="2" customFormat="1" ht="20" customHeight="1" x14ac:dyDescent="0.2">
      <c r="B61" s="4" t="s">
        <v>1430</v>
      </c>
      <c r="C61" s="8" t="str">
        <f>IF(ISBLANK(input_mgmt_nsxt_mgrb_fqdn),"Value Missing",input_mgmt_nsxt_mgrb_fqdn)</f>
        <v>Value Missing</v>
      </c>
      <c r="E61" s="223" t="s">
        <v>254</v>
      </c>
      <c r="F61" s="224" t="s">
        <v>20</v>
      </c>
      <c r="H61" s="23" t="s">
        <v>216</v>
      </c>
      <c r="I61" s="8" t="str">
        <f>IF(ISBLANK(input_cluster_az1_host5_mgmt_ip),"Value Missing",input_cluster_az1_host5_mgmt_ip)</f>
        <v>Value Missing</v>
      </c>
      <c r="K61" s="4" t="s">
        <v>999</v>
      </c>
      <c r="L61" s="8" t="str">
        <f>IF(ISBLANK(Arkham!C16),"Value Missing",Arkham!C16)</f>
        <v>Value Missing</v>
      </c>
      <c r="N61" s="220" t="s">
        <v>1600</v>
      </c>
      <c r="O61" s="220"/>
      <c r="Q61" s="23" t="s">
        <v>1581</v>
      </c>
      <c r="R61" s="8"/>
      <c r="T61" s="4" t="s">
        <v>1614</v>
      </c>
      <c r="U61" s="8" t="str">
        <f>IF(ISBLANK(input_mgmt_vrms_vm_folder),"Value Missing",input_mgmt_vrms_vm_folder)</f>
        <v>Value Missing</v>
      </c>
      <c r="V61" s="3"/>
      <c r="Z61" s="230" t="s">
        <v>1793</v>
      </c>
      <c r="AA61" s="231" t="str">
        <f>IF(AND(OR(vcf_granular_option_chosen="Full Instance",vcf_granular_option_chosen="Additional VCF Instance"),(wld_domain_result="Excluded")),"Included","Excluded")</f>
        <v>Excluded</v>
      </c>
    </row>
    <row r="62" spans="2:27" s="2" customFormat="1" ht="20" customHeight="1" x14ac:dyDescent="0.2">
      <c r="B62" s="4" t="s">
        <v>1434</v>
      </c>
      <c r="C62" s="8" t="str">
        <f>IF(ISBLANK(input_mgmt_nsxt_mgrc_fqdn),"Value Missing",input_mgmt_nsxt_mgrc_fqdn)</f>
        <v>Value Missing</v>
      </c>
      <c r="E62" s="28" t="s">
        <v>1415</v>
      </c>
      <c r="F62" s="8" t="str">
        <f>(CONCATENATE('Value Reference Tables'!F110,".",(IF(ISBLANK(Arkham!C$11),"Value Missing",Arkham!C$11))))</f>
        <v>Value Missing.Value Missing</v>
      </c>
      <c r="H62" s="23" t="s">
        <v>218</v>
      </c>
      <c r="I62" s="8" t="str">
        <f>IF(ISBLANK(input_cluster_az1_host6_mgmt_ip),"Value Missing",input_cluster_az1_host6_mgmt_ip)</f>
        <v>Value Missing</v>
      </c>
      <c r="K62" s="4" t="s">
        <v>1001</v>
      </c>
      <c r="L62" s="8" t="str">
        <f>IF(ISBLANK(Arkham!C17),"Value Missing",Arkham!C17)</f>
        <v>Value Missing</v>
      </c>
      <c r="N62" s="200" t="s">
        <v>254</v>
      </c>
      <c r="O62" s="201" t="s">
        <v>20</v>
      </c>
      <c r="Q62" s="23" t="s">
        <v>1584</v>
      </c>
      <c r="R62" s="8"/>
      <c r="T62" s="4" t="s">
        <v>1619</v>
      </c>
      <c r="U62" s="8" t="str">
        <f>IF(ISBLANK(input_mgmt_vrms_root_password),"Value Missing",input_mgmt_vrms_root_password)</f>
        <v>Value Missing</v>
      </c>
      <c r="V62" s="3"/>
    </row>
    <row r="63" spans="2:27" s="2" customFormat="1" ht="20" customHeight="1" x14ac:dyDescent="0.2">
      <c r="B63" s="4" t="s">
        <v>1439</v>
      </c>
      <c r="C63" s="8" t="str">
        <f>IF(ISBLANK(input_mgmt_nsxt_gm_vip_fqdn),"Value Missing",input_mgmt_nsxt_gm_vip_fqdn)</f>
        <v>Value Missing</v>
      </c>
      <c r="E63" s="28" t="s">
        <v>271</v>
      </c>
      <c r="F63" s="8" t="str">
        <f>IF(ISBLANK(input_wld_witness_fqdn),"Value Missing",input_wld_witness_fqdn)</f>
        <v>Value Missing</v>
      </c>
      <c r="H63" s="23" t="s">
        <v>220</v>
      </c>
      <c r="I63" s="8" t="str">
        <f>IF(ISBLANK(input_cluster_az1_host7_mgmt_ip),"Value Missing",input_cluster_az1_host7_mgmt_ip)</f>
        <v>Value Missing</v>
      </c>
      <c r="N63" s="4" t="s">
        <v>1607</v>
      </c>
      <c r="O63" s="8" t="str">
        <f>IF(ISBLANK('Deploy Workload Domain'!D159),"Value Missing",'Deploy Workload Domain'!D159)</f>
        <v>Value Missing</v>
      </c>
      <c r="Q63" s="23" t="s">
        <v>1588</v>
      </c>
      <c r="R63" s="8"/>
      <c r="T63" s="4" t="s">
        <v>1623</v>
      </c>
      <c r="U63" s="8" t="str">
        <f>IF(ISBLANK(input_mgmt_vrms_admin_password),"Value Missing",input_mgmt_vrms_admin_password)</f>
        <v>Value Missing</v>
      </c>
    </row>
    <row r="64" spans="2:27" s="2" customFormat="1" ht="20" customHeight="1" x14ac:dyDescent="0.2">
      <c r="B64" s="4" t="s">
        <v>1444</v>
      </c>
      <c r="C64" s="8" t="str">
        <f>IF(ISBLANK(input_mgmt_nsxt_global_mgra_fqdn),"Value Missing",input_mgmt_nsxt_global_mgra_fqdn)</f>
        <v>Value Missing</v>
      </c>
      <c r="H64" s="23" t="s">
        <v>222</v>
      </c>
      <c r="I64" s="8" t="str">
        <f>IF(ISBLANK(input_cluster_az1_host8_mgmt_ip),"Value Missing",input_cluster_az1_host8_mgmt_ip)</f>
        <v>Value Missing</v>
      </c>
      <c r="K64" s="519" t="s">
        <v>1610</v>
      </c>
      <c r="L64" s="632"/>
      <c r="N64" s="4" t="s">
        <v>1613</v>
      </c>
      <c r="O64" s="8" t="str">
        <f>IF(ISBLANK('Configure Workload Domain'!D403),"Value Missing",'Configure Workload Domain'!D403)</f>
        <v>Value Missing</v>
      </c>
      <c r="Q64" s="23" t="s">
        <v>1593</v>
      </c>
      <c r="R64" s="8"/>
      <c r="T64" s="4" t="s">
        <v>1628</v>
      </c>
      <c r="U64" s="8" t="str">
        <f>IF(ISBLANK(input_mgmt_vrms_site_name),"Value Missing",input_mgmt_vrms_site_name)</f>
        <v>Value Missing</v>
      </c>
    </row>
    <row r="65" spans="2:27" s="2" customFormat="1" ht="20" customHeight="1" x14ac:dyDescent="0.2">
      <c r="B65" s="4" t="s">
        <v>1448</v>
      </c>
      <c r="C65" s="8" t="str">
        <f>IF(ISBLANK(input_mgmt_nsxt_global_mgrb_fqdn),"Value Missing",input_mgmt_nsxt_global_mgrb_fqdn)</f>
        <v>Value Missing</v>
      </c>
      <c r="E65" s="225" t="s">
        <v>1599</v>
      </c>
      <c r="F65" s="227"/>
      <c r="H65" s="23" t="s">
        <v>224</v>
      </c>
      <c r="I65" s="8" t="str">
        <f>IF(ISBLANK(input_cluster_az1_host9_mgmt_ip),"Value Missing",input_cluster_az1_host9_mgmt_ip)</f>
        <v>Value Missing</v>
      </c>
      <c r="K65" s="200" t="s">
        <v>254</v>
      </c>
      <c r="L65" s="201" t="s">
        <v>20</v>
      </c>
      <c r="N65" s="4" t="s">
        <v>1618</v>
      </c>
      <c r="O65" s="8" t="str">
        <f>IF(ISBLANK('Deploy Workload Domain'!D254),"Value Missing",'Deploy Workload Domain'!D254)</f>
        <v>Value Missing</v>
      </c>
      <c r="R65" s="3"/>
      <c r="T65" s="4" t="s">
        <v>1632</v>
      </c>
      <c r="U65" s="8" t="str">
        <f>IF(ISBLANK(input_mgmt_vrms_admin_email),"Value Missing",input_mgmt_vrms_admin_email)</f>
        <v>Value Missing</v>
      </c>
      <c r="V65" s="3"/>
    </row>
    <row r="66" spans="2:27" s="2" customFormat="1" ht="20" customHeight="1" x14ac:dyDescent="0.2">
      <c r="B66" s="4" t="s">
        <v>1451</v>
      </c>
      <c r="C66" s="8" t="str">
        <f>IF(ISBLANK(input_mgmt_nsxt_global_mgrc_fqdn),"Value Missing",input_mgmt_nsxt_global_mgrc_fqdn)</f>
        <v>Value Missing</v>
      </c>
      <c r="E66" s="223" t="s">
        <v>254</v>
      </c>
      <c r="F66" s="224" t="s">
        <v>20</v>
      </c>
      <c r="H66" s="23" t="s">
        <v>226</v>
      </c>
      <c r="I66" s="8" t="str">
        <f>IF(ISBLANK(input_cluster_az1_host10_mgmt_ip),"Value Missing",input_cluster_az1_host10_mgmt_ip)</f>
        <v>Value Missing</v>
      </c>
      <c r="K66" s="4" t="s">
        <v>1617</v>
      </c>
      <c r="L66" s="8" t="str">
        <f>IF(ISBLANK(input_parent_dns_zone),"Value Missing",input_parent_dns_zone)</f>
        <v>Value Missing</v>
      </c>
      <c r="N66" s="4" t="s">
        <v>1423</v>
      </c>
      <c r="O66" s="8" t="str">
        <f>IF(ISBLANK('Configure Workload Domain'!D38),"Value Missing",'Configure Workload Domain'!D38)</f>
        <v>Value Missing</v>
      </c>
      <c r="Q66" s="220" t="s">
        <v>1627</v>
      </c>
      <c r="R66" s="220"/>
      <c r="T66" s="4" t="s">
        <v>1638</v>
      </c>
      <c r="U66" s="8" t="str">
        <f>IF(ISBLANK(input_mgmt_vrms_pg),"Value Missing",input_mgmt_vrms_pg)</f>
        <v>Value Missing</v>
      </c>
      <c r="V66" s="3"/>
      <c r="Z66" s="9"/>
      <c r="AA66" s="9"/>
    </row>
    <row r="67" spans="2:27" s="2" customFormat="1" ht="20" customHeight="1" x14ac:dyDescent="0.2">
      <c r="B67" s="4" t="s">
        <v>1561</v>
      </c>
      <c r="C67" s="8" t="str">
        <f>IF(ISBLANK(input_mgmt_az1_en1_fqdn),"Value Missing",input_mgmt_az1_en1_fqdn)</f>
        <v>Value Missing</v>
      </c>
      <c r="E67" s="4" t="s">
        <v>1606</v>
      </c>
      <c r="F67" s="8" t="str">
        <f>IF(ISBLANK('Deploy Workload Domain'!D173),"Value Missing",'Deploy Workload Domain'!D173)</f>
        <v>Value Missing</v>
      </c>
      <c r="H67" s="23" t="s">
        <v>228</v>
      </c>
      <c r="I67" s="8" t="str">
        <f>IF(ISBLANK(input_cluster_az1_host11_mgmt_ip),"Value Missing",input_cluster_az1_host11_mgmt_ip)</f>
        <v>Value Missing</v>
      </c>
      <c r="K67" s="4" t="s">
        <v>1622</v>
      </c>
      <c r="L67" s="8" t="str">
        <f>IF(ISBLANK(input_child_dns_zone),"Value Missing",input_child_dns_zone)</f>
        <v>Value Missing</v>
      </c>
      <c r="N67" s="4" t="s">
        <v>1626</v>
      </c>
      <c r="O67" s="8" t="str">
        <f>IF(ISBLANK('Configure Workload Domain'!D40),"Value Missing",'Configure Workload Domain'!D40)</f>
        <v>Large</v>
      </c>
      <c r="Q67" s="200" t="s">
        <v>254</v>
      </c>
      <c r="R67" s="201" t="s">
        <v>20</v>
      </c>
      <c r="T67" s="4" t="s">
        <v>1641</v>
      </c>
      <c r="U67" s="8" t="str">
        <f>IF(ISBLANK(input_mgmt_vrms_p12_password),"Value Missing",input_mgmt_vrms_p12_password)</f>
        <v>Value Missing</v>
      </c>
      <c r="V67" s="3"/>
    </row>
    <row r="68" spans="2:27" s="2" customFormat="1" ht="20" customHeight="1" x14ac:dyDescent="0.2">
      <c r="B68" s="4" t="s">
        <v>1567</v>
      </c>
      <c r="C68" s="8" t="str">
        <f>IF(ISBLANK(input_mgmt_az1_en2_fqdn),"Value Missing",input_mgmt_az1_en2_fqdn)</f>
        <v>Value Missing</v>
      </c>
      <c r="E68" s="4" t="s">
        <v>1609</v>
      </c>
      <c r="F68" s="8" t="str">
        <f>IF(ISBLANK(input_wld_cl01_evc_mode),"Value Missing",input_wld_cl01_evc_mode)</f>
        <v>Value Missing</v>
      </c>
      <c r="H68" s="23" t="s">
        <v>230</v>
      </c>
      <c r="I68" s="8" t="str">
        <f>IF(ISBLANK(input_cluster_az1_host12_mgmt_ip),"Value Missing",input_cluster_az1_host12_mgmt_ip)</f>
        <v>Value Missing</v>
      </c>
      <c r="K68" s="4" t="s">
        <v>1625</v>
      </c>
      <c r="L68" s="8" t="str">
        <f>IF(ISBLANK(input_witness_dns_zone),"Value Missing",input_witness_dns_zone)</f>
        <v>Value Missing</v>
      </c>
      <c r="N68" s="4" t="s">
        <v>1631</v>
      </c>
      <c r="O68" s="8" t="str">
        <f>IF(ISBLANK('Configure Workload Domain'!D99),"Value Missing",'Configure Workload Domain'!D99)</f>
        <v>Value Missing</v>
      </c>
      <c r="Q68" s="23" t="s">
        <v>1581</v>
      </c>
      <c r="R68" s="8" t="str">
        <f>(CONCATENATE('Value Reference Tables'!R61,".",(IF(ISBLANK(Arkham!C$11),"Value Missing",Arkham!C$11))))</f>
        <v>.Value Missing</v>
      </c>
      <c r="T68" s="4" t="s">
        <v>1645</v>
      </c>
      <c r="U68" s="8"/>
    </row>
    <row r="69" spans="2:27" s="2" customFormat="1" ht="20" customHeight="1" x14ac:dyDescent="0.2">
      <c r="B69" s="4" t="s">
        <v>1455</v>
      </c>
      <c r="C69" s="8" t="str">
        <f>IF(ISBLANK(input_mgmt_avilb_fqdn),"Value Missing",input_mgmt_avilb_fqdn)</f>
        <v>Value Missing</v>
      </c>
      <c r="H69" s="23" t="s">
        <v>232</v>
      </c>
      <c r="I69" s="8" t="str">
        <f>IF(ISBLANK(input_cluster_az1_host13_mgmt_ip),"Value Missing",input_cluster_az1_host13_mgmt_ip)</f>
        <v>Value Missing</v>
      </c>
      <c r="N69" s="4" t="s">
        <v>1637</v>
      </c>
      <c r="O69" s="8"/>
      <c r="Q69" s="23" t="s">
        <v>1584</v>
      </c>
      <c r="R69" s="8" t="str">
        <f>(CONCATENATE('Value Reference Tables'!R62,".",(IF(ISBLANK(Arkham!C$11),"Value Missing",Arkham!C$11))))</f>
        <v>.Value Missing</v>
      </c>
      <c r="T69" s="4" t="s">
        <v>1649</v>
      </c>
      <c r="U69" s="8" t="str">
        <f>IF(ISBLANK(input_mgmt_srm_vm_folder),"Value Missing",input_mgmt_srm_vm_folder)</f>
        <v>Value Missing</v>
      </c>
    </row>
    <row r="70" spans="2:27" s="2" customFormat="1" ht="20" customHeight="1" x14ac:dyDescent="0.2">
      <c r="B70" s="4" t="s">
        <v>1552</v>
      </c>
      <c r="C70" s="8" t="str">
        <f>IF(ISBLANK(input_flt_vidb_vip_fqdn),"Value Missing",input_flt_vidb_vip_fqdn)</f>
        <v>Value Missing</v>
      </c>
      <c r="E70" s="633" t="s">
        <v>1616</v>
      </c>
      <c r="F70" s="634"/>
      <c r="H70" s="23" t="s">
        <v>234</v>
      </c>
      <c r="I70" s="8" t="str">
        <f>IF(ISBLANK(input_cluster_az1_host14_mgmt_ip),"Value Missing",input_cluster_az1_host14_mgmt_ip)</f>
        <v>Value Missing</v>
      </c>
      <c r="K70" s="220" t="s">
        <v>1636</v>
      </c>
      <c r="L70" s="220"/>
      <c r="N70" s="4" t="s">
        <v>172</v>
      </c>
      <c r="O70" s="8" t="e">
        <f>IF(ISBLANK(input_wld_vpc_ext_ip_blocks),"Value Missing",input_wld_vpc_ext_ip_blocks)</f>
        <v>#NAME?</v>
      </c>
      <c r="Q70" s="23" t="s">
        <v>1588</v>
      </c>
      <c r="R70" s="8" t="str">
        <f>(CONCATENATE('Value Reference Tables'!R63,".",(IF(ISBLANK(Arkham!C$11),"Value Missing",Arkham!C$11))))</f>
        <v>.Value Missing</v>
      </c>
      <c r="T70" s="4" t="s">
        <v>1654</v>
      </c>
      <c r="U70" s="8" t="str">
        <f>IF(ISBLANK(input_mgmt_srm_root_password),"Value Missing",input_mgmt_srm_root_password)</f>
        <v>Value Missing</v>
      </c>
      <c r="V70" s="3"/>
    </row>
    <row r="71" spans="2:27" s="2" customFormat="1" ht="20" customHeight="1" x14ac:dyDescent="0.2">
      <c r="B71" s="4" t="s">
        <v>3755</v>
      </c>
      <c r="C71" s="66" t="str">
        <f>IF(ISBLANK(input_flt_lc_fqdn),"Value Missing",input_flt_lc_fqdn)</f>
        <v>Value Missing</v>
      </c>
      <c r="E71" s="223" t="s">
        <v>254</v>
      </c>
      <c r="F71" s="223" t="s">
        <v>1621</v>
      </c>
      <c r="H71" s="23" t="s">
        <v>236</v>
      </c>
      <c r="I71" s="8" t="str">
        <f>IF(ISBLANK(input_cluster_az1_host15_mgmt_ip),"Value Missing",input_cluster_az1_host15_mgmt_ip)</f>
        <v>Value Missing</v>
      </c>
      <c r="K71" s="200" t="s">
        <v>254</v>
      </c>
      <c r="L71" s="201" t="s">
        <v>20</v>
      </c>
      <c r="N71" s="4" t="s">
        <v>174</v>
      </c>
      <c r="O71" s="8" t="e">
        <f>IF(ISBLANK(input_wld_vpc_transit_gateway_ip_blocks),"Value Missing",input_wld_vpc_transit_gateway_ip_blocks)</f>
        <v>#NAME?</v>
      </c>
      <c r="Q71" s="23" t="s">
        <v>1593</v>
      </c>
      <c r="R71" s="8" t="str">
        <f>(CONCATENATE('Value Reference Tables'!R64,".",(IF(ISBLANK(Arkham!C$11),"Value Missing",Arkham!C$11))))</f>
        <v>.Value Missing</v>
      </c>
      <c r="T71" s="4" t="s">
        <v>1659</v>
      </c>
      <c r="U71" s="8" t="str">
        <f>IF(ISBLANK(input_mgmt_srm_admin_password),"Value Missing",input_mgmt_srm_admin_password)</f>
        <v>Value Missing</v>
      </c>
      <c r="V71" s="3"/>
    </row>
    <row r="72" spans="2:27" s="2" customFormat="1" ht="20" customHeight="1" x14ac:dyDescent="0.2">
      <c r="B72" s="4" t="s">
        <v>3753</v>
      </c>
      <c r="C72" s="66" t="str">
        <f>IF(ISBLANK(input_flt_sr_fqdn),"Value Missing",input_flt_sr_fqdn)</f>
        <v>Value Missing</v>
      </c>
      <c r="E72" s="4" t="s">
        <v>1624</v>
      </c>
      <c r="F72" s="8" t="str">
        <f>IF(ISBLANK(wld_cl01_vds_profile_chosen),"Value Missing",wld_cl01_vds_profile_chosen)</f>
        <v>Default</v>
      </c>
      <c r="H72" s="23" t="s">
        <v>238</v>
      </c>
      <c r="I72" s="8" t="str">
        <f>IF(ISBLANK(input_cluster_az1_host16_mgmt_ip),"Value Missing",input_cluster_az1_host16_mgmt_ip)</f>
        <v>Value Missing</v>
      </c>
      <c r="K72" s="4" t="s">
        <v>1644</v>
      </c>
      <c r="L72" s="8" t="str">
        <f>IF(ISBLANK('Active Directory Inputs'!E8),"Value Missing",'Active Directory Inputs'!E8)</f>
        <v>Value Missing</v>
      </c>
      <c r="N72" s="4" t="s">
        <v>1488</v>
      </c>
      <c r="O72" s="8" t="str">
        <f t="array" ref="O72">IF(ISBLANK(input_wld_avilb_cluster_name),"Value Missing",input_wld_avilb_cluster_name)</f>
        <v>Value Missing</v>
      </c>
      <c r="Q72" s="9"/>
      <c r="R72" s="9"/>
      <c r="T72" s="4" t="s">
        <v>1662</v>
      </c>
      <c r="U72" s="8" t="str">
        <f>IF(ISBLANK(input_mgmt_srm_database_password),"Value Missing",input_mgmt_srm_database_password)</f>
        <v>Value Missing</v>
      </c>
      <c r="V72" s="3"/>
    </row>
    <row r="73" spans="2:27" s="2" customFormat="1" ht="20" customHeight="1" x14ac:dyDescent="0.2">
      <c r="B73" s="4" t="s">
        <v>3754</v>
      </c>
      <c r="C73" s="66" t="str">
        <f>IF(ISBLANK(input_flt_ic_fqdn),"Value Missing",input_flt_ic_fqdn)</f>
        <v>Value Missing</v>
      </c>
      <c r="E73" s="223" t="s">
        <v>749</v>
      </c>
      <c r="F73" s="223" t="s">
        <v>20</v>
      </c>
      <c r="H73" s="23" t="s">
        <v>243</v>
      </c>
      <c r="I73" s="8" t="str">
        <f>IF(ISBLANK(input_cluster_az1_pool_name),"Value Missing",input_cluster_az1_pool_name)</f>
        <v>Value Missing</v>
      </c>
      <c r="K73" s="4" t="s">
        <v>1648</v>
      </c>
      <c r="L73" s="8" t="str">
        <f>IF(ISBLANK('Active Directory Inputs'!E9),"Value Missing",'Active Directory Inputs'!E9)</f>
        <v>Value Missing</v>
      </c>
      <c r="N73" s="4" t="s">
        <v>1653</v>
      </c>
      <c r="O73" s="8" t="str">
        <f>IF(ISBLANK(input_wld_avilb_cluster_version),"Value Missing",input_wld_avilb_cluster_version)</f>
        <v>Value Missing</v>
      </c>
      <c r="Q73" s="630" t="s">
        <v>1658</v>
      </c>
      <c r="R73" s="631"/>
      <c r="T73" s="4" t="s">
        <v>1667</v>
      </c>
      <c r="U73" s="8" t="str">
        <f>IF(ISBLANK(input_mgmt_srm_site_name),"Value Missing",input_mgmt_srm_site_name)</f>
        <v>Value Missing</v>
      </c>
      <c r="V73" s="3"/>
    </row>
    <row r="74" spans="2:27" s="2" customFormat="1" ht="20" customHeight="1" x14ac:dyDescent="0.2">
      <c r="B74" s="4" t="s">
        <v>3756</v>
      </c>
      <c r="C74" s="8"/>
      <c r="E74" s="4" t="s">
        <v>1634</v>
      </c>
      <c r="F74" s="8" t="str">
        <f>IF(ISBLANK(input_wld_cl01_vds01_name),"Value Missing",input_wld_cl01_vds01_name)</f>
        <v>Value Missing</v>
      </c>
      <c r="H74" s="223" t="s">
        <v>1635</v>
      </c>
      <c r="I74" s="223"/>
      <c r="N74" s="4" t="s">
        <v>1441</v>
      </c>
      <c r="O74" s="8" t="str">
        <f>IF(ISBLANK(input_wld_nsxt_global_mgr_vmca_signed_thumbprint),"Value Missing",input_wld_nsxt_global_mgr_vmca_signed_thumbprint)</f>
        <v>Value Missing</v>
      </c>
      <c r="Q74" s="224" t="s">
        <v>254</v>
      </c>
      <c r="R74" s="224" t="s">
        <v>20</v>
      </c>
      <c r="T74" s="4" t="s">
        <v>1672</v>
      </c>
      <c r="U74" s="8" t="str">
        <f>IF(ISBLANK(input_mgmt_srm_admin_email),"Value Missing",input_mgmt_srm_admin_email)</f>
        <v>Value Missing</v>
      </c>
    </row>
    <row r="75" spans="2:27" s="2" customFormat="1" ht="20" customHeight="1" x14ac:dyDescent="0.2">
      <c r="E75" s="228" t="s">
        <v>1640</v>
      </c>
      <c r="F75" s="8" t="str">
        <f>IF(ISBLANK(input_wld_cl01_vds01_pnics),"Value Missing",input_wld_cl01_vds01_pnics)</f>
        <v>Value Missing</v>
      </c>
      <c r="H75" s="23" t="s">
        <v>208</v>
      </c>
      <c r="I75" s="8" t="str">
        <f>IF(ISBLANK(input_cluster_az1_host1_fqdn),"Value Missing",input_cluster_az1_host1_fqdn)</f>
        <v>Value Missing</v>
      </c>
      <c r="K75" s="220" t="s">
        <v>1657</v>
      </c>
      <c r="L75" s="220"/>
      <c r="N75" s="4" t="s">
        <v>1446</v>
      </c>
      <c r="O75" s="8" t="str">
        <f>IF(ISBLANK(input_wld_nsxt_global_mgr_cluster_id),"Value Missing",input_wld_nsxt_global_mgr_cluster_id)</f>
        <v>Value Missing</v>
      </c>
      <c r="Q75" s="23" t="s">
        <v>1666</v>
      </c>
      <c r="R75" s="8" t="str">
        <f>IF(ISBLANK(input_xreg_vrops_virtual_ip),"Value Missing",input_xreg_vrops_virtual_ip)</f>
        <v>Value Missing</v>
      </c>
      <c r="T75" s="4" t="s">
        <v>1676</v>
      </c>
      <c r="U75" s="8" t="str">
        <f>IF(ISBLANK(input_mgmt_srm_p12_password),"Value Missing",input_mgmt_srm_p12_password)</f>
        <v>Value Missing</v>
      </c>
    </row>
    <row r="76" spans="2:27" s="2" customFormat="1" ht="20" customHeight="1" x14ac:dyDescent="0.2">
      <c r="B76" s="225" t="s">
        <v>1630</v>
      </c>
      <c r="C76" s="227"/>
      <c r="E76" s="4" t="s">
        <v>1643</v>
      </c>
      <c r="F76" s="8" t="str">
        <f>IF(ISBLANK(input_wld_cl01_vds01_uplink_count),"Value Missing",input_wld_cl01_vds01_uplink_count)</f>
        <v>Value Missing</v>
      </c>
      <c r="H76" s="23" t="s">
        <v>210</v>
      </c>
      <c r="I76" s="8" t="str">
        <f>IF(ISBLANK(input_cluster_az1_host2_fqdn),"Value Missing",input_cluster_az1_host2_fqdn)</f>
        <v>Value Missing</v>
      </c>
      <c r="K76" s="200" t="s">
        <v>254</v>
      </c>
      <c r="L76" s="201" t="s">
        <v>20</v>
      </c>
      <c r="N76" s="4" t="s">
        <v>1450</v>
      </c>
      <c r="O76" s="8" t="str">
        <f>IF(ISBLANK('Configure Workload Domain'!D505),"Value Missing",'Configure Workload Domain'!D505)</f>
        <v>Value Missing</v>
      </c>
      <c r="Q76" s="23" t="s">
        <v>1671</v>
      </c>
      <c r="R76" s="8" t="str">
        <f>IF(ISBLANK(input_xreg_vrops_nodea_ip),"Value Missing",input_xreg_vrops_nodea_ip)</f>
        <v>Value Missing</v>
      </c>
      <c r="T76" s="4" t="s">
        <v>1680</v>
      </c>
      <c r="U76" s="8" t="str">
        <f>IF(ISBLANK(input_mgmt_srm_vm_size),"Value Missing",input_mgmt_srm_vm_size)</f>
        <v>Standard</v>
      </c>
      <c r="V76" s="3"/>
    </row>
    <row r="77" spans="2:27" s="2" customFormat="1" ht="20" customHeight="1" x14ac:dyDescent="0.2">
      <c r="B77" s="223" t="s">
        <v>254</v>
      </c>
      <c r="C77" s="223" t="s">
        <v>20</v>
      </c>
      <c r="E77" s="4" t="s">
        <v>1647</v>
      </c>
      <c r="F77" s="8" t="str">
        <f t="array" ref="F77">IF(ISBLANK(input_wld_cl01_vds01_mtu),"Value Missing",input_wld_cl01_vds01_mtu)</f>
        <v>Value Missing</v>
      </c>
      <c r="H77" s="23" t="s">
        <v>212</v>
      </c>
      <c r="I77" s="8" t="str">
        <f>IF(ISBLANK(input_cluster_az1_host3_fqdn),"Value Missing",input_cluster_az1_host3_fqdn)</f>
        <v>Value Missing</v>
      </c>
      <c r="K77" s="4" t="s">
        <v>1644</v>
      </c>
      <c r="L77" s="8" t="str">
        <f>IF(ISBLANK('Active Directory Inputs'!G8),"Value Missing",'Active Directory Inputs'!G8)</f>
        <v>Value Missing</v>
      </c>
      <c r="N77" s="4" t="s">
        <v>1453</v>
      </c>
      <c r="O77" s="8" t="str">
        <f>IF(ISBLANK('Configure Workload Domain'!D523),"Value Missing",'Configure Workload Domain'!D523)</f>
        <v>Value Missing</v>
      </c>
      <c r="Q77" s="23" t="s">
        <v>1675</v>
      </c>
      <c r="R77" s="8" t="str">
        <f>IF(ISBLANK(input_xreg_vrops_nodeb_ip),"Value Missing",input_xreg_vrops_nodeb_ip)</f>
        <v>Value Missing</v>
      </c>
      <c r="T77" s="4" t="s">
        <v>1684</v>
      </c>
      <c r="U77" s="8" t="str">
        <f>IF(ISBLANK(input_mgmt_srm_rpo),"Value Missing",input_mgmt_srm_rpo)</f>
        <v>Value Missing</v>
      </c>
      <c r="V77" s="3"/>
    </row>
    <row r="78" spans="2:27" s="2" customFormat="1" ht="20" customHeight="1" x14ac:dyDescent="0.2">
      <c r="B78" s="28" t="s">
        <v>1415</v>
      </c>
      <c r="C78" s="8" t="str">
        <f>(CONCATENATE('Value Reference Tables'!C175,".",(IF(ISBLANK(Arkham!C$11),"Value Missing",Arkham!C$11))))</f>
        <v>Value Missing.Value Missing</v>
      </c>
      <c r="E78" s="4" t="s">
        <v>1652</v>
      </c>
      <c r="F78" s="8" t="str">
        <f>IF(wld_cl01_vds_profile_chosen&lt;&gt;"Custom","Route Based on Physicial Nic Load","Value Missing")</f>
        <v>Route Based on Physicial Nic Load</v>
      </c>
      <c r="H78" s="23" t="s">
        <v>214</v>
      </c>
      <c r="I78" s="8" t="str">
        <f>IF(ISBLANK(input_cluster_az1_host4_fqdn),"Value Missing",input_cluster_az1_host4_fqdn)</f>
        <v>Value Missing</v>
      </c>
      <c r="K78" s="4" t="s">
        <v>1648</v>
      </c>
      <c r="L78" s="8" t="str">
        <f>IF(ISBLANK('Active Directory Inputs'!G9),"Value Missing",'Active Directory Inputs'!G9)</f>
        <v>Value Missing</v>
      </c>
      <c r="N78" s="4" t="s">
        <v>1674</v>
      </c>
      <c r="O78" s="8" t="str">
        <f>IF(ISBLANK(input_wld_az1_rtep_ip_pool_name),"Value Missing",input_wld_az1_rtep_ip_pool_name)</f>
        <v>Value Missing</v>
      </c>
      <c r="Q78" s="23" t="s">
        <v>1679</v>
      </c>
      <c r="R78" s="8" t="str">
        <f>IF(ISBLANK(input_xreg_vrops_nodec_ip),"Value Missing",input_xreg_vrops_nodec_ip)</f>
        <v>Value Missing</v>
      </c>
      <c r="T78" s="4" t="s">
        <v>1688</v>
      </c>
      <c r="U78" s="8" t="str">
        <f>IF(ISBLANK(input_mgmt_srm_instances_per_day),"Value Missing",input_mgmt_srm_instances_per_day)</f>
        <v>Value Missing</v>
      </c>
      <c r="V78" s="3"/>
    </row>
    <row r="79" spans="2:27" s="2" customFormat="1" ht="20" customHeight="1" x14ac:dyDescent="0.2">
      <c r="B79" s="28" t="s">
        <v>271</v>
      </c>
      <c r="C79" s="8" t="str">
        <f>IF(ISBLANK(input_mgmt_witness_fqdn),"Value Missing",input_mgmt_witness_fqdn)</f>
        <v>Value Missing</v>
      </c>
      <c r="E79" s="4" t="s">
        <v>1656</v>
      </c>
      <c r="F79" s="8" t="str">
        <f>IF(wld_cl01_vds_profile_chosen="Default",CONCATENATE("Management ","vMotion ",IF(wld_principal_storage_chosen="NFSv3","NFS ",IF(wld_principal_storage_chosen="VMFS on Fibre Channel (FC)","","vSAN ")),"NSX-Overlay"),
IF(wld_cl01_vds_profile_chosen="Storage Traffic Separation","Management, vMotion, NSX-Overlay",
IF(wld_cl01_vds_profile_chosen="NSX Traffic Separation",CONCATENATE("Management ","vMotion ",IF(wld_principal_storage_chosen="NFSv3","NFS",IF(wld_principal_storage_chosen="VMFS on Fibre Channel (FC)","","vSAN"))),
IF(wld_cl01_vds_profile_chosen="Storage Traffic and NSX Traffic Separation","Management, vMotion",
IF(wld_cl01_vds_profile_chosen="vSAN Max Storage Traffic Separation","Management, vMotion, vSAN Storage Client, NSX-Overlay",
IF(wld_cl01_vds_profile_chosen="vSAN Max Storage Traffic and NSX Traffic Separation","Management, vMotion, vSAN Storage Client","Value Missing"))))))</f>
        <v>Management vMotion vSAN NSX-Overlay</v>
      </c>
      <c r="H79" s="23" t="s">
        <v>216</v>
      </c>
      <c r="I79" s="8" t="str">
        <f>IF(ISBLANK(input_cluster_az1_host5_fqdn),"Value Missing",input_cluster_az1_host5_fqdn)</f>
        <v>Value Missing</v>
      </c>
      <c r="N79" s="4" t="s">
        <v>1457</v>
      </c>
      <c r="O79" s="8" t="str">
        <f>IF(ISBLANK(input_wld_nsxt_federation_global_manager_name),"Value Missing",input_wld_nsxt_federation_global_manager_name)</f>
        <v>Value Missing</v>
      </c>
      <c r="Q79" s="23" t="s">
        <v>1683</v>
      </c>
      <c r="R79" s="8" t="str">
        <f>IF(ISBLANK(input_xreg_vrops_collector_ip),"Value Missing",input_xreg_vrops_collector_ip)</f>
        <v>Value Missing</v>
      </c>
      <c r="T79" s="4" t="s">
        <v>1692</v>
      </c>
      <c r="U79" s="8" t="str">
        <f>IF(ISBLANK(input_mgmt_srm_days),"Value Missing",input_mgmt_srm_days)</f>
        <v>Value Missing</v>
      </c>
      <c r="V79" s="3"/>
      <c r="Z79" s="9"/>
      <c r="AA79" s="9"/>
    </row>
    <row r="80" spans="2:27" s="2" customFormat="1" ht="20" customHeight="1" x14ac:dyDescent="0.2">
      <c r="E80" s="4" t="s">
        <v>3584</v>
      </c>
      <c r="F80" s="8" t="str">
        <f>IF(ISBLANK(input_wld_cl01_vds01_lag_name),"Value Missing",input_wld_cl01_vds01_lag_name)</f>
        <v>Value Missing</v>
      </c>
      <c r="H80" s="23" t="s">
        <v>218</v>
      </c>
      <c r="I80" s="8" t="str">
        <f>IF(ISBLANK(input_cluster_az1_host6_fqdn),"Value Missing",input_cluster_az1_host6_fqdn)</f>
        <v>Value Missing</v>
      </c>
      <c r="K80" s="220" t="s">
        <v>1678</v>
      </c>
      <c r="L80" s="220"/>
      <c r="N80" s="4" t="s">
        <v>1461</v>
      </c>
      <c r="O80" s="8" t="str">
        <f>IF(ISBLANK('Configure Workload Domain'!D564),"Value Missing",'Configure Workload Domain'!D564)</f>
        <v>Value Missing</v>
      </c>
      <c r="Q80" s="6"/>
      <c r="T80" s="4" t="s">
        <v>1696</v>
      </c>
      <c r="U80" s="8" t="str">
        <f>IF(ISBLANK(input_mgmt_srm_vrslcm_wsa_pg),"Value Missing",input_mgmt_srm_vrslcm_wsa_pg)</f>
        <v>Value Missing</v>
      </c>
      <c r="V80" s="3"/>
    </row>
    <row r="81" spans="2:27" s="2" customFormat="1" ht="20" customHeight="1" x14ac:dyDescent="0.2">
      <c r="B81" s="633" t="s">
        <v>1651</v>
      </c>
      <c r="C81" s="635"/>
      <c r="E81" s="223" t="s">
        <v>788</v>
      </c>
      <c r="F81" s="223" t="s">
        <v>20</v>
      </c>
      <c r="H81" s="23" t="s">
        <v>220</v>
      </c>
      <c r="I81" s="8" t="str">
        <f>IF(ISBLANK(input_cluster_az1_host7_fqdn),"Value Missing",input_cluster_az1_host7_fqdn)</f>
        <v>Value Missing</v>
      </c>
      <c r="K81" s="200" t="s">
        <v>254</v>
      </c>
      <c r="L81" s="201" t="s">
        <v>20</v>
      </c>
      <c r="N81" s="4" t="s">
        <v>1687</v>
      </c>
      <c r="O81" s="8" t="str">
        <f>IF(ISBLANK('Configure Workload Domain'!D562),"Value Missing",'Configure Workload Domain'!D562)</f>
        <v>Value Missing</v>
      </c>
      <c r="Q81" s="630" t="s">
        <v>1691</v>
      </c>
      <c r="R81" s="631"/>
      <c r="T81" s="4" t="s">
        <v>1701</v>
      </c>
      <c r="U81" s="8" t="str">
        <f>IF(ISBLANK(input_mgmt_srm_vrslcm_wsa_rp),"Value Missing",input_mgmt_srm_vrslcm_wsa_rp)</f>
        <v>Value Missing</v>
      </c>
      <c r="V81" s="3"/>
    </row>
    <row r="82" spans="2:27" s="2" customFormat="1" ht="20" customHeight="1" x14ac:dyDescent="0.2">
      <c r="B82" s="223" t="s">
        <v>254</v>
      </c>
      <c r="C82" s="223" t="s">
        <v>20</v>
      </c>
      <c r="E82" s="4" t="s">
        <v>1665</v>
      </c>
      <c r="F82" s="8" t="str">
        <f>IF(ISBLANK(input_wld_cl01_vds02_name),"Value Missing",input_wld_cl01_vds02_name)</f>
        <v>Value Missing</v>
      </c>
      <c r="H82" s="23" t="s">
        <v>222</v>
      </c>
      <c r="I82" s="8" t="str">
        <f>IF(ISBLANK(input_cluster_az1_host8_fqdn),"Value Missing",input_cluster_az1_host8_fqdn)</f>
        <v>Value Missing</v>
      </c>
      <c r="K82" s="4" t="s">
        <v>1644</v>
      </c>
      <c r="L82" s="8" t="str">
        <f>IF(ISBLANK('Active Directory Inputs'!E10),"Value Missing",'Active Directory Inputs'!E10)</f>
        <v>Value Missing</v>
      </c>
      <c r="N82" s="4" t="s">
        <v>1690</v>
      </c>
      <c r="O82" s="8" t="str">
        <f>IF(ISBLANK('Configure Workload Domain'!D551),"Value Missing",'Configure Workload Domain'!D551)</f>
        <v>Value Missing</v>
      </c>
      <c r="Q82" s="224" t="s">
        <v>254</v>
      </c>
      <c r="R82" s="224" t="s">
        <v>20</v>
      </c>
      <c r="T82" s="4" t="s">
        <v>1706</v>
      </c>
      <c r="U82" s="8" t="str">
        <f>IF(ISBLANK(input_mgmt_srm_vrops_pg),"Value Missing",input_mgmt_srm_vrops_pg)</f>
        <v>Value Missing</v>
      </c>
      <c r="V82" s="3"/>
    </row>
    <row r="83" spans="2:27" s="2" customFormat="1" ht="20" customHeight="1" x14ac:dyDescent="0.2">
      <c r="B83" s="4" t="s">
        <v>1661</v>
      </c>
      <c r="C83" s="8" t="str">
        <f>IF(ISBLANK(input_mgmt_datacenter),"Value Missing",input_mgmt_datacenter)</f>
        <v>Value Missing</v>
      </c>
      <c r="E83" s="228" t="s">
        <v>1670</v>
      </c>
      <c r="F83" s="8" t="str">
        <f>IF(input_wld_cl01_vds02_pnics="","Value Missing",input_wld_cl01_vds02_pnics)</f>
        <v>Value Missing</v>
      </c>
      <c r="H83" s="23" t="s">
        <v>224</v>
      </c>
      <c r="I83" s="8" t="str">
        <f>IF(ISBLANK(input_cluster_az1_host9_fqdn),"Value Missing",input_cluster_az1_host9_fqdn)</f>
        <v>Value Missing</v>
      </c>
      <c r="K83" s="4" t="s">
        <v>1648</v>
      </c>
      <c r="L83" s="8" t="str">
        <f>IF(ISBLANK('Active Directory Inputs'!E11),"Value Missing",'Active Directory Inputs'!E11)</f>
        <v>Value Missing</v>
      </c>
      <c r="N83" s="4" t="s">
        <v>1471</v>
      </c>
      <c r="O83" s="8" t="str">
        <f>IF(ISBLANK('Configure Workload Domain'!D576),"Value Missing",'Configure Workload Domain'!D576)</f>
        <v>Value Missing</v>
      </c>
      <c r="Q83" s="23" t="s">
        <v>1666</v>
      </c>
      <c r="R83" s="8" t="str">
        <f>IF(xreg_vrops_virtual_fqdn="Value Missing",xreg_vrops_virtual_fqdn,LEFT(xreg_vrops_virtual_fqdn,FIND(".",xreg_vrops_virtual_fqdn)-1))</f>
        <v>Value Missing</v>
      </c>
      <c r="T83" s="4" t="s">
        <v>1709</v>
      </c>
      <c r="U83" s="8" t="str">
        <f>IF(ISBLANK(input_mgmt_srm_vrops_rp),"Value Missing",input_mgmt_srm_vrops_rp)</f>
        <v>Value Missing</v>
      </c>
      <c r="V83" s="3"/>
    </row>
    <row r="84" spans="2:27" s="2" customFormat="1" ht="20" customHeight="1" x14ac:dyDescent="0.2">
      <c r="B84" s="4" t="s">
        <v>1664</v>
      </c>
      <c r="C84" s="8" t="str">
        <f>IF(ISBLANK(input_mgmt_cl01_cluster),"Value Missing",input_mgmt_cl01_cluster)</f>
        <v>Value Missing</v>
      </c>
      <c r="E84" s="4" t="s">
        <v>1673</v>
      </c>
      <c r="F84" s="8" t="str">
        <f t="array" ref="F84">IF(ISBLANK(input_wld_cl01_vds02_uplink_count),"Value Missing",input_wld_cl01_vds02_uplink_count)</f>
        <v>Value Missing</v>
      </c>
      <c r="H84" s="23" t="s">
        <v>226</v>
      </c>
      <c r="I84" s="8" t="str">
        <f>IF(ISBLANK(input_cluster_az1_host10_fqdn),"Value Missing",input_cluster_az1_host10_fqdn)</f>
        <v>Value Missing</v>
      </c>
      <c r="N84" s="4" t="s">
        <v>1477</v>
      </c>
      <c r="O84" s="8" t="str">
        <f>IF(ISBLANK('Configure Workload Domain'!D583),"Value Missing",'Configure Workload Domain'!D583)</f>
        <v>Value Missing</v>
      </c>
      <c r="Q84" s="23" t="s">
        <v>1671</v>
      </c>
      <c r="R84" s="8" t="str">
        <f>IF(xreg_vrops_nodea_fqdn="Value Missing",xreg_vrops_nodea_fqdn,LEFT(xreg_vrops_nodea_fqdn,FIND(".",xreg_vrops_nodea_fqdn)-1))</f>
        <v>Value Missing</v>
      </c>
      <c r="T84" s="4" t="s">
        <v>1713</v>
      </c>
      <c r="U84" s="8" t="str">
        <f>IF(ISBLANK(input_mgmt_srm_vra_pg),"Value Missing",input_mgmt_srm_vra_pg)</f>
        <v>Value Missing</v>
      </c>
      <c r="V84" s="3"/>
      <c r="Z84" s="9"/>
      <c r="AA84" s="9"/>
    </row>
    <row r="85" spans="2:27" s="2" customFormat="1" ht="20" customHeight="1" x14ac:dyDescent="0.2">
      <c r="B85" s="4" t="s">
        <v>1669</v>
      </c>
      <c r="C85" s="8" t="e">
        <f>IF(ISBLANK('Deploy Management Domain'!#REF!),"Value Missing",'Deploy Management Domain'!#REF!)</f>
        <v>#REF!</v>
      </c>
      <c r="E85" s="4" t="s">
        <v>1677</v>
      </c>
      <c r="F85" s="8" t="str">
        <f>IF(input_wld_cl01_vds02_mtu="","Value Missing",input_wld_cl01_vds02_mtu)</f>
        <v>Value Missing</v>
      </c>
      <c r="H85" s="23" t="s">
        <v>228</v>
      </c>
      <c r="I85" s="8" t="str">
        <f>IF(ISBLANK(input_cluster_az1_host11_fqdn),"Value Missing",input_cluster_az1_host11_fqdn)</f>
        <v>Value Missing</v>
      </c>
      <c r="K85" s="220" t="s">
        <v>1700</v>
      </c>
      <c r="L85" s="220"/>
      <c r="N85" s="4" t="s">
        <v>1483</v>
      </c>
      <c r="O85" s="8" t="str">
        <f>IF(ISBLANK(input_wld_existing_cross_instance_t0_name),"Value Missing",input_wld_existing_cross_instance_t0_name)</f>
        <v>Value Missing</v>
      </c>
      <c r="Q85" s="23" t="s">
        <v>1708</v>
      </c>
      <c r="R85" s="8" t="str">
        <f>IF(xreg_vrops_nodeb_fqdn="Value Missing",xreg_vrops_nodeb_fqdn,LEFT(xreg_vrops_nodeb_fqdn,FIND(".",xreg_vrops_nodeb_fqdn)-1))</f>
        <v>Value Missing</v>
      </c>
      <c r="T85" s="4" t="s">
        <v>1717</v>
      </c>
      <c r="U85" s="8" t="str">
        <f>IF(ISBLANK(input_mgmt_srm_vra_rp),"Value Missing",input_mgmt_srm_vra_rp)</f>
        <v>Value Missing</v>
      </c>
      <c r="V85" s="3"/>
    </row>
    <row r="86" spans="2:27" s="2" customFormat="1" ht="20" customHeight="1" x14ac:dyDescent="0.2">
      <c r="B86" s="8" t="s">
        <v>1694</v>
      </c>
      <c r="C86" s="8" t="str">
        <f>IF(ISBLANK(input_mgmt_sso_domain),"Value Missing",input_mgmt_sso_domain)</f>
        <v>Value Missing</v>
      </c>
      <c r="E86" s="4" t="s">
        <v>1682</v>
      </c>
      <c r="F86" s="8" t="str">
        <f>IF(wld_cl01_vds_profile_chosen="Default","Value Missing",IF(wld_cl01_vds_profile_chosen&lt;&gt;"Custom","Route Based on Physical Nic Load","Value Missing"))</f>
        <v>Value Missing</v>
      </c>
      <c r="H86" s="23" t="s">
        <v>230</v>
      </c>
      <c r="I86" s="8" t="str">
        <f>IF(ISBLANK(input_cluster_az1_host12_fqdn),"Value Missing",input_cluster_az1_host12_fqdn)</f>
        <v>Value Missing</v>
      </c>
      <c r="K86" s="200" t="s">
        <v>254</v>
      </c>
      <c r="L86" s="201" t="s">
        <v>20</v>
      </c>
      <c r="N86" s="4" t="s">
        <v>1215</v>
      </c>
      <c r="O86" s="8"/>
      <c r="Q86" s="23" t="s">
        <v>1712</v>
      </c>
      <c r="R86" s="8" t="str">
        <f>IF(xreg_vrops_nodec_fqdn="Value Missing",xreg_vrops_nodec_fqdn,LEFT(xreg_vrops_nodec_fqdn,FIND(".",xreg_vrops_nodec_fqdn)-1))</f>
        <v>Value Missing</v>
      </c>
      <c r="T86" s="4" t="s">
        <v>1721</v>
      </c>
      <c r="U86" s="8" t="str">
        <f>IF(ISBLANK(input_mgmt_srm_recovery_vcenter_fqdn),"Value Missing",input_mgmt_srm_recovery_vcenter_fqdn)</f>
        <v>Value Missing</v>
      </c>
      <c r="V86" s="3"/>
    </row>
    <row r="87" spans="2:27" s="2" customFormat="1" ht="20" customHeight="1" x14ac:dyDescent="0.2">
      <c r="B87" s="8" t="s">
        <v>1698</v>
      </c>
      <c r="C87" s="8" t="str">
        <f>IF(ISBLANK(input_mgmt_sso_domain_username),"Value Missing",input_mgmt_sso_domain_username)</f>
        <v>Value Missing</v>
      </c>
      <c r="E87" s="4" t="s">
        <v>1686</v>
      </c>
      <c r="F87" s="8" t="str">
        <f>IF(wld_cl01_vds_profile_chosen="Default","Value Missing",
IF(wld_cl01_vds_profile_chosen="Storage Traffic Separation",IF(wld_principal_storage_chosen="NFSv3","NFS","vSAN"),
IF(wld_cl01_vds_profile_chosen="NSX Traffic Separation","NSX-Overlay",
IF(wld_cl01_vds_profile_chosen="Storage Traffic and NSX Traffic Separation",IF(wld_principal_storage_chosen="NFSv3","NFS","vSAN"),
IF(wld_cl01_vds_profile_chosen="Storage Traffic and NSX Traffic Separation","Management, vMotion",
IF(wld_cl01_vds_profile_chosen="vSAN Max Storage Traffic Separation","vSAN",
IF(wld_cl01_vds_profile_chosen="vSAN Max Storage Traffic and NSX Traffic Separation","vSAN","Value Missing")))))))</f>
        <v>Value Missing</v>
      </c>
      <c r="H87" s="23" t="s">
        <v>232</v>
      </c>
      <c r="I87" s="8" t="str">
        <f>IF(ISBLANK(input_cluster_az1_host13_fqdn),"Value Missing",input_cluster_az1_host13_fqdn)</f>
        <v>Value Missing</v>
      </c>
      <c r="K87" s="4" t="s">
        <v>1644</v>
      </c>
      <c r="L87" s="8" t="str">
        <f>IF(ISBLANK('Active Directory Inputs'!G10),"Value Missing",'Active Directory Inputs'!G10)</f>
        <v>Value Missing</v>
      </c>
      <c r="N87" s="4" t="s">
        <v>1661</v>
      </c>
      <c r="O87" s="8" t="str">
        <f>IF(ISBLANK(input_wld_datacenter),"Value Missing",input_wld_datacenter)</f>
        <v>Value Missing</v>
      </c>
      <c r="Q87" s="23" t="s">
        <v>1683</v>
      </c>
      <c r="R87" s="8" t="str">
        <f>IF(xreg_vrops_collector_fqdn="Value Missing",xreg_vrops_collector_fqdn,LEFT(xreg_vrops_collector_fqdn,FIND(".",xreg_vrops_collector_fqdn)-1))</f>
        <v>Value Missing</v>
      </c>
      <c r="T87" s="4" t="s">
        <v>1724</v>
      </c>
      <c r="U87" s="8" t="str">
        <f>IF(ISBLANK(input_mgmt_srm_recovery_vcenter_username),"Value Missing",input_mgmt_srm_recovery_vcenter_username)</f>
        <v>Value Missing</v>
      </c>
      <c r="V87" s="3"/>
    </row>
    <row r="88" spans="2:27" s="2" customFormat="1" ht="20" customHeight="1" x14ac:dyDescent="0.2">
      <c r="B88" s="4" t="s">
        <v>1704</v>
      </c>
      <c r="C88" s="8" t="str">
        <f>IF(ISBLANK(input_vcf_instance_name),"Value Missing",input_vcf_instance_name)</f>
        <v>Value Missing</v>
      </c>
      <c r="E88" s="4" t="s">
        <v>3584</v>
      </c>
      <c r="F88" s="8" t="str" cm="1">
        <f t="array" ref="F88">IF(ISBLANK(input_wld_cl01_vds02_lag_name),"Value Missing",input_wld_cl01_vds02_lag_name)</f>
        <v>Value Missing</v>
      </c>
      <c r="H88" s="23" t="s">
        <v>234</v>
      </c>
      <c r="I88" s="8" t="str">
        <f>IF(ISBLANK(input_cluster_az1_host14_fqdn),"Value Missing",input_cluster_az1_host14_fqdn)</f>
        <v>Value Missing</v>
      </c>
      <c r="K88" s="4" t="s">
        <v>1648</v>
      </c>
      <c r="L88" s="8" t="str">
        <f>IF(ISBLANK('Active Directory Inputs'!G11),"Value Missing",'Active Directory Inputs'!G11)</f>
        <v>Value Missing</v>
      </c>
      <c r="N88" s="4" t="s">
        <v>1716</v>
      </c>
      <c r="O88" s="8" t="str">
        <f>IF(ISBLANK('Private AI Ready Infrastructure'!D15),"Value Missing",'Private AI Ready Infrastructure'!D15)</f>
        <v>Value Missing</v>
      </c>
      <c r="Q88" s="9"/>
      <c r="R88" s="9"/>
      <c r="T88" s="4" t="s">
        <v>1726</v>
      </c>
      <c r="U88" s="8" t="str">
        <f>IF(ISBLANK(input_mgmt_srm_recovery_vcenter_password),"Value Missing",input_mgmt_srm_recovery_vcenter_password)</f>
        <v>Value Missing</v>
      </c>
      <c r="V88" s="3"/>
    </row>
    <row r="89" spans="2:27" s="2" customFormat="1" ht="20" customHeight="1" x14ac:dyDescent="0.2">
      <c r="E89" s="223" t="s">
        <v>791</v>
      </c>
      <c r="F89" s="223" t="s">
        <v>20</v>
      </c>
      <c r="H89" s="23" t="s">
        <v>236</v>
      </c>
      <c r="I89" s="8" t="str">
        <f>IF(ISBLANK(input_cluster_az1_host15_fqdn),"Value Missing",input_cluster_az1_host15_fqdn)</f>
        <v>Value Missing</v>
      </c>
      <c r="N89" s="4" t="s">
        <v>1720</v>
      </c>
      <c r="O89" s="8" t="str">
        <f>CONCATENATE(wld_sddc_domain,"-",wld_vc_hostname,"-",wld_cl01_cluster,"-vds01-management")</f>
        <v>Value Missing-Value Missing-Value Missing-vds01-management</v>
      </c>
      <c r="Q89" s="630" t="s">
        <v>1723</v>
      </c>
      <c r="R89" s="631"/>
      <c r="T89" s="4" t="s">
        <v>1731</v>
      </c>
      <c r="U89" s="8" t="str">
        <f>IF(ISBLANK(input_mgmt_srm_recovery_sddc_manager_domain),"Value Missing",input_mgmt_srm_recovery_sddc_manager_domain)</f>
        <v>Value Missing</v>
      </c>
      <c r="V89" s="3"/>
    </row>
    <row r="90" spans="2:27" s="2" customFormat="1" ht="20" customHeight="1" x14ac:dyDescent="0.2">
      <c r="B90" s="633" t="s">
        <v>1710</v>
      </c>
      <c r="C90" s="635"/>
      <c r="E90" s="4" t="s">
        <v>1695</v>
      </c>
      <c r="F90" s="8" t="str">
        <f>IF(ISBLANK(input_wld_cl01_vds03_name),"Value Missing",input_wld_cl01_vds03_name)</f>
        <v>Value Missing</v>
      </c>
      <c r="H90" s="23" t="s">
        <v>238</v>
      </c>
      <c r="I90" s="8" t="str">
        <f>IF(ISBLANK(input_cluster_az1_host16_fqdn),"Value Missing",input_cluster_az1_host16_fqdn)</f>
        <v>Value Missing</v>
      </c>
      <c r="K90" s="220" t="s">
        <v>1719</v>
      </c>
      <c r="L90" s="220"/>
      <c r="Q90" s="224" t="s">
        <v>254</v>
      </c>
      <c r="R90" s="224" t="s">
        <v>20</v>
      </c>
      <c r="T90" s="4" t="s">
        <v>1736</v>
      </c>
      <c r="U90" s="8" t="str">
        <f>IF(ISBLANK(input_mgmt_srm_recovery_nsx_location),"Value Missing",input_mgmt_srm_recovery_nsx_location)</f>
        <v>Value Missing</v>
      </c>
      <c r="V90" s="3"/>
    </row>
    <row r="91" spans="2:27" s="2" customFormat="1" ht="20" customHeight="1" x14ac:dyDescent="0.2">
      <c r="B91" s="223" t="s">
        <v>254</v>
      </c>
      <c r="C91" s="223" t="s">
        <v>1621</v>
      </c>
      <c r="E91" s="4" t="s">
        <v>1699</v>
      </c>
      <c r="F91" s="8" t="str">
        <f>IF(input_wld_cl01_vds03_mtu="","Value Missing",input_wld_cl01_vds03_mtu)</f>
        <v>Value Missing</v>
      </c>
      <c r="H91" s="23" t="s">
        <v>257</v>
      </c>
      <c r="I91" s="8" t="str">
        <f>cluster_principal_storage_chosen</f>
        <v>vSAN-ESA</v>
      </c>
      <c r="K91" s="200" t="s">
        <v>254</v>
      </c>
      <c r="L91" s="201" t="s">
        <v>20</v>
      </c>
      <c r="N91" s="636" t="s">
        <v>1725</v>
      </c>
      <c r="O91" s="637"/>
      <c r="Q91" s="23" t="s">
        <v>1666</v>
      </c>
      <c r="R91" s="8" t="str">
        <f>IF(ISBLANK(input_xreg_vrops_virtual_fqdn),"Value Missing",input_xreg_vrops_virtual_fqdn)</f>
        <v>Value Missing</v>
      </c>
      <c r="T91" s="4" t="s">
        <v>1740</v>
      </c>
      <c r="U91" s="8" t="str">
        <f>IF(ISBLANK(input_mgmt_srm_recovery_nsx_ec_name),"Value Missing",input_mgmt_srm_recovery_nsx_ec_name)</f>
        <v>Value Missing</v>
      </c>
      <c r="V91" s="3"/>
    </row>
    <row r="92" spans="2:27" s="2" customFormat="1" ht="20" customHeight="1" x14ac:dyDescent="0.2">
      <c r="B92" s="4" t="s">
        <v>1718</v>
      </c>
      <c r="C92" s="8" t="str">
        <f>IF(ISBLANK(mgmt_cl01_vds_profile_chosen),"Value Missing",mgmt_cl01_vds_profile_chosen)</f>
        <v>Default</v>
      </c>
      <c r="E92" s="4" t="s">
        <v>1705</v>
      </c>
      <c r="F92" s="8" t="str">
        <f>IF(input_wld_cl01_vds03_pnics="","Value Missing",input_wld_cl01_vds03_pnics)</f>
        <v>Value Missing</v>
      </c>
      <c r="H92" s="23" t="s">
        <v>47</v>
      </c>
      <c r="I92" s="8" t="str">
        <f>IF(ISBLANK(input_cluster_esx_root_username),"Value Missing",input_cluster_esx_root_username)</f>
        <v>Value Missing</v>
      </c>
      <c r="K92" s="4" t="s">
        <v>1644</v>
      </c>
      <c r="L92" s="8"/>
      <c r="N92" s="4" t="s">
        <v>1100</v>
      </c>
      <c r="O92" s="8" t="str">
        <f>IF(ISBLANK(input_vvs_dr_ntp1_server),"Value Missing",input_vvs_dr_ntp1_server)</f>
        <v>Value Missing</v>
      </c>
      <c r="Q92" s="23" t="s">
        <v>1671</v>
      </c>
      <c r="R92" s="8" t="str">
        <f>IF(ISBLANK(input_xreg_vrops_nodea_fqdn),"Value Missing",input_xreg_vrops_nodea_fqdn)</f>
        <v>Value Missing</v>
      </c>
      <c r="T92" s="4" t="s">
        <v>1743</v>
      </c>
      <c r="U92" s="8" t="str">
        <f>IF(ISBLANK(input_mgmt_srm_recovery_cluster),"Value Missing",input_mgmt_srm_recovery_cluster)</f>
        <v>Value Missing</v>
      </c>
      <c r="V92" s="3"/>
    </row>
    <row r="93" spans="2:27" s="2" customFormat="1" ht="20" customHeight="1" x14ac:dyDescent="0.2">
      <c r="B93" s="223" t="s">
        <v>749</v>
      </c>
      <c r="C93" s="223" t="s">
        <v>20</v>
      </c>
      <c r="E93" s="4" t="s">
        <v>1707</v>
      </c>
      <c r="F93" s="8" t="str">
        <f t="array" ref="F93">IF(ISBLANK(input_wld_cl01_vds03_uplink_count),"Value Missing",input_wld_cl01_vds03_uplink_count)</f>
        <v>Value Missing</v>
      </c>
      <c r="H93" s="23" t="s">
        <v>30</v>
      </c>
      <c r="I93" s="8" t="str">
        <f>IF(ISBLANK(input_cluster_esx_root_password),"Value Missing",input_cluster_esx_root_password)</f>
        <v>Value Missing</v>
      </c>
      <c r="K93" s="4" t="s">
        <v>1648</v>
      </c>
      <c r="L93" s="8"/>
      <c r="N93" s="4" t="s">
        <v>1735</v>
      </c>
      <c r="O93" s="8" t="str">
        <f>IF(ISBLANK(input_vvs_dr_dns1_ip),"Value Missing",input_vvs_dr_dns1_ip)</f>
        <v>Value Missing</v>
      </c>
      <c r="Q93" s="23" t="s">
        <v>1675</v>
      </c>
      <c r="R93" s="8" t="str">
        <f>IF(ISBLANK(input_xreg_vrops_nodeb_fqdn),"Value Missing",input_xreg_vrops_nodeb_fqdn)</f>
        <v>Value Missing</v>
      </c>
      <c r="T93" s="4" t="s">
        <v>1747</v>
      </c>
      <c r="U93" s="8" t="str">
        <f>IF(ISBLANK(input_mgmt_srm_recovery_datastore),"Value Missing",input_mgmt_srm_recovery_datastore)</f>
        <v>Value Missing</v>
      </c>
      <c r="V93" s="3"/>
    </row>
    <row r="94" spans="2:27" s="2" customFormat="1" ht="20" customHeight="1" x14ac:dyDescent="0.2">
      <c r="B94" s="4" t="s">
        <v>1634</v>
      </c>
      <c r="C94" s="8" t="str">
        <f>IF(ISBLANK('Deploy Management Domain'!L206),"Value Missing",'Deploy Management Domain'!L206)</f>
        <v>Value Missing</v>
      </c>
      <c r="E94" s="4" t="s">
        <v>1711</v>
      </c>
      <c r="F94" s="8" t="str">
        <f>IF(wld_cl01_vds_profile_chosen&lt;&gt;"Storage Traffic and NSX Traffic Separation","Value Missing","Route Based on Physical Nic Load")</f>
        <v>Value Missing</v>
      </c>
      <c r="H94" s="23" t="s">
        <v>1730</v>
      </c>
      <c r="I94" s="8" t="str">
        <f>IF(ISBLANK(input_cluster_name),"Value Missing",input_cluster_name)</f>
        <v>Value Missing</v>
      </c>
      <c r="N94" s="4" t="s">
        <v>1739</v>
      </c>
      <c r="O94" s="8" t="str">
        <f>IF(ISBLANK(input_vvs_dr_dns2_ip),"Value Missing",input_vvs_dr_dns2_ip)</f>
        <v>Value Missing</v>
      </c>
      <c r="Q94" s="23" t="s">
        <v>1679</v>
      </c>
      <c r="R94" s="8" t="str">
        <f>IF(ISBLANK(input_xreg_vrops_nodec_fqdn),"Value Missing",input_xreg_vrops_nodec_fqdn)</f>
        <v>Value Missing</v>
      </c>
      <c r="T94" s="4" t="s">
        <v>1751</v>
      </c>
      <c r="U94" s="8" t="str">
        <f>IF(ISBLANK(input_mgmt_vrms_recovery_replication_cidr),"Value Missing",input_mgmt_vrms_recovery_replication_cidr)</f>
        <v>Value Missing</v>
      </c>
      <c r="V94" s="3"/>
    </row>
    <row r="95" spans="2:27" s="2" customFormat="1" ht="20" customHeight="1" x14ac:dyDescent="0.2">
      <c r="B95" s="4" t="s">
        <v>1728</v>
      </c>
      <c r="C95" s="8" t="str">
        <f>IF(ISBLANK(input_mgmt_cl01_vds01_uplink1),"Value Missing",input_mgmt_cl01_vds01_uplink1)</f>
        <v>Value Missing</v>
      </c>
      <c r="E95" s="4" t="s">
        <v>1715</v>
      </c>
      <c r="F95" s="8" t="str">
        <f>IF(wld_cl01_vds_profile_chosen="Default","Value Missing",IF(wld_cl01_vds_profile_chosen="Storage Traffic Separation","Value Missing",IF(wld_cl01_vds_profile_chosen="NSX Traffic Separation","Value Missing",IF(OR(wld_cl01_vds_profile_chosen="Storage Traffic and NSX Traffic Separation",wld_cl01_vds_profile_chosen="vSAN Max Storage Traffic and NSX Traffic Separation"),"NSX-Overlay","Value Missing"))))</f>
        <v>Value Missing</v>
      </c>
      <c r="H95" s="23" t="s">
        <v>1734</v>
      </c>
      <c r="I95" s="8" t="str">
        <f>IF(ISBLANK(input_cluster_image_name),"Value Missing",input_cluster_image_name)</f>
        <v>Value Missing</v>
      </c>
      <c r="K95" s="220" t="s">
        <v>1738</v>
      </c>
      <c r="L95" s="220"/>
      <c r="N95" s="4" t="s">
        <v>1742</v>
      </c>
      <c r="O95" s="8" t="str">
        <f>IF(ISBLANK(input_vvs_dr_parent_dns_zone),"Value Missing",input_vvs_dr_parent_dns_zone)</f>
        <v>Value Missing</v>
      </c>
      <c r="Q95" s="23" t="s">
        <v>1683</v>
      </c>
      <c r="R95" s="8" t="str">
        <f>IF(ISBLANK(input_xreg_vrops_collector_fqdn),"Value Missing",input_xreg_vrops_collector_fqdn)</f>
        <v>Value Missing</v>
      </c>
      <c r="T95" s="4" t="s">
        <v>1758</v>
      </c>
      <c r="U95" s="8" t="str">
        <f>IF(ISBLANK(input_mgmt_srm_sso_domain_membership),"Value Missing",input_mgmt_srm_sso_domain_membership)</f>
        <v>Value Missing</v>
      </c>
      <c r="V95" s="3"/>
    </row>
    <row r="96" spans="2:27" s="2" customFormat="1" ht="20" customHeight="1" x14ac:dyDescent="0.2">
      <c r="B96" s="4" t="s">
        <v>1732</v>
      </c>
      <c r="C96" s="8" t="str">
        <f>IF(ISBLANK(input_mgmt_cl01_vds01_uplink2),"Value Missing",input_mgmt_cl01_vds01_uplink2)</f>
        <v>Value Missing</v>
      </c>
      <c r="E96" s="4" t="s">
        <v>3584</v>
      </c>
      <c r="F96" s="2" t="str" cm="1">
        <f t="array" ref="F96">IF(ISBLANK(input_wld_cl01_vds03_lag_name),"Value Missing",input_wld_cl01_vds03_lag_name)</f>
        <v>Value Missing</v>
      </c>
      <c r="H96" s="30" t="s">
        <v>972</v>
      </c>
      <c r="I96" s="8" t="str">
        <f>IF(ISBLANK(input_cluster_storage_cluster_name),"Value Missing",input_cluster_storage_cluster_name)</f>
        <v>Value Missing</v>
      </c>
      <c r="K96" s="200" t="s">
        <v>254</v>
      </c>
      <c r="L96" s="201" t="s">
        <v>20</v>
      </c>
      <c r="N96" s="4" t="s">
        <v>1746</v>
      </c>
      <c r="O96" s="8" t="str">
        <f>IF(ISBLANK(input_vvs_dr_flt_fleet_manager_fqdn),"Value Missing",input_vvs_dr_flt_fleet_manager_fqdn)</f>
        <v>Value Missing</v>
      </c>
      <c r="Q96" s="9"/>
      <c r="R96" s="9"/>
      <c r="T96" s="9"/>
      <c r="U96" s="9"/>
      <c r="V96" s="3"/>
    </row>
    <row r="97" spans="2:27" s="2" customFormat="1" ht="20" customHeight="1" x14ac:dyDescent="0.2">
      <c r="B97" s="4" t="s">
        <v>1643</v>
      </c>
      <c r="C97" s="8" t="str">
        <f>IF(ISBLANK(input_mgmt_cl01_vds01_uplink_count),"Value Missing",input_mgmt_cl01_vds01_uplink_count)</f>
        <v>Value Missing</v>
      </c>
      <c r="E97" s="9"/>
      <c r="F97" s="9"/>
      <c r="H97" s="30" t="s">
        <v>272</v>
      </c>
      <c r="I97" s="8" t="str">
        <f>IF(ISBLANK(input_cluster_vsan_datastore),"Value Missing",input_cluster_vsan_datastore)</f>
        <v>Value Missing</v>
      </c>
      <c r="K97" s="4" t="s">
        <v>1745</v>
      </c>
      <c r="L97" s="8" t="s">
        <v>1565</v>
      </c>
      <c r="N97" s="4" t="s">
        <v>1750</v>
      </c>
      <c r="O97" s="8" t="str">
        <f>IF(ISBLANK(input_vvs_dr_flt_ops_nodea_fqdn),"Value Missing",input_vvs_dr_flt_ops_nodea_fqdn)</f>
        <v>Value Missing</v>
      </c>
      <c r="Q97" s="220" t="s">
        <v>1757</v>
      </c>
      <c r="R97" s="220"/>
      <c r="T97" s="220" t="s">
        <v>3997</v>
      </c>
      <c r="U97" s="220"/>
      <c r="V97" s="3"/>
    </row>
    <row r="98" spans="2:27" s="2" customFormat="1" ht="20" customHeight="1" x14ac:dyDescent="0.2">
      <c r="B98" s="4" t="s">
        <v>1647</v>
      </c>
      <c r="C98" s="8" t="str">
        <f>IF(ISBLANK(input_mgmt_cl01_vds01_mtu),"Value Missing",input_mgmt_cl01_vds01_mtu)</f>
        <v>Value Missing</v>
      </c>
      <c r="E98" s="221" t="s">
        <v>1722</v>
      </c>
      <c r="F98" s="222"/>
      <c r="H98" s="30" t="s">
        <v>1754</v>
      </c>
      <c r="I98" s="8" t="str">
        <f>IF(ISBLANK(cluster_vsan_ftt_chosen),"Value Missing",cluster_vsan_ftt_chosen)</f>
        <v>1</v>
      </c>
      <c r="K98" s="4" t="s">
        <v>1749</v>
      </c>
      <c r="L98" s="8" t="s">
        <v>1565</v>
      </c>
      <c r="N98" s="4" t="s">
        <v>1756</v>
      </c>
      <c r="O98" s="8" t="str">
        <f t="array" ref="O98">IF(ISBLANK(input_vvs_dr_flt_ops_nodeb_fqdn),"Value Missing",input_vvs_dr_flt_ops_nodeb_fqdn)</f>
        <v>Value Missing</v>
      </c>
      <c r="Q98" s="200" t="s">
        <v>254</v>
      </c>
      <c r="R98" s="201" t="s">
        <v>20</v>
      </c>
      <c r="T98" s="200" t="s">
        <v>254</v>
      </c>
      <c r="U98" s="201" t="s">
        <v>20</v>
      </c>
      <c r="V98" s="3"/>
    </row>
    <row r="99" spans="2:27" s="2" customFormat="1" ht="20" customHeight="1" x14ac:dyDescent="0.2">
      <c r="B99" s="4" t="s">
        <v>3584</v>
      </c>
      <c r="C99" s="8" t="str">
        <f>IF(ISBLANK(input_mgmt_cl01_vds01_lag_name),"Value Missing",input_mgmt_cl01_vds01_lag_name)</f>
        <v>Value Missing</v>
      </c>
      <c r="E99" s="200" t="s">
        <v>254</v>
      </c>
      <c r="F99" s="201" t="s">
        <v>1621</v>
      </c>
      <c r="H99" s="30" t="s">
        <v>736</v>
      </c>
      <c r="I99" s="8" t="str">
        <f>IF(ISBLANK(cluster_vsan_dedupe_compression_chosen),"Value Missing",cluster_vsan_dedupe_compression_chosen)</f>
        <v>Unselected</v>
      </c>
      <c r="K99" s="4" t="s">
        <v>1755</v>
      </c>
      <c r="L99" s="8" t="s">
        <v>422</v>
      </c>
      <c r="N99" s="4" t="s">
        <v>1762</v>
      </c>
      <c r="O99" s="8" t="str">
        <f t="array" ref="O99">IF(ISBLANK(input_vvs_dr_flt_ops_nodec_fqdn),"Value Missing",input_vvs_dr_flt_ops_nodec_fqdn)</f>
        <v>Value Missing</v>
      </c>
      <c r="Q99" s="28" t="s">
        <v>1767</v>
      </c>
      <c r="R99" s="8" t="str">
        <f>IF(ISBLANK(input_mgmt_vrms_mgmt_ip),"Value Missing",input_mgmt_vrms_mgmt_ip)</f>
        <v>Value Missing</v>
      </c>
      <c r="T99" s="4" t="s">
        <v>1614</v>
      </c>
      <c r="U99" s="8" t="str">
        <f>IF(ISBLANK(input_wld_vrms_vm_folder),"Value Missing",input_wld_vrms_vm_folder)</f>
        <v>Value Missing</v>
      </c>
      <c r="V99" s="3"/>
    </row>
    <row r="100" spans="2:27" s="2" customFormat="1" ht="20" customHeight="1" x14ac:dyDescent="0.2">
      <c r="B100" s="223" t="s">
        <v>788</v>
      </c>
      <c r="C100" s="223" t="s">
        <v>20</v>
      </c>
      <c r="E100" s="4" t="s">
        <v>1729</v>
      </c>
      <c r="F100" s="8" t="str">
        <f>IF(ISBLANK(input_wld_cl01_vsan_datastore),"Value Missing",input_wld_cl01_vsan_datastore)</f>
        <v>Value Missing</v>
      </c>
      <c r="H100" s="30" t="s">
        <v>737</v>
      </c>
      <c r="I100" s="8" t="str">
        <f>IF(ISBLANK(input_cluster_vmfs_datastore_name),"Value Missing",input_cluster_vmfs_datastore_name)</f>
        <v>Value Missing</v>
      </c>
      <c r="K100" s="4" t="s">
        <v>1761</v>
      </c>
      <c r="L100" s="8" t="str">
        <f>IF(ISBLANK(input_svc_vrops_vra_user),"Value Missing",input_svc_vrops_vra_user)</f>
        <v>Value Missing</v>
      </c>
      <c r="N100" s="4" t="s">
        <v>1766</v>
      </c>
      <c r="O100" s="8" t="str">
        <f>IF(ISBLANK(input_vvs_dr_flt_logs_nodea_fqdn),"Value Missing",input_vvs_dr_flt_logs_nodea_fqdn)</f>
        <v>Value Missing</v>
      </c>
      <c r="Q100" s="28" t="s">
        <v>1771</v>
      </c>
      <c r="R100" s="8" t="str">
        <f>IF(ISBLANK(input_mgmt_vrms_vrms_ip),"Value Missing",input_mgmt_vrms_vrms_ip)</f>
        <v>Value Missing</v>
      </c>
      <c r="T100" s="4" t="s">
        <v>1619</v>
      </c>
      <c r="U100" s="8" t="str">
        <f>IF(ISBLANK(input_wld_vrms_root_password),"Value Missing",input_wld_vrms_root_password)</f>
        <v>Value Missing</v>
      </c>
      <c r="V100" s="3"/>
    </row>
    <row r="101" spans="2:27" s="2" customFormat="1" ht="20" customHeight="1" x14ac:dyDescent="0.2">
      <c r="B101" s="4" t="s">
        <v>1665</v>
      </c>
      <c r="C101" s="8" t="str">
        <f>IF(ISBLANK(input_mgmt_cl01_vds02_name),"Value Missing",input_mgmt_cl01_vds02_name)</f>
        <v>Value Missing</v>
      </c>
      <c r="E101" s="4" t="s">
        <v>1733</v>
      </c>
      <c r="F101" s="8">
        <f>IF(ISBLANK(wld_cl01_vsan_ftt_chosen),"Value Missing",IF(AND(wld_multirack_result="Included",wld_cl01_vsan_ftt_chosen=1,wld_principal_storage_chosen="vSAN-ESA"),"1 failure - RAID 5 (Erasure Coding)",IF(AND(wld_multirack_result="Included",wld_cl01_vsan_ftt_chosen=2,wld_principal_storage_chosen="vSAN-ESA"),"1 failure - RAID 6 (Erasure Coding)",wld_cl01_vsan_ftt_chosen)))</f>
        <v>1</v>
      </c>
      <c r="H101" s="30" t="s">
        <v>738</v>
      </c>
      <c r="I101" s="8" t="str">
        <f>IF(ISBLANK(input_cluster_nfs_datastore_name),"Value Missing",input_cluster_nfs_datastore_name)</f>
        <v>Value Missing</v>
      </c>
      <c r="K101" s="4" t="s">
        <v>1765</v>
      </c>
      <c r="L101" s="8" t="s">
        <v>422</v>
      </c>
      <c r="N101" s="4" t="s">
        <v>1770</v>
      </c>
      <c r="O101" s="8" t="str">
        <f>IF(ISBLANK(input_vvs_dr_flt_logs_nodeb_fqdn),"Value Missing",input_vvs_dr_flt_logs_nodeb_fqdn)</f>
        <v>Value Missing</v>
      </c>
      <c r="Q101" s="28" t="s">
        <v>1775</v>
      </c>
      <c r="R101" s="8" t="str">
        <f>IF(ISBLANK(input_mgmt_srm_ip),"Value Missing",input_mgmt_srm_ip)</f>
        <v>Value Missing</v>
      </c>
      <c r="T101" s="4" t="s">
        <v>1623</v>
      </c>
      <c r="U101" s="8" t="str">
        <f>IF(ISBLANK(input_wld_vrms_admin_password),"Value Missing",input_wld_vrms_admin_password)</f>
        <v>Value Missing</v>
      </c>
      <c r="V101" s="3"/>
    </row>
    <row r="102" spans="2:27" s="2" customFormat="1" ht="20" customHeight="1" x14ac:dyDescent="0.2">
      <c r="B102" s="4" t="s">
        <v>1753</v>
      </c>
      <c r="C102" s="8" t="str">
        <f>IF(ISBLANK(input_mgmt_cl01_vds02_uplink1),"Value Missing",input_mgmt_cl01_vds02_uplink1)</f>
        <v>Value Missing</v>
      </c>
      <c r="E102" s="4" t="s">
        <v>736</v>
      </c>
      <c r="F102" s="8" t="str">
        <f>IF(ISBLANK('Deploy Workload Domain'!D219),"Value Missing",'Deploy Workload Domain'!D219)</f>
        <v>Unselected</v>
      </c>
      <c r="H102" s="30" t="s">
        <v>739</v>
      </c>
      <c r="I102" s="8" t="str">
        <f>IF(ISBLANK(input_cluster_nfs_share_path),"Value Missing",input_cluster_nfs_share_path)</f>
        <v>Value Missing</v>
      </c>
      <c r="K102" s="4" t="s">
        <v>1769</v>
      </c>
      <c r="L102" s="8"/>
      <c r="N102" s="4" t="s">
        <v>1774</v>
      </c>
      <c r="O102" s="8" t="str">
        <f>IF(ISBLANK(input_vvs_dr_flt_logs_nodec_fqdn),"Value Missing",input_vvs_dr_flt_logs_nodec_fqdn)</f>
        <v>Value Missing</v>
      </c>
      <c r="Q102" s="28" t="s">
        <v>1779</v>
      </c>
      <c r="R102" s="8" t="str">
        <f>IF(ISBLANK(input_mgmt_srm_recovery_t1_si_ip),"Value Missing",input_mgmt_srm_recovery_t1_si_ip)</f>
        <v>Value Missing</v>
      </c>
      <c r="T102" s="4" t="s">
        <v>1628</v>
      </c>
      <c r="U102" s="8" t="str">
        <f>IF(ISBLANK(input_wld_vrms_site_name),"Value Missing",input_wld_vrms_site_name)</f>
        <v>Value Missing</v>
      </c>
      <c r="V102" s="3"/>
    </row>
    <row r="103" spans="2:27" s="2" customFormat="1" ht="20" customHeight="1" x14ac:dyDescent="0.2">
      <c r="B103" s="4" t="s">
        <v>1760</v>
      </c>
      <c r="C103" s="8" t="str">
        <f>IF(ISBLANK(input_mgmt_cl01_vds02_uplink2),"Value Missing",input_mgmt_cl01_vds02_uplink2)</f>
        <v>Value Missing</v>
      </c>
      <c r="E103" s="4" t="s">
        <v>737</v>
      </c>
      <c r="F103" s="8" t="str">
        <f>IF(ISBLANK(input_wld_cl01_vmfs_datastore_name),"Value Missing",input_wld_cl01_vmfs_datastore_name)</f>
        <v>Value Missing</v>
      </c>
      <c r="H103" s="30" t="s">
        <v>740</v>
      </c>
      <c r="I103" s="8" t="str">
        <f>IF(ISBLANK(input_cluster_nfs_server_address),"Value Missing",input_cluster_nfs_server_address)</f>
        <v>Value Missing</v>
      </c>
      <c r="K103" s="4" t="s">
        <v>1773</v>
      </c>
      <c r="L103" s="8" t="str">
        <f>IF(ISBLANK('Active Directory Inputs'!E37),"Value Missing",'Active Directory Inputs'!E37)</f>
        <v>Value Missing</v>
      </c>
      <c r="N103" s="4" t="s">
        <v>1778</v>
      </c>
      <c r="O103" s="8" t="str">
        <f>IF(ISBLANK(input_vvs_dr_flt_net_nodea_fqdn),"Value Missing",input_vvs_dr_flt_net_nodea_fqdn)</f>
        <v>Value Missing</v>
      </c>
      <c r="Q103" s="9"/>
      <c r="R103" s="9"/>
      <c r="T103" s="4" t="s">
        <v>1632</v>
      </c>
      <c r="U103" s="8" t="str">
        <f>IF(ISBLANK(input_wld_vrms_admin_email),"Value Missing",input_wld_vrms_admin_email)</f>
        <v>Value Missing</v>
      </c>
      <c r="V103" s="3"/>
    </row>
    <row r="104" spans="2:27" s="2" customFormat="1" ht="20" customHeight="1" x14ac:dyDescent="0.2">
      <c r="B104" s="8" t="s">
        <v>1673</v>
      </c>
      <c r="C104" s="8" t="str">
        <f>IF(ISBLANK(input_mgmt_cl01_vds02_uplink_count),"Value Missing",input_mgmt_cl01_vds02_uplink_count)</f>
        <v>Value Missing</v>
      </c>
      <c r="E104" s="30" t="s">
        <v>738</v>
      </c>
      <c r="F104" s="8" t="str">
        <f>IF(ISBLANK('Deploy Workload Domain'!D221),"Value Missing",'Deploy Workload Domain'!D221)</f>
        <v>Value Missing</v>
      </c>
      <c r="H104" s="23" t="s">
        <v>744</v>
      </c>
      <c r="I104" s="8" t="str">
        <f>IF(ISBLANK(cluster_vds_profile_chosen),"Value Missing",cluster_vds_profile_chosen)</f>
        <v>Default</v>
      </c>
      <c r="K104" s="4" t="s">
        <v>1777</v>
      </c>
      <c r="L104" s="8" t="str">
        <f>IF(ISBLANK('Active Directory Inputs'!E38),"Value Missing",'Active Directory Inputs'!E38)</f>
        <v>Value Missing</v>
      </c>
      <c r="N104" s="4" t="s">
        <v>1783</v>
      </c>
      <c r="O104" s="8" t="str">
        <f>IF(ISBLANK(input_vvs_dr_flt_net_nodeb_fqdn),"Value Missing",input_vvs_dr_flt_net_nodeb_fqdn)</f>
        <v>Value Missing</v>
      </c>
      <c r="Q104" s="220" t="s">
        <v>1789</v>
      </c>
      <c r="R104" s="220"/>
      <c r="T104" s="4" t="s">
        <v>1638</v>
      </c>
      <c r="U104" s="8" t="str">
        <f>IF(ISBLANK(input_wld_vrms_pg),"Value Missing",input_wld_vrms_pg)</f>
        <v>Value Missing</v>
      </c>
      <c r="V104" s="3"/>
    </row>
    <row r="105" spans="2:27" s="2" customFormat="1" ht="20" customHeight="1" x14ac:dyDescent="0.2">
      <c r="B105" s="4" t="s">
        <v>1677</v>
      </c>
      <c r="C105" s="8" t="str">
        <f>IF(ISBLANK(input_mgmt_cl01_vds02_mtu),"Value Missing",input_mgmt_cl01_vds02_mtu)</f>
        <v>Value Missing</v>
      </c>
      <c r="E105" s="30" t="s">
        <v>739</v>
      </c>
      <c r="F105" s="8" t="str">
        <f>IF(ISBLANK('Deploy Workload Domain'!D222),"Value Missing",'Deploy Workload Domain'!D222)</f>
        <v>Value Missing</v>
      </c>
      <c r="H105" s="23" t="s">
        <v>746</v>
      </c>
      <c r="I105" s="8"/>
      <c r="K105" s="4" t="s">
        <v>1782</v>
      </c>
      <c r="L105" s="8" t="str">
        <f>IF(ISBLANK('Active Directory Inputs'!E39),"Value Missing",'Active Directory Inputs'!E39)</f>
        <v>Value Missing</v>
      </c>
      <c r="N105" s="4" t="s">
        <v>1788</v>
      </c>
      <c r="O105" s="8" t="str">
        <f>IF(ISBLANK(input_vvs_dr_flt_net_nodec_fqdn),"Value Missing",input_vvs_dr_flt_net_nodec_fqdn)</f>
        <v>Value Missing</v>
      </c>
      <c r="Q105" s="200" t="s">
        <v>254</v>
      </c>
      <c r="R105" s="201" t="s">
        <v>20</v>
      </c>
      <c r="T105" s="4" t="s">
        <v>1641</v>
      </c>
      <c r="U105" s="8" t="str">
        <f>IF(ISBLANK(input_wld_vrms_p12_password),"Value Missing",input_wld_vrms_p12_password)</f>
        <v>Value Missing</v>
      </c>
      <c r="V105" s="3"/>
    </row>
    <row r="106" spans="2:27" s="2" customFormat="1" ht="20" customHeight="1" x14ac:dyDescent="0.2">
      <c r="B106" s="4" t="s">
        <v>3584</v>
      </c>
      <c r="C106" s="8" t="str">
        <f>IF(ISBLANK(input_mgmt_cl01_vds02_lag_name),"Value Missing",input_mgmt_cl01_vds02_lag_name)</f>
        <v>Value Missing</v>
      </c>
      <c r="E106" s="30" t="s">
        <v>740</v>
      </c>
      <c r="F106" s="8" t="str">
        <f>IF(ISBLANK('Deploy Workload Domain'!D223),"Value Missing",'Deploy Workload Domain'!D223)</f>
        <v>Value Missing</v>
      </c>
      <c r="H106" s="23" t="s">
        <v>749</v>
      </c>
      <c r="I106" s="8" t="str">
        <f>IF(ISBLANK(input_cluster_vds01_name),"Value Missing",input_cluster_vds01_name)</f>
        <v>Value Missing</v>
      </c>
      <c r="K106" s="4" t="s">
        <v>1787</v>
      </c>
      <c r="L106" s="8" t="str">
        <f>IF(ISBLANK('Active Directory Inputs'!E40),"Value Missing",'Active Directory Inputs'!E40)</f>
        <v>Value Missing</v>
      </c>
      <c r="N106" s="4" t="s">
        <v>1792</v>
      </c>
      <c r="O106" s="8" t="str">
        <f>IF(ISBLANK(input_vvs_dr_flt_auto_fqdn),"Value Missing",input_vvs_dr_flt_auto_fqdn)</f>
        <v>Value Missing</v>
      </c>
      <c r="Q106" s="28" t="s">
        <v>1767</v>
      </c>
      <c r="R106" s="8" t="str">
        <f>IF(ISBLANK(input_wld_vrms_mgmt_ip),"Value Missing",input_wld_vrms_mgmt_ip)</f>
        <v>Value Missing</v>
      </c>
      <c r="T106" s="4" t="s">
        <v>1649</v>
      </c>
      <c r="U106" s="8" t="str">
        <f>IF(ISBLANK(input_wld_srm_vm_folder),"Value Missing",input_wld_srm_vm_folder)</f>
        <v>Value Missing</v>
      </c>
      <c r="V106" s="3"/>
    </row>
    <row r="107" spans="2:27" s="2" customFormat="1" ht="20" customHeight="1" x14ac:dyDescent="0.2">
      <c r="B107" s="223" t="s">
        <v>791</v>
      </c>
      <c r="C107" s="223" t="s">
        <v>20</v>
      </c>
      <c r="H107" s="23" t="s">
        <v>157</v>
      </c>
      <c r="I107" s="8" t="str">
        <f>IF(ISBLANK(input_cluster_vds01_mtu),"Value Missing",input_cluster_vds01_mtu)</f>
        <v>Value Missing</v>
      </c>
      <c r="K107" s="4" t="s">
        <v>1791</v>
      </c>
      <c r="L107" s="8" t="str">
        <f>IF(ISBLANK('Active Directory Inputs'!E41),"Value Missing",'Active Directory Inputs'!E41)</f>
        <v>Value Missing</v>
      </c>
      <c r="N107" s="4" t="s">
        <v>713</v>
      </c>
      <c r="O107" s="8" t="str">
        <f>IF(ISBLANK(input_vvs_dr_mgmt_vc_fqdn),"Value Missing",input_vvs_dr_mgmt_vc_fqdn)</f>
        <v>Value Missing</v>
      </c>
      <c r="Q107" s="28" t="s">
        <v>1771</v>
      </c>
      <c r="R107" s="8" t="str">
        <f>IF(ISBLANK(input_wld_vrms_vrms_ip),"Value Missing",input_wld_vrms_vrms_ip)</f>
        <v>Value Missing</v>
      </c>
      <c r="T107" s="4" t="s">
        <v>1654</v>
      </c>
      <c r="U107" s="8" t="str">
        <f>IF(ISBLANK(input_wld_srm_root_password),"Value Missing",input_wld_srm_root_password)</f>
        <v>Value Missing</v>
      </c>
      <c r="V107" s="3"/>
    </row>
    <row r="108" spans="2:27" s="2" customFormat="1" ht="20" customHeight="1" x14ac:dyDescent="0.2">
      <c r="B108" s="4" t="s">
        <v>1695</v>
      </c>
      <c r="C108" s="8" t="str">
        <f>IF(ISBLANK(input_mgmt_cl01_vds03_name),"Value Missing",input_mgmt_cl01_vds03_name)</f>
        <v>Value Missing</v>
      </c>
      <c r="E108" s="220" t="s">
        <v>1764</v>
      </c>
      <c r="F108" s="220"/>
      <c r="H108" s="4" t="s">
        <v>329</v>
      </c>
      <c r="I108" s="8" t="str">
        <f>IF(ISBLANK(input_cluster_az1_host_overlay_network_profile_name),"Value Missing",input_cluster_az1_host_overlay_network_profile_name)</f>
        <v>Value Missing</v>
      </c>
      <c r="N108" s="4" t="s">
        <v>1797</v>
      </c>
      <c r="O108" s="8" t="str">
        <f>IF(ISBLANK(input_vvs_dr_mgmt_cl01_cluster),"Value Missing",input_vvs_dr_mgmt_cl01_cluster)</f>
        <v>Value Missing</v>
      </c>
      <c r="Q108" s="28" t="s">
        <v>1775</v>
      </c>
      <c r="R108" s="8" t="str">
        <f>IF(ISBLANK(input_wld_srm_ip),"Value Missing",input_wld_srm_ip)</f>
        <v>Value Missing</v>
      </c>
      <c r="T108" s="4" t="s">
        <v>1659</v>
      </c>
      <c r="U108" s="8" t="str">
        <f>IF(ISBLANK(input_wld_srm_admin_password),"Value Missing",input_wld_srm_admin_password)</f>
        <v>Value Missing</v>
      </c>
      <c r="V108" s="3"/>
    </row>
    <row r="109" spans="2:27" s="2" customFormat="1" ht="20" customHeight="1" x14ac:dyDescent="0.2">
      <c r="B109" s="4" t="s">
        <v>1781</v>
      </c>
      <c r="C109" s="8" t="str">
        <f>IF(ISBLANK(input_mgmt_cl01_vds03_uplink1),"Value Missing",input_mgmt_cl01_vds03_uplink1)</f>
        <v>Value Missing</v>
      </c>
      <c r="E109" s="4" t="s">
        <v>254</v>
      </c>
      <c r="F109" s="4" t="s">
        <v>20</v>
      </c>
      <c r="H109" s="30" t="s">
        <v>750</v>
      </c>
      <c r="I109" s="8" t="str">
        <f>IF(ISBLANK(input_cluster_vds01_uplink_count),"Value Missing",input_cluster_vds01_uplink_count)</f>
        <v>Value Missing</v>
      </c>
      <c r="K109" s="519" t="s">
        <v>1796</v>
      </c>
      <c r="L109" s="520"/>
      <c r="N109" s="4" t="s">
        <v>1800</v>
      </c>
      <c r="O109" s="8" t="str">
        <f>IF(ISBLANK(input_vvs_mgmt_dr_vlr_fqdn),"Value Missing",input_vvs_mgmt_dr_vlr_fqdn)</f>
        <v>Value Missing</v>
      </c>
      <c r="T109" s="4" t="s">
        <v>1662</v>
      </c>
      <c r="U109" s="8" t="str">
        <f>IF(ISBLANK(input_wld_srm_database_password),"Value Missing",input_wld_srm_database_password)</f>
        <v>Value Missing</v>
      </c>
      <c r="V109" s="3"/>
    </row>
    <row r="110" spans="2:27" s="2" customFormat="1" ht="20" customHeight="1" x14ac:dyDescent="0.2">
      <c r="B110" s="4" t="s">
        <v>1785</v>
      </c>
      <c r="C110" s="8" t="str">
        <f>IF(ISBLANK(input_mgmt_cl01_vds03_uplink2),"Value Missing",input_mgmt_cl01_vds03_uplink2)</f>
        <v>Value Missing</v>
      </c>
      <c r="E110" s="28" t="s">
        <v>1415</v>
      </c>
      <c r="F110" s="8" t="str">
        <f>IF(ISBLANK('Configure Workload Domain'!D336),"Value Missing",'Configure Workload Domain'!D336)</f>
        <v>Value Missing</v>
      </c>
      <c r="H110" s="23" t="s">
        <v>751</v>
      </c>
      <c r="I110" s="8" t="str">
        <f>IF(ISBLANK(input_cluster_vds01_pnics),"Value Missing",input_cluster_vds01_pnics)</f>
        <v>Value Missing</v>
      </c>
      <c r="K110" s="200" t="s">
        <v>254</v>
      </c>
      <c r="L110" s="201" t="s">
        <v>20</v>
      </c>
      <c r="N110" s="4" t="s">
        <v>1804</v>
      </c>
      <c r="O110" s="8" t="str">
        <f>IF(ISBLANK(input_vvs_dr_sso_domain),"Value Missing",input_vvs_dr_sso_domain)</f>
        <v>Value Missing</v>
      </c>
      <c r="Q110" s="220" t="s">
        <v>1808</v>
      </c>
      <c r="R110" s="220"/>
      <c r="T110" s="4" t="s">
        <v>1667</v>
      </c>
      <c r="U110" s="8" t="str">
        <f>IF(ISBLANK(input_wld_srm_site_name),"Value Missing",input_wld_srm_site_name)</f>
        <v>Value Missing</v>
      </c>
      <c r="V110" s="3"/>
      <c r="Z110" s="9"/>
      <c r="AA110" s="9"/>
    </row>
    <row r="111" spans="2:27" s="2" customFormat="1" ht="20" customHeight="1" x14ac:dyDescent="0.2">
      <c r="B111" s="4" t="s">
        <v>1707</v>
      </c>
      <c r="C111" s="8" t="str">
        <f>IF(ISBLANK(input_mgmt_cl01_vds03_uplink_count),"Value Missing",input_mgmt_cl01_vds03_uplink_count)</f>
        <v>Value Missing</v>
      </c>
      <c r="E111" s="28" t="s">
        <v>271</v>
      </c>
      <c r="F111" s="8" t="str">
        <f>IF(ISBLANK(input_wld_witness_hostname),"Value Missing",input_wld_witness_hostname)</f>
        <v>Value Missing</v>
      </c>
      <c r="H111" s="23" t="s">
        <v>753</v>
      </c>
      <c r="I111" s="8" t="str">
        <f>IF(cluster_vds_profile_chosen="Default",CONCATENATE("Management ", "vMotion ",IF(cluster_principal_storage_chosen="NFSv3","NFS ",IF(cluster_principal_storage_chosen="VMFS on Fibre Channel (FC)","","vSAN ")),"NSX-Overlay"),
IF(cluster_vds_profile_chosen="Storage Traffic Separation","Management, vMotion, NSX-Overlay",
IF(cluster_vds_profile_chosen="NSX Traffic Separation","Management, vMotion, vSan",
IF(cluster_vds_profile_chosen="Storage Traffic and NSX Traffic Separation","Management, vMotion",
IF(cluster_vds_profile_chosen="vSAN Max Storage Traffic Separation","Management, vMotion, vSAN Storage Client, NSX-Overlay",
IF(cluster_vds_profile_chosen="vSAN Max Storage Traffic and NSX Traffic Separation","Management, vMotion, vSAN Storage Client","Value Missing"))))))</f>
        <v>Management vMotion vSAN NSX-Overlay</v>
      </c>
      <c r="K111" s="4" t="s">
        <v>1803</v>
      </c>
      <c r="L111" s="8" t="str">
        <f>IF(ISBLANK(input_child_svc_vsphere_ad_password),"Value Missing",input_child_svc_vsphere_ad_password)</f>
        <v>Value Missing</v>
      </c>
      <c r="N111" s="4" t="s">
        <v>1807</v>
      </c>
      <c r="O111" s="8" t="str">
        <f>IF(vvs_dr_flt_fleet_manager_fqdn="Value Missing",vvs_dr_flt_fleet_manager_fqdn,LEFT(vvs_dr_flt_fleet_manager_fqdn,FIND(".",vvs_dr_flt_fleet_manager_fqdn)-1))</f>
        <v>Value Missing</v>
      </c>
      <c r="Q111" s="200" t="s">
        <v>254</v>
      </c>
      <c r="R111" s="201" t="s">
        <v>20</v>
      </c>
      <c r="T111" s="4" t="s">
        <v>1672</v>
      </c>
      <c r="U111" s="8" t="str">
        <f>IF(ISBLANK(input_wld_srm_admin_email),"Value Missing",input_wld_srm_admin_email)</f>
        <v>Value Missing</v>
      </c>
      <c r="V111" s="3"/>
    </row>
    <row r="112" spans="2:27" s="2" customFormat="1" ht="20" customHeight="1" x14ac:dyDescent="0.2">
      <c r="B112" s="4" t="s">
        <v>1699</v>
      </c>
      <c r="C112" s="8" t="str">
        <f>IF(ISBLANK(input_mgmt_cl01_vds03_mtu),"Value Missing",input_mgmt_cl01_vds03_mtu)</f>
        <v>Value Missing</v>
      </c>
      <c r="H112" s="23" t="s">
        <v>3584</v>
      </c>
      <c r="I112" s="8" t="str">
        <f>IF(ISBLANK(input_cluster_vds01_lag_name),"Value Missing",input_cluster_vds01_lag_name)</f>
        <v>Value Missing</v>
      </c>
      <c r="K112" s="4" t="s">
        <v>1806</v>
      </c>
      <c r="L112" s="8" t="str">
        <f>IF(ISBLANK(input_child_svc_nsx_ad_password),"Value Missing",input_child_svc_nsx_ad_password)</f>
        <v>Value Missing</v>
      </c>
      <c r="N112" s="4" t="s">
        <v>1810</v>
      </c>
      <c r="O112" s="8" t="str">
        <f>IF(vvs_dr_flt_ops_nodea_fqdn="Value Missing",vvs_dr_flt_ops_nodea_fqdn,LEFT(vvs_dr_flt_ops_nodea_fqdn,FIND(".",vvs_dr_flt_ops_nodea_fqdn)-1))</f>
        <v>Value Missing</v>
      </c>
      <c r="Q112" s="28" t="s">
        <v>1066</v>
      </c>
      <c r="R112" s="8" t="str">
        <f>IF(ISBLANK(input_mgmt_vrms_hostname),"Value Missing",input_mgmt_vrms_hostname)</f>
        <v>Value Missing</v>
      </c>
      <c r="T112" s="4" t="s">
        <v>1676</v>
      </c>
      <c r="U112" s="8" t="str">
        <f>IF(ISBLANK(input_wld_srm_p12_password),"Value Missing",input_wld_srm_p12_password)</f>
        <v>Value Missing</v>
      </c>
      <c r="V112" s="3"/>
    </row>
    <row r="113" spans="2:22" s="2" customFormat="1" ht="20" customHeight="1" x14ac:dyDescent="0.2">
      <c r="B113" s="4" t="s">
        <v>3584</v>
      </c>
      <c r="C113" s="8" t="str" cm="1">
        <f t="array" ref="C113">IF(ISBLANK(input_mgmt_cl01_vds03_lag_name),"Value Missing",input_mgmt_cl01_vds03_lag_name)</f>
        <v>Value Missing</v>
      </c>
      <c r="E113" s="218" t="s">
        <v>1786</v>
      </c>
      <c r="F113" s="226"/>
      <c r="H113" s="23" t="s">
        <v>788</v>
      </c>
      <c r="I113" s="8" t="str">
        <f>IF(ISBLANK(input_cluster_vds02_name),"Value Missing",input_cluster_vds02_name)</f>
        <v>Value Missing</v>
      </c>
      <c r="K113" s="4" t="s">
        <v>1745</v>
      </c>
      <c r="L113" s="8" t="str">
        <f>IF(ISBLANK(input_administrator_vsphere_local_password),"Value Missing",input_administrator_vsphere_local_password)</f>
        <v>Value Missing</v>
      </c>
      <c r="N113" s="4" t="s">
        <v>1811</v>
      </c>
      <c r="O113" s="8" t="str">
        <f>IF(vvs_dr_flt_ops_nodeb_fqdn="Value Missing",vvs_dr_flt_ops_nodeb_fqdn,LEFT(vvs_dr_flt_ops_nodeb_fqdn,FIND(".",vvs_dr_flt_ops_nodeb_fqdn)-1))</f>
        <v>Value Missing</v>
      </c>
      <c r="Q113" s="28" t="s">
        <v>1815</v>
      </c>
      <c r="R113" s="8" t="str">
        <f>IF(ISBLANK(input_vvs_mgmt_dr_vlr_hostname),"Value Missing",input_vvs_mgmt_dr_vlr_hostname)</f>
        <v>Value Missing</v>
      </c>
      <c r="T113" s="4" t="s">
        <v>1680</v>
      </c>
      <c r="U113" s="8" t="str">
        <f>input_wld_srm_vm_size</f>
        <v>Standard</v>
      </c>
      <c r="V113" s="3"/>
    </row>
    <row r="114" spans="2:22" s="2" customFormat="1" ht="20" customHeight="1" x14ac:dyDescent="0.2">
      <c r="B114" s="6"/>
      <c r="E114" s="223" t="s">
        <v>254</v>
      </c>
      <c r="F114" s="224" t="s">
        <v>20</v>
      </c>
      <c r="H114" s="23" t="s">
        <v>157</v>
      </c>
      <c r="I114" s="8" t="str">
        <f>IF(ISBLANK(input_cluster_vds02_mtu),"Value Missing",input_cluster_vds02_mtu)</f>
        <v>Value Missing</v>
      </c>
      <c r="K114" s="4" t="s">
        <v>1749</v>
      </c>
      <c r="L114" s="8" t="str">
        <f>IF(ISBLANK(input_administrator_vsphere_local_password),"Value Missing",input_administrator_vsphere_local_password)</f>
        <v>Value Missing</v>
      </c>
      <c r="N114" s="4" t="s">
        <v>1814</v>
      </c>
      <c r="O114" s="8" t="str">
        <f>IF(vvs_dr_flt_ops_nodec_fqdn="Value Missing",vvs_dr_flt_ops_nodec_fqdn,LEFT(vvs_dr_flt_ops_nodec_fqdn,FIND(".",vvs_dr_flt_ops_nodec_fqdn)-1))</f>
        <v>Value Missing</v>
      </c>
      <c r="T114" s="4" t="s">
        <v>1721</v>
      </c>
      <c r="U114" s="8" t="str">
        <f>IF(ISBLANK(input_wld_srm_recovery_vcenter_fqdn),"Value Missing",input_wld_srm_recovery_vcenter_fqdn)</f>
        <v>Value Missing</v>
      </c>
      <c r="V114" s="3"/>
    </row>
    <row r="115" spans="2:22" s="2" customFormat="1" ht="20" customHeight="1" x14ac:dyDescent="0.2">
      <c r="B115" s="223" t="s">
        <v>1798</v>
      </c>
      <c r="C115" s="223" t="s">
        <v>20</v>
      </c>
      <c r="E115" s="4" t="s">
        <v>1794</v>
      </c>
      <c r="F115" s="8" t="str">
        <f>IF(ISBLANK('Configure Workload Domain'!D374),"Value Missing",'Configure Workload Domain'!D374)</f>
        <v>Value Missing</v>
      </c>
      <c r="H115" s="30" t="s">
        <v>750</v>
      </c>
      <c r="I115" s="8" t="str">
        <f>IF(ISBLANK(input_cluster_vds02_uplink_count),"Value Missing",input_cluster_vds02_uplink_count)</f>
        <v>Value Missing</v>
      </c>
      <c r="K115" s="4" t="s">
        <v>1755</v>
      </c>
      <c r="L115" s="8" t="str">
        <f>IF(ISBLANK(input_nsxt_lm_admin_password),"Value Missing",input_nsxt_lm_admin_password)</f>
        <v>Value Missing</v>
      </c>
      <c r="N115" s="4" t="s">
        <v>1816</v>
      </c>
      <c r="O115" s="8" t="str">
        <f>IF(vvs_dr_flt_logs_nodea_fqdn="Value Missing",vvs_dr_flt_logs_nodea_fqdn,LEFT(vvs_dr_flt_logs_nodea_fqdn,FIND(".",vvs_dr_flt_logs_nodea_fqdn)-1))</f>
        <v>Value Missing</v>
      </c>
      <c r="Q115" s="220" t="s">
        <v>1819</v>
      </c>
      <c r="R115" s="220"/>
      <c r="T115" s="4" t="s">
        <v>1724</v>
      </c>
      <c r="U115" s="8" t="str">
        <f>IF(ISBLANK(input_wld_srm_recovery_vcenter_username),"Value Missing",input_wld_srm_recovery_vcenter_username)</f>
        <v>Value Missing</v>
      </c>
      <c r="V115" s="3"/>
    </row>
    <row r="116" spans="2:22" s="2" customFormat="1" ht="20" customHeight="1" x14ac:dyDescent="0.2">
      <c r="B116" s="23" t="s">
        <v>1801</v>
      </c>
      <c r="C116" s="8" t="str">
        <f>IF(ISBLANK(mgmt_nsx_operation_mode_chosen),"Value Missing",mgmt_nsx_operation_mode_chosen)</f>
        <v>Enhanced Datapath Standard</v>
      </c>
      <c r="E116" s="4" t="s">
        <v>1795</v>
      </c>
      <c r="F116" s="8" t="str">
        <f>IF(ISBLANK('Configure Workload Domain'!D375),"Value Missing",'Configure Workload Domain'!D375)</f>
        <v>Value Missing</v>
      </c>
      <c r="H116" s="23" t="s">
        <v>751</v>
      </c>
      <c r="I116" s="8" t="str">
        <f>IF(ISBLANK(input_cluster_vds02_pnics),"Value Missing",input_cluster_vds02_pnics)</f>
        <v>Value Missing</v>
      </c>
      <c r="K116" s="4" t="s">
        <v>1761</v>
      </c>
      <c r="L116" s="8" t="str">
        <f>IF(ISBLANK(input_svc_vrops_vra_password),"Value Missing",input_svc_vrops_vra_password)</f>
        <v>Value Missing</v>
      </c>
      <c r="N116" s="4" t="s">
        <v>1818</v>
      </c>
      <c r="O116" s="8" t="str">
        <f>IF(vvs_dr_flt_logs_nodeb_fqdn="Value Missing",vvs_dr_flt_logs_nodeb_fqdn,LEFT(vvs_dr_flt_logs_nodeb_fqdn,FIND(".",vvs_dr_flt_logs_nodeb_fqdn)-1))</f>
        <v>Value Missing</v>
      </c>
      <c r="Q116" s="200" t="s">
        <v>254</v>
      </c>
      <c r="R116" s="201" t="s">
        <v>20</v>
      </c>
      <c r="T116" s="4" t="s">
        <v>1726</v>
      </c>
      <c r="U116" s="8" t="str">
        <f>IF(ISBLANK(input_wld_srm_recovery_vcenter_password),"Value Missing",input_wld_srm_recovery_vcenter_password)</f>
        <v>Value Missing</v>
      </c>
      <c r="V116" s="3"/>
    </row>
    <row r="117" spans="2:22" s="2" customFormat="1" ht="20" customHeight="1" x14ac:dyDescent="0.2">
      <c r="B117" s="6"/>
      <c r="E117" s="4" t="s">
        <v>1799</v>
      </c>
      <c r="F117" s="8" t="str">
        <f>IF(ISBLANK('Configure Workload Domain'!D376),"Value Missing",'Configure Workload Domain'!D376)</f>
        <v>Value Missing</v>
      </c>
      <c r="H117" s="23" t="s">
        <v>753</v>
      </c>
      <c r="I117" s="8" t="str">
        <f>IF(cluster_vds_profile_chosen="Default","",
IF(cluster_vds_profile_chosen="Storage Traffic Separation",IF(cluster_principal_storage_chosen="NFSv3","NFS","vSAN"),
IF(cluster_vds_profile_chosen="NSX Traffic Separation","NSX-Overlay",
IF(cluster_vds_profile_chosen="Storage Traffic and NSX Traffic Separation",IF(cluster_principal_storage_chosen="NFSv3","NFS","vSAN"),
IF(cluster_vds_profile_chosen="Storage Traffic and NSX Traffic Separation","Management, vMotion",
IF(cluster_vds_profile_chosen="vSAN Max Storage Traffic Separation","vSAN",
IF(cluster_vds_profile_chosen="vSAN Max Storage Traffic and NSX Traffic Separation","vSAN","")))))))</f>
        <v/>
      </c>
      <c r="K117" s="4" t="s">
        <v>1769</v>
      </c>
      <c r="L117" s="8"/>
      <c r="N117" s="4" t="s">
        <v>1820</v>
      </c>
      <c r="O117" s="8" t="str">
        <f>IF(vvs_dr_flt_logs_nodec_fqdn="Value Missing",vvs_dr_flt_logs_nodec_fqdn,LEFT(vvs_dr_flt_logs_nodec_fqdn,FIND(".",vvs_dr_flt_logs_nodec_fqdn)-1))</f>
        <v>Value Missing</v>
      </c>
      <c r="Q117" s="28" t="s">
        <v>1066</v>
      </c>
      <c r="R117" s="8" t="str">
        <f>IF(ISBLANK(input_wld_vrms_hostname),"Value Missing",input_wld_vrms_hostname)</f>
        <v>Value Missing</v>
      </c>
      <c r="T117" s="4" t="s">
        <v>1751</v>
      </c>
      <c r="U117" s="8" t="str">
        <f>IF(ISBLANK(input_wld_vrms_recovery_replication_cidr),"Value Missing",input_wld_vrms_recovery_replication_cidr)</f>
        <v>Value Missing</v>
      </c>
      <c r="V117" s="3"/>
    </row>
    <row r="118" spans="2:22" s="2" customFormat="1" ht="20" customHeight="1" x14ac:dyDescent="0.2">
      <c r="B118" s="633" t="s">
        <v>1809</v>
      </c>
      <c r="C118" s="635"/>
      <c r="E118" s="4" t="s">
        <v>1802</v>
      </c>
      <c r="F118" s="8" t="str">
        <f>IF(ISBLANK('Configure Workload Domain'!D377),"Value Missing",'Configure Workload Domain'!D377)</f>
        <v>Value Missing</v>
      </c>
      <c r="H118" s="23" t="s">
        <v>3584</v>
      </c>
      <c r="I118" s="8" t="str" cm="1">
        <f t="array" ref="I118">IF(ISBLANK(input_cluster_vds02_lag_name),"Value Missing",input_cluster_vds02_lag_name)</f>
        <v>Value Missing</v>
      </c>
      <c r="K118" s="4" t="s">
        <v>1773</v>
      </c>
      <c r="L118" s="8" t="str">
        <f>IF(ISBLANK(input_svc_vra_vsphere_password),"Value Missing",input_svc_vra_vsphere_password)</f>
        <v>Value Missing</v>
      </c>
      <c r="N118" s="4" t="s">
        <v>1821</v>
      </c>
      <c r="O118" s="8" t="str">
        <f>IF(vvs_dr_flt_net_nodea_fqdn="Value Missing",vvs_dr_flt_net_nodea_fqdn,LEFT(vvs_dr_flt_net_nodea_fqdn,FIND(".",vvs_dr_flt_net_nodea_fqdn)-1))</f>
        <v>Value Missing</v>
      </c>
      <c r="Q118" s="28" t="s">
        <v>1815</v>
      </c>
      <c r="R118" s="8" t="str">
        <f>IF(ISBLANK(input_wld_srm_hostname),"Value Missing",input_wld_srm_hostname)</f>
        <v>Value Missing</v>
      </c>
      <c r="T118" s="4" t="s">
        <v>1758</v>
      </c>
      <c r="U118" s="8" t="str">
        <f>IF(ISBLANK(input_wld_srm_sso_domain_membership),"Value Missing",input_wld_srm_sso_domain_membership)</f>
        <v>Value Missing</v>
      </c>
      <c r="V118" s="3"/>
    </row>
    <row r="119" spans="2:22" s="2" customFormat="1" ht="20" customHeight="1" x14ac:dyDescent="0.2">
      <c r="B119" s="223" t="s">
        <v>254</v>
      </c>
      <c r="C119" s="223" t="s">
        <v>1621</v>
      </c>
      <c r="E119" s="4" t="s">
        <v>1805</v>
      </c>
      <c r="F119" s="8" t="str">
        <f>IF(ISBLANK(input_wld_cl01_cluster_sddc_id),"Value Missing",input_wld_cl01_cluster_sddc_id)</f>
        <v>Value Missing</v>
      </c>
      <c r="H119" s="23" t="s">
        <v>791</v>
      </c>
      <c r="I119" s="8" t="str">
        <f>IF(ISBLANK(input_cluster_vds03_name),"Value Missing",input_cluster_vds03_name)</f>
        <v>Value Missing</v>
      </c>
      <c r="K119" s="4" t="s">
        <v>1777</v>
      </c>
      <c r="L119" s="8" t="str">
        <f>IF(ISBLANK(input_svc_vra_nsx_password),"Value Missing",input_svc_vra_nsx_password)</f>
        <v>Value Missing</v>
      </c>
      <c r="N119" s="4" t="s">
        <v>1823</v>
      </c>
      <c r="O119" s="8" t="str">
        <f>IF(vvs_dr_flt_net_nodeb_fqdn="Value Missing",vvs_dr_flt_net_nodeb_fqdn,LEFT(vvs_dr_flt_net_nodeb_fqdn,FIND(".",vvs_dr_flt_net_nodeb_fqdn)-1))</f>
        <v>Value Missing</v>
      </c>
      <c r="T119" s="9"/>
      <c r="U119" s="9"/>
      <c r="V119" s="3"/>
    </row>
    <row r="120" spans="2:22" s="2" customFormat="1" ht="20" customHeight="1" x14ac:dyDescent="0.2">
      <c r="B120" s="4" t="s">
        <v>1812</v>
      </c>
      <c r="C120" s="8" t="str">
        <f>IF(ISBLANK(mgmt_principal_storage_chosen),"Value Missing",mgmt_principal_storage_chosen)</f>
        <v>vSAN-ESA</v>
      </c>
      <c r="E120" s="4"/>
      <c r="F120" s="8" t="str">
        <f>IF(ISBLANK('Configure Workload Domain'!D390),"Value Missing",'Configure Workload Domain'!D390)</f>
        <v>Value Missing</v>
      </c>
      <c r="H120" s="23" t="s">
        <v>157</v>
      </c>
      <c r="I120" s="8" t="str">
        <f>IF(ISBLANK(input_cluster_vds03_mtu),"Value Missing",input_cluster_vds03_mtu)</f>
        <v>Value Missing</v>
      </c>
      <c r="K120" s="4" t="s">
        <v>1782</v>
      </c>
      <c r="L120" s="8" t="str">
        <f>IF(ISBLANK(input_svc_vra_vcf_password),"Value Missing",input_svc_vra_vcf_password)</f>
        <v>Value Missing</v>
      </c>
      <c r="N120" s="4" t="s">
        <v>1825</v>
      </c>
      <c r="O120" s="8" t="str">
        <f>IF(vvs_dr_flt_net_nodec_fqdn="Value Missing",vvs_dr_flt_net_nodec_fqdn,LEFT(vvs_dr_flt_net_nodec_fqdn,FIND(".",vvs_dr_flt_net_nodec_fqdn)-1))</f>
        <v>Value Missing</v>
      </c>
      <c r="Q120" s="220" t="s">
        <v>1828</v>
      </c>
      <c r="R120" s="220"/>
      <c r="T120" s="9"/>
      <c r="U120" s="9"/>
      <c r="V120" s="3"/>
    </row>
    <row r="121" spans="2:22" s="2" customFormat="1" ht="20" customHeight="1" x14ac:dyDescent="0.2">
      <c r="B121" s="4" t="s">
        <v>272</v>
      </c>
      <c r="C121" s="8" t="str">
        <f>IF(ISBLANK(input_mgmt_cl01_vsan_datastore),"Value Missing",input_mgmt_cl01_vsan_datastore)</f>
        <v>Value Missing</v>
      </c>
      <c r="E121" s="9"/>
      <c r="F121" s="9"/>
      <c r="H121" s="30" t="s">
        <v>750</v>
      </c>
      <c r="I121" s="8" t="str">
        <f>IF(ISBLANK(input_cluster_vds03_uplink_count),"Value Missing",input_cluster_vds03_uplink_count)</f>
        <v>Value Missing</v>
      </c>
      <c r="K121" s="4" t="s">
        <v>1791</v>
      </c>
      <c r="L121" s="8" t="str">
        <f>IF(ISBLANK(input_svc_vra_vrops_password),"Value Missing",input_svc_vra_vrops_password)</f>
        <v>Value Missing</v>
      </c>
      <c r="N121" s="4" t="s">
        <v>1827</v>
      </c>
      <c r="O121" s="8" t="str">
        <f>IF(ISBLANK(input_vvs_dr_mgmt_cl01_datastore),"Value Missing",input_vvs_dr_mgmt_cl01_datastore)</f>
        <v>Value Missing</v>
      </c>
      <c r="Q121" s="200" t="s">
        <v>254</v>
      </c>
      <c r="R121" s="201" t="s">
        <v>20</v>
      </c>
      <c r="T121" s="519" t="s">
        <v>1836</v>
      </c>
      <c r="U121" s="520"/>
      <c r="V121" s="3"/>
    </row>
    <row r="122" spans="2:22" s="2" customFormat="1" ht="20" customHeight="1" x14ac:dyDescent="0.2">
      <c r="B122" s="4" t="s">
        <v>1817</v>
      </c>
      <c r="C122" s="8" t="str">
        <f>IF(ISBLANK(mgmt_cl01_vsan_ftt_chosen),"Value Missing",mgmt_cl01_vsan_ftt_chosen)</f>
        <v>1</v>
      </c>
      <c r="E122" s="220" t="s">
        <v>1813</v>
      </c>
      <c r="F122" s="222"/>
      <c r="H122" s="23" t="s">
        <v>751</v>
      </c>
      <c r="I122" s="8" t="str">
        <f>IF(ISBLANK(input_cluster_vds03_pnics),"Value Missing",input_cluster_vds03_pnics)</f>
        <v>Value Missing</v>
      </c>
      <c r="K122" s="4" t="s">
        <v>1787</v>
      </c>
      <c r="L122" s="8" t="str">
        <f>IF(ISBLANK(input_svc_vro_vsphere_password),"Value Missing",input_svc_vro_vsphere_password)</f>
        <v>Value Missing</v>
      </c>
      <c r="N122" s="4" t="s">
        <v>1830</v>
      </c>
      <c r="O122" s="8" t="str">
        <f>IF(ISBLANK(input_mgmt_srm_net_rp),"Value Missing",input_mgmt_srm_net_rp)</f>
        <v>Value Missing</v>
      </c>
      <c r="Q122" s="28" t="s">
        <v>1066</v>
      </c>
      <c r="T122" s="200" t="s">
        <v>254</v>
      </c>
      <c r="U122" s="201" t="s">
        <v>20</v>
      </c>
      <c r="V122" s="3"/>
    </row>
    <row r="123" spans="2:22" s="2" customFormat="1" ht="20" customHeight="1" x14ac:dyDescent="0.2">
      <c r="B123" s="4" t="s">
        <v>736</v>
      </c>
      <c r="C123" s="8" t="str">
        <f>IF(ISBLANK(mgmt_cl01_vsan_dedupe_compression_chosen),"Value Missing",mgmt_cl01_vsan_dedupe_compression_chosen)</f>
        <v>Unselected</v>
      </c>
      <c r="E123" s="200" t="s">
        <v>254</v>
      </c>
      <c r="F123" s="201" t="s">
        <v>20</v>
      </c>
      <c r="H123" s="23" t="s">
        <v>753</v>
      </c>
      <c r="I123" s="8" t="str">
        <f>IF(cluster_vds_profile_chosen="Default","",
IF(cluster_vds_profile_chosen="Storage Traffic Separation","",
IF(cluster_vds_profile_chosen="NSX Traffic Separation","",
IF(cluster_vds_profile_chosen="Storage Traffic and NSX Traffic Separation","Overlay",
IF(cluster_vds_profile_chosen="vSan Max Storage Traffic and NSX Traffic Separation","Overlay","")))))</f>
        <v/>
      </c>
      <c r="N123" s="4" t="s">
        <v>1832</v>
      </c>
      <c r="O123" s="8" t="str">
        <f>IF(ISBLANK(input_mgmt_srm_logs_rp),"Value Missing",input_mgmt_srm_logs_rp)</f>
        <v>Value Missing</v>
      </c>
      <c r="Q123" s="28" t="s">
        <v>1815</v>
      </c>
      <c r="R123" s="8" t="str">
        <f>(CONCATENATE(vvs_mgmt_dr_vlr_hostname,".",child_dns_zone))</f>
        <v>Value Missing.Value Missing</v>
      </c>
      <c r="T123" s="4" t="s">
        <v>1843</v>
      </c>
      <c r="U123" s="8" t="str">
        <f>IF(ISBLANK(input_cbr_vcdr_vsphere_role),"Value Missing",input_cbr_vcdr_vsphere_role)</f>
        <v>Value Missing</v>
      </c>
      <c r="V123" s="3"/>
    </row>
    <row r="124" spans="2:22" s="2" customFormat="1" ht="20" customHeight="1" x14ac:dyDescent="0.2">
      <c r="B124" s="30" t="s">
        <v>739</v>
      </c>
      <c r="C124" s="8" t="str">
        <f>IF(ISBLANK(input_mgmt_cl01_nfs_share),"Value Missing",input_mgmt_cl01_nfs_share)</f>
        <v>Value Missing</v>
      </c>
      <c r="E124" s="4" t="s">
        <v>272</v>
      </c>
      <c r="F124" s="8" t="str">
        <f>IF(ISBLANK('Configure Workload Domain'!D341),"Value Missing",'Configure Workload Domain'!D341)</f>
        <v>Value Missing</v>
      </c>
      <c r="H124" s="23" t="s">
        <v>3584</v>
      </c>
      <c r="I124" s="8" t="str" cm="1">
        <f t="array" ref="I124">IF(ISBLANK(input_cluster_vds03_lag_name),"Value Missing",input_cluster_vds03_lag_name)</f>
        <v>Value Missing</v>
      </c>
      <c r="K124" s="220" t="s">
        <v>1831</v>
      </c>
      <c r="L124" s="220"/>
      <c r="N124" s="4" t="s">
        <v>1835</v>
      </c>
      <c r="O124" s="8" t="str">
        <f>IF(ISBLANK(input_mgmt_srm_recovery_pg),"Value Missing",input_mgmt_srm_recovery_pg)</f>
        <v>Value Missing</v>
      </c>
      <c r="Q124" s="9"/>
      <c r="R124" s="9"/>
      <c r="T124" s="4" t="s">
        <v>1847</v>
      </c>
      <c r="U124" s="8" t="str">
        <f>IF(ISBLANK(input_svc_cbr_vcdr_vsphere_user),"Value Missing",input_svc_cbr_vcdr_vsphere_user)</f>
        <v>Value Missing</v>
      </c>
      <c r="V124" s="3"/>
    </row>
    <row r="125" spans="2:22" s="2" customFormat="1" ht="20" customHeight="1" x14ac:dyDescent="0.2">
      <c r="B125" s="30" t="s">
        <v>740</v>
      </c>
      <c r="C125" s="8" t="str">
        <f>IF(ISBLANK(input_mgmt_cl01_nfs_server_ip),"Value Missing",input_mgmt_cl01_nfs_server_ip)</f>
        <v>Value Missing</v>
      </c>
      <c r="E125" s="4" t="s">
        <v>204</v>
      </c>
      <c r="F125" s="8" t="str">
        <f>IF(ISBLANK('Configure Workload Domain'!D339),"Value Missing",'Configure Workload Domain'!D339)</f>
        <v>Value Missing</v>
      </c>
      <c r="H125" s="223" t="s">
        <v>1829</v>
      </c>
      <c r="I125" s="223"/>
      <c r="K125" s="200" t="s">
        <v>254</v>
      </c>
      <c r="L125" s="201" t="s">
        <v>20</v>
      </c>
      <c r="N125" s="4" t="s">
        <v>1838</v>
      </c>
      <c r="O125" s="8" t="str">
        <f>IF(ISBLANK(input_mgmt_srm_recovery_gateway),"Value Missing",input_mgmt_srm_recovery_gateway)</f>
        <v>Value Missing</v>
      </c>
      <c r="Q125" s="220" t="s">
        <v>1842</v>
      </c>
      <c r="R125" s="220"/>
      <c r="T125" s="4" t="s">
        <v>1852</v>
      </c>
      <c r="U125" s="8" t="str">
        <f>IF(ISBLANK(input_svc_cbr_vcdr_vsphere_password),"Value Missing",input_svc_cbr_vcdr_vsphere_password)</f>
        <v>Value Missing</v>
      </c>
      <c r="V125" s="3"/>
    </row>
    <row r="126" spans="2:22" s="2" customFormat="1" ht="20" customHeight="1" x14ac:dyDescent="0.2">
      <c r="B126" s="30" t="s">
        <v>1824</v>
      </c>
      <c r="C126" s="8" t="str">
        <f>IF(ISBLANK(mgmt_cl01_nfs_server_bound_to_vmknic_chosen),"Value Missing",mgmt_cl01_nfs_server_bound_to_vmknic_chosen)</f>
        <v>Selected</v>
      </c>
      <c r="E126" s="4" t="s">
        <v>271</v>
      </c>
      <c r="F126" s="8" t="str">
        <f>IF(ISBLANK(input_wld_witness_vm_folder),"Value Missing",input_wld_witness_vm_folder)</f>
        <v>Value Missing</v>
      </c>
      <c r="H126" s="30" t="s">
        <v>180</v>
      </c>
      <c r="I126" s="8" t="str">
        <f>IF(ISBLANK(input_cluster_az1_mgmt_pg),"Value Missing",input_cluster_az1_mgmt_pg)</f>
        <v>Value Missing</v>
      </c>
      <c r="K126" s="4" t="s">
        <v>1803</v>
      </c>
      <c r="L126" s="8" t="str">
        <f>IF(ISBLANK('Active Directory Inputs'!E18),"Value Missing",'Active Directory Inputs'!E18)</f>
        <v>Value Missing</v>
      </c>
      <c r="N126" s="4" t="s">
        <v>1841</v>
      </c>
      <c r="O126" s="8" t="str">
        <f>IF(ISBLANK(input_mgmt_srm_recovery_mask),"Value Missing",input_mgmt_srm_recovery_mask)</f>
        <v>Value Missing</v>
      </c>
      <c r="Q126" s="200" t="s">
        <v>254</v>
      </c>
      <c r="R126" s="201" t="s">
        <v>20</v>
      </c>
      <c r="T126" s="4" t="s">
        <v>1855</v>
      </c>
      <c r="U126" s="8" t="str">
        <f>IF(ISBLANK(input_cbr_vm_folder),"Value Missing",input_cbr_vm_folder)</f>
        <v>Value Missing</v>
      </c>
      <c r="V126" s="3"/>
    </row>
    <row r="127" spans="2:22" s="2" customFormat="1" ht="20" customHeight="1" x14ac:dyDescent="0.2">
      <c r="E127" s="4" t="s">
        <v>1822</v>
      </c>
      <c r="F127" s="8" t="str">
        <f>IF(ISBLANK(input_wld_witness_dns1_ip),"Value Missing",input_wld_witness_dns1_ip)</f>
        <v>Value Missing</v>
      </c>
      <c r="H127" s="30" t="s">
        <v>757</v>
      </c>
      <c r="I127" s="8" t="str">
        <f>IF(ISBLANK(cluster_az1_mgmt_lbt_chosen),"Value Missing",cluster_az1_mgmt_lbt_chosen)</f>
        <v>Route Based on Physical NIC Load</v>
      </c>
      <c r="K127" s="4" t="s">
        <v>1840</v>
      </c>
      <c r="L127" s="8" t="str">
        <f>IF(ISBLANK('Active Directory Inputs'!E19),"Value Missing",'Active Directory Inputs'!E19)</f>
        <v>Value Missing</v>
      </c>
      <c r="N127" s="4" t="s">
        <v>1846</v>
      </c>
      <c r="O127" s="8"/>
      <c r="Q127" s="28" t="s">
        <v>1066</v>
      </c>
      <c r="R127" s="8" t="str">
        <f>(CONCATENATE(wld_srm_hostname,".",child_dns_zone))</f>
        <v>Value Missing.Value Missing</v>
      </c>
      <c r="T127" s="4" t="s">
        <v>1857</v>
      </c>
      <c r="U127" s="8" t="str">
        <f>IF(ISBLANK(input_cbr_recovery_sddc_name),"Value Missing",input_cbr_recovery_sddc_name)</f>
        <v>Value Missing</v>
      </c>
      <c r="V127" s="3"/>
    </row>
    <row r="128" spans="2:22" s="2" customFormat="1" ht="20" customHeight="1" x14ac:dyDescent="0.2">
      <c r="B128" s="225" t="s">
        <v>14</v>
      </c>
      <c r="C128" s="227"/>
      <c r="E128" s="4" t="s">
        <v>1822</v>
      </c>
      <c r="F128" s="8" t="str">
        <f>IF(ISBLANK(input_wld_witness_dns2_ip),"Value Missing",input_wld_witness_dns2_ip)</f>
        <v>Value Missing</v>
      </c>
      <c r="H128" s="30" t="s">
        <v>759</v>
      </c>
      <c r="I128" s="8" t="str">
        <f>IF(ISBLANK(cluster_az1_mgmt_uplink1_chosen),"Value Missing",cluster_az1_mgmt_uplink1_chosen)</f>
        <v>Active</v>
      </c>
      <c r="N128" s="4" t="s">
        <v>1851</v>
      </c>
      <c r="O128" s="8" t="str">
        <f>IF(ISBLANK(input_vvs_dr_vr_username),"Value Missing",input_vvs_dr_vr_username)</f>
        <v>Value Missing</v>
      </c>
      <c r="Q128" s="28" t="s">
        <v>1815</v>
      </c>
      <c r="R128" s="8" t="str">
        <f>(CONCATENATE(wld_srm_hostname,".",child_dns_zone))</f>
        <v>Value Missing.Value Missing</v>
      </c>
      <c r="T128" s="4" t="s">
        <v>1860</v>
      </c>
      <c r="U128" s="8" t="str">
        <f>IF(ISBLANK(input_cbr_recovery_region),"Value Missing",input_cbr_recovery_region)</f>
        <v>Value Missing</v>
      </c>
      <c r="V128" s="3"/>
    </row>
    <row r="129" spans="2:27" s="2" customFormat="1" ht="20" customHeight="1" x14ac:dyDescent="0.2">
      <c r="B129" s="223" t="s">
        <v>254</v>
      </c>
      <c r="C129" s="223" t="s">
        <v>1621</v>
      </c>
      <c r="E129" s="4" t="s">
        <v>1826</v>
      </c>
      <c r="F129" s="8" t="str">
        <f>IF(ISBLANK(sample_wld_witness_ntp1_server),"Value Missing",sample_wld_witness_ntp1_server)</f>
        <v>ntp0.lax.rainpole.io</v>
      </c>
      <c r="H129" s="30" t="s">
        <v>761</v>
      </c>
      <c r="I129" s="8" t="str">
        <f>IF(ISBLANK(cluster_az1_mgmt_uplink2_chosen),"Value Missing",cluster_az1_mgmt_uplink2_chosen)</f>
        <v>Active</v>
      </c>
      <c r="K129" s="220" t="s">
        <v>1850</v>
      </c>
      <c r="L129" s="220"/>
      <c r="N129" s="4" t="s">
        <v>1854</v>
      </c>
      <c r="O129" s="8" t="str">
        <f>IF(ISBLANK(input_vvs_dr_vr_password),"Value Missing",input_vvs_dr_vr_password)</f>
        <v>Value Missing</v>
      </c>
      <c r="Q129" s="9"/>
      <c r="R129" s="9"/>
      <c r="T129" s="4" t="s">
        <v>1864</v>
      </c>
      <c r="U129" s="8" t="str">
        <f>IF(ISBLANK(input_cbr_recovery_host_type),"Value Missing",input_cbr_recovery_host_type)</f>
        <v>Value Missing</v>
      </c>
      <c r="V129" s="3"/>
    </row>
    <row r="130" spans="2:27" s="2" customFormat="1" ht="20" customHeight="1" x14ac:dyDescent="0.2">
      <c r="B130" s="4" t="s">
        <v>1833</v>
      </c>
      <c r="C130" s="8"/>
      <c r="E130" s="4" t="s">
        <v>1826</v>
      </c>
      <c r="F130" s="8" t="str">
        <f>IF(ISBLANK(sample_wld_witness_ntp2_server),"Value Missing",sample_wld_witness_ntp2_server)</f>
        <v>ntp1.lax.rainpole.io</v>
      </c>
      <c r="H130" s="223" t="s">
        <v>1845</v>
      </c>
      <c r="I130" s="223"/>
      <c r="K130" s="200" t="s">
        <v>254</v>
      </c>
      <c r="L130" s="201" t="s">
        <v>20</v>
      </c>
      <c r="Q130" s="220" t="s">
        <v>1859</v>
      </c>
      <c r="R130" s="222"/>
      <c r="T130" s="4" t="s">
        <v>1869</v>
      </c>
      <c r="U130" s="8" t="str">
        <f>IF(ISBLANK(input_cbr_recovery_host_count),"Value Missing",input_cbr_recovery_host_count)</f>
        <v>Value Missing</v>
      </c>
      <c r="V130" s="3"/>
    </row>
    <row r="131" spans="2:27" s="2" customFormat="1" ht="20" customHeight="1" x14ac:dyDescent="0.2">
      <c r="B131" s="4" t="s">
        <v>1837</v>
      </c>
      <c r="C131" s="8" t="str">
        <f>IF(ISBLANK(mgmt_ec_formfactor_chosen),"Value Missing",mgmt_ec_formfactor_chosen)</f>
        <v>Medium</v>
      </c>
      <c r="E131" s="9"/>
      <c r="F131" s="9"/>
      <c r="H131" s="30" t="s">
        <v>180</v>
      </c>
      <c r="I131" s="8" t="str">
        <f>IF(ISBLANK(input_cluster_az1_mgmt_vm_pg),"Value Missing",input_cluster_az1_mgmt_vm_pg)</f>
        <v>Value Missing</v>
      </c>
      <c r="K131" s="4" t="str">
        <f>IF(ISBLANK('Active Directory Inputs'!D75),"Value Missing",'Active Directory Inputs'!D75)</f>
        <v>gg-kub-admins</v>
      </c>
      <c r="L131" s="8" t="str">
        <f>IF(ISBLANK('Active Directory Inputs'!E75),"Value Missing",'Active Directory Inputs'!E75)</f>
        <v>Value Missing</v>
      </c>
      <c r="Q131" s="200" t="s">
        <v>254</v>
      </c>
      <c r="R131" s="201" t="s">
        <v>20</v>
      </c>
      <c r="T131" s="4" t="s">
        <v>1874</v>
      </c>
      <c r="U131" s="8" t="str">
        <f>IF(ISBLANK(input_cbr_recovery_vpc),"Value Missing",input_cbr_recovery_vpc)</f>
        <v>Value Missing</v>
      </c>
      <c r="V131" s="3"/>
    </row>
    <row r="132" spans="2:27" s="2" customFormat="1" ht="20" customHeight="1" x14ac:dyDescent="0.2">
      <c r="B132" s="4" t="s">
        <v>1839</v>
      </c>
      <c r="C132" s="8" t="str">
        <f>IF(ISBLANK(input_mgmt_ec_mtu),"Value Missing",input_mgmt_ec_mtu)</f>
        <v>Value Missing</v>
      </c>
      <c r="E132" s="220" t="s">
        <v>1834</v>
      </c>
      <c r="F132" s="222"/>
      <c r="H132" s="30" t="s">
        <v>757</v>
      </c>
      <c r="I132" s="8" t="str">
        <f>IF(ISBLANK(cluster_az1_mgmt_vm_lbt_chosen),"Value Missing",cluster_az1_mgmt_vm_lbt_chosen)</f>
        <v>Route Based on Physical NIC Load</v>
      </c>
      <c r="K132" s="4" t="str">
        <f>IF(ISBLANK('Active Directory Inputs'!D76),"Value Missing",'Active Directory Inputs'!D76)</f>
        <v>gg-kub-readonly</v>
      </c>
      <c r="L132" s="8" t="str">
        <f>IF(ISBLANK('Active Directory Inputs'!E76),"Value Missing",'Active Directory Inputs'!E76)</f>
        <v>Value Missing</v>
      </c>
      <c r="Q132" s="23" t="s">
        <v>1868</v>
      </c>
      <c r="R132" s="8"/>
      <c r="T132" s="4" t="s">
        <v>1877</v>
      </c>
      <c r="U132" s="8" t="str">
        <f>IF(ISBLANK(input_cbr_recovery_subnet),"Value Missing",input_cbr_recovery_subnet)</f>
        <v>Value Missing</v>
      </c>
      <c r="V132" s="3"/>
    </row>
    <row r="133" spans="2:27" s="2" customFormat="1" ht="20" customHeight="1" x14ac:dyDescent="0.2">
      <c r="B133" s="4" t="s">
        <v>1844</v>
      </c>
      <c r="C133" s="8" t="str">
        <f>IF(ISBLANK(input_mgmt_ec_rp_name),"Value Missing",input_mgmt_ec_rp_name)</f>
        <v>Value Missing</v>
      </c>
      <c r="E133" s="200" t="s">
        <v>254</v>
      </c>
      <c r="F133" s="201" t="s">
        <v>20</v>
      </c>
      <c r="H133" s="30" t="s">
        <v>759</v>
      </c>
      <c r="I133" s="8" t="str">
        <f>IF(ISBLANK(cluster_az1_mgmt_vm_uplink1_chosen),"Value Missing",cluster_az1_mgmt_vm_uplink1_chosen)</f>
        <v>Active</v>
      </c>
      <c r="K133" s="4" t="s">
        <v>1863</v>
      </c>
      <c r="L133" s="8" t="str">
        <f>IF(ISBLANK(input_parent_gg_wsa_admins_group),"Value Missing",input_parent_gg_wsa_admins_group)</f>
        <v>Value Missing</v>
      </c>
      <c r="Q133" s="23" t="s">
        <v>1873</v>
      </c>
      <c r="R133" s="8"/>
      <c r="T133" s="4" t="s">
        <v>1882</v>
      </c>
      <c r="U133" s="8" t="str">
        <f>IF(ISBLANK(input_cbr_recovery_management_subnet),"Value Missing",input_cbr_recovery_management_subnet)</f>
        <v>Value Missing</v>
      </c>
      <c r="V133" s="3"/>
    </row>
    <row r="134" spans="2:27" s="2" customFormat="1" ht="20" customHeight="1" x14ac:dyDescent="0.2">
      <c r="B134" s="4" t="s">
        <v>1848</v>
      </c>
      <c r="C134" s="8" t="str">
        <f>IF(ISBLANK(mgmt_ec01_host_group_affinity_rule_chosen),"Value Missing",mgmt_ec01_host_group_affinity_rule_chosen)</f>
        <v>No</v>
      </c>
      <c r="E134" s="28" t="s">
        <v>1415</v>
      </c>
      <c r="F134" s="8" t="str">
        <f>IF(ISBLANK('Configure Workload Domain'!D337),"Value Missing",'Configure Workload Domain'!D337)</f>
        <v>Value Missing</v>
      </c>
      <c r="H134" s="30" t="s">
        <v>761</v>
      </c>
      <c r="I134" s="8" t="str">
        <f>IF(ISBLANK(cluster_az1_mgmt_vm_uplink2_chosen),"Value Missing",cluster_az1_mgmt_vm_uplink2_chosen)</f>
        <v>Active</v>
      </c>
      <c r="K134" s="4" t="s">
        <v>1867</v>
      </c>
      <c r="L134" s="8" t="str">
        <f>IF(ISBLANK(input_parent_gg_wsa_directory_admins_group),"Value Missing",input_parent_gg_wsa_directory_admins_group)</f>
        <v>Value Missing</v>
      </c>
      <c r="Q134" s="9"/>
      <c r="R134" s="9"/>
      <c r="T134" s="4" t="s">
        <v>1885</v>
      </c>
      <c r="U134" s="8" t="str">
        <f>IF(ISBLANK(input_cbr_firewall_rule_vcenter),"Value Missing",input_cbr_firewall_rule_vcenter)</f>
        <v>Value Missing</v>
      </c>
      <c r="V134" s="3"/>
    </row>
    <row r="135" spans="2:27" s="2" customFormat="1" ht="20" customHeight="1" x14ac:dyDescent="0.2">
      <c r="B135" s="4" t="s">
        <v>1853</v>
      </c>
      <c r="C135" s="8" t="str">
        <f t="array" ref="C135">IF(ISBLANK(input_mgmt_ec01_en01_host_group_affinity_rule_name),"Value Missing",input_mgmt_ec01_en01_host_group_affinity_rule_name)</f>
        <v>Value Missing</v>
      </c>
      <c r="E135" s="28" t="s">
        <v>271</v>
      </c>
      <c r="F135" s="8" t="str">
        <f>IF(ISBLANK('Configure Workload Domain'!D345),"Value Missing",'Configure Workload Domain'!D345)</f>
        <v>Value Missing</v>
      </c>
      <c r="H135" s="223" t="s">
        <v>1426</v>
      </c>
      <c r="I135" s="223"/>
      <c r="K135" s="4" t="s">
        <v>1872</v>
      </c>
      <c r="L135" s="8" t="str">
        <f>IF(ISBLANK(input_parent_gg_wsa_read_only_group),"Value Missing",input_parent_gg_wsa_read_only_group)</f>
        <v>Value Missing</v>
      </c>
      <c r="Q135" s="220" t="s">
        <v>1881</v>
      </c>
      <c r="R135" s="220"/>
      <c r="T135" s="4" t="s">
        <v>1887</v>
      </c>
      <c r="U135" s="8" t="str">
        <f>IF(ISBLANK(input_cbr_vcdr_site_name),"Value Missing",input_cbr_vcdr_site_name)</f>
        <v>Value Missing</v>
      </c>
      <c r="V135" s="3"/>
    </row>
    <row r="136" spans="2:27" s="2" customFormat="1" ht="20" customHeight="1" x14ac:dyDescent="0.2">
      <c r="B136" s="4" t="s">
        <v>1853</v>
      </c>
      <c r="C136" s="8" t="str">
        <f t="array" ref="C136">IF(ISBLANK(input_mgmt_ec01_en02_host_group_affinity_rule_name),"Value Missing",input_mgmt_ec01_en02_host_group_affinity_rule_name)</f>
        <v>Value Missing</v>
      </c>
      <c r="E136" s="28" t="s">
        <v>1849</v>
      </c>
      <c r="F136" s="8" t="str">
        <f>IF(ISBLANK(input_wld_witness_ip),"Value Missing",input_wld_witness_ip)</f>
        <v>Value Missing</v>
      </c>
      <c r="H136" s="30" t="s">
        <v>180</v>
      </c>
      <c r="I136" s="8" t="str">
        <f>IF(ISBLANK(input_cluster_az1_vmotion_pg),"Value Missing",input_cluster_az1_vmotion_pg)</f>
        <v>Value Missing</v>
      </c>
      <c r="K136" s="4" t="s">
        <v>1876</v>
      </c>
      <c r="L136" s="8" t="str">
        <f>IF(ISBLANK('Active Directory Inputs'!E54),"Value Missing",'Active Directory Inputs'!E54)</f>
        <v>Value Missing</v>
      </c>
      <c r="Q136" s="200" t="s">
        <v>254</v>
      </c>
      <c r="R136" s="201" t="s">
        <v>20</v>
      </c>
      <c r="T136" s="4" t="s">
        <v>1890</v>
      </c>
      <c r="U136" s="8" t="str">
        <f>IF(ISBLANK(input_cbr_vcdr_timezone),"Value Missing",input_cbr_vcdr_timezone)</f>
        <v>Value Missing</v>
      </c>
      <c r="V136" s="3"/>
    </row>
    <row r="137" spans="2:27" s="2" customFormat="1" ht="20" customHeight="1" x14ac:dyDescent="0.2">
      <c r="B137" s="4" t="s">
        <v>1858</v>
      </c>
      <c r="C137" s="8" t="str">
        <f>IF(ISBLANK(mgmt_ec01_use_host_overlay_chosen),"Value Missing",mgmt_ec01_use_host_overlay_chosen)</f>
        <v xml:space="preserve">Unselected </v>
      </c>
      <c r="E137" s="28" t="s">
        <v>1415</v>
      </c>
      <c r="F137" s="8" t="str">
        <f>IF(ISBLANK(input_wld_witness_zone_vc_fqdn),"Value Missing",input_wld_witness_zone_vc_fqdn)</f>
        <v>Value Missing</v>
      </c>
      <c r="H137" s="30" t="s">
        <v>757</v>
      </c>
      <c r="I137" s="8" t="str">
        <f>IF(ISBLANK(cluster_az1_vmotion_lbt_chosen),"Value Missing",cluster_az1_vmotion_lbt_chosen)</f>
        <v>Route Based on Physical NIC Load</v>
      </c>
      <c r="K137" s="4" t="s">
        <v>1880</v>
      </c>
      <c r="L137" s="8" t="str">
        <f>IF(ISBLANK('Active Directory Inputs'!E55),"Value Missing",'Active Directory Inputs'!E55)</f>
        <v>Value Missing</v>
      </c>
      <c r="Q137" s="23" t="s">
        <v>1868</v>
      </c>
      <c r="R137" s="8"/>
      <c r="T137" s="4" t="s">
        <v>1893</v>
      </c>
      <c r="U137" s="8" t="str">
        <f t="array" ref="U137">IF(ISBLANK(input_cbr_vcdr_cdp1_hostname),"Value Missing",input_cbr_vcdr_cdp1_hostname)</f>
        <v>Value Missing</v>
      </c>
      <c r="V137" s="3"/>
    </row>
    <row r="138" spans="2:27" s="2" customFormat="1" ht="20" customHeight="1" x14ac:dyDescent="0.2">
      <c r="B138" s="4" t="s">
        <v>1861</v>
      </c>
      <c r="C138" s="8" t="str">
        <f>IF(mgmt_dpg_reuse_chosen="Use a separate dedicated network","Included","Excluded")</f>
        <v>Included</v>
      </c>
      <c r="E138" s="28" t="s">
        <v>1856</v>
      </c>
      <c r="F138" s="8" t="str">
        <f>IF(ISBLANK(input_wld_witnessaz_mgmt_cidr),"Value Missing",input_wld_witnessaz_mgmt_cidr)</f>
        <v>Value Missing</v>
      </c>
      <c r="H138" s="30" t="s">
        <v>759</v>
      </c>
      <c r="I138" s="8" t="str">
        <f>IF(ISBLANK(cluster_az1_vmotion_uplink1_chosen),"Value Missing",cluster_az1_vmotion_uplink1_chosen)</f>
        <v>Active</v>
      </c>
      <c r="K138" s="4" t="s">
        <v>1884</v>
      </c>
      <c r="L138" s="8" t="str">
        <f>IF(ISBLANK('Active Directory Inputs'!E56),"Value Missing",'Active Directory Inputs'!E56)</f>
        <v>Value Missing</v>
      </c>
      <c r="Q138" s="23" t="s">
        <v>1873</v>
      </c>
      <c r="R138" s="8"/>
      <c r="T138" s="4" t="s">
        <v>1897</v>
      </c>
      <c r="U138" s="8" t="str">
        <f>IF(ISBLANK(input_cbr_vcdr_cdp1_ip),"Value Missing",input_cbr_vcdr_cdp1_ip)</f>
        <v>Value Missing</v>
      </c>
      <c r="V138" s="3"/>
    </row>
    <row r="139" spans="2:27" s="2" customFormat="1" ht="20" customHeight="1" x14ac:dyDescent="0.2">
      <c r="B139" s="4" t="s">
        <v>1865</v>
      </c>
      <c r="C139" s="8" t="str">
        <f>mgmt_gateway_routing_type_chosen</f>
        <v>BGP</v>
      </c>
      <c r="E139" s="28" t="s">
        <v>3695</v>
      </c>
      <c r="F139" s="8" t="str">
        <f>IF(ISBLANK(input_wld_witnessaz_mgmt_gateway_ip),"Value Missing",input_wld_witnessaz_mgmt_gateway_ip)</f>
        <v>Value Missing</v>
      </c>
      <c r="H139" s="30" t="s">
        <v>761</v>
      </c>
      <c r="I139" s="8" t="str">
        <f>IF(ISBLANK(cluster_az1_vmotion_uplink2_chosen),"Value Missing",cluster_az1_vmotion_uplink2_chosen)</f>
        <v>Active</v>
      </c>
      <c r="K139" s="4" t="s">
        <v>1886</v>
      </c>
      <c r="L139" s="8" t="str">
        <f>IF(ISBLANK('Active Directory Inputs'!E84),"Value Missing",'Active Directory Inputs'!E84)</f>
        <v>Value Missing</v>
      </c>
      <c r="Q139" s="202"/>
      <c r="T139" s="4" t="s">
        <v>1901</v>
      </c>
      <c r="U139" s="8" t="str">
        <f>IF(ISBLANK(input_cbr_vcdr_cdp2_hostname),"Value Missing",input_cbr_vcdr_cdp2_hostname)</f>
        <v>Value Missing</v>
      </c>
      <c r="V139" s="3"/>
    </row>
    <row r="140" spans="2:27" s="2" customFormat="1" ht="20" customHeight="1" x14ac:dyDescent="0.2">
      <c r="B140" s="4" t="s">
        <v>1870</v>
      </c>
      <c r="C140" s="8" t="str">
        <f>mgmt_az1_en1_ip_allocation_chosen</f>
        <v>Static</v>
      </c>
      <c r="E140" s="28" t="s">
        <v>3696</v>
      </c>
      <c r="F140" s="8" t="str">
        <f>IF(wld_witnessaz_mgmt_cidr="Value Missing",wld_witnessaz_mgmt_cidr,(LEFT(wld_witnessaz_mgmt_cidr,(FIND("/",wld_witnessaz_mgmt_cidr)-1))))</f>
        <v>Value Missing</v>
      </c>
      <c r="H140" s="223" t="s">
        <v>258</v>
      </c>
      <c r="I140" s="223"/>
      <c r="K140" s="4" t="s">
        <v>1889</v>
      </c>
      <c r="L140" s="8" t="str">
        <f>IF(ISBLANK('Active Directory Inputs'!E85),"Value Missing",'Active Directory Inputs'!E85)</f>
        <v>Value Missing</v>
      </c>
      <c r="Q140" s="9"/>
      <c r="R140" s="9"/>
      <c r="T140" s="4" t="s">
        <v>1903</v>
      </c>
      <c r="U140" s="8" t="str">
        <f>IF(ISBLANK(input_cbr_vcdr_cdp2_ip),"Value Missing",input_cbr_vcdr_cdp2_ip)</f>
        <v>Value Missing</v>
      </c>
      <c r="V140" s="3"/>
    </row>
    <row r="141" spans="2:27" s="2" customFormat="1" ht="20" customHeight="1" x14ac:dyDescent="0.2">
      <c r="B141" s="4" t="s">
        <v>1875</v>
      </c>
      <c r="C141" s="8" t="str">
        <f>IF(ISBLANK(mgmt_az1_en1_edge_overlay_network_ip_allocation_chosen),"Value Missing",mgmt_az1_en1_edge_overlay_network_ip_allocation_chosen)</f>
        <v>IP Pool</v>
      </c>
      <c r="E141" s="28" t="s">
        <v>3697</v>
      </c>
      <c r="F141" s="8" t="str">
        <f>IF(wld_witnessaz_mgmt_cidr="Value Missing",wld_witnessaz_mgmt_cidr,VLOOKUP(INT(RIGHT(wld_witnessaz_mgmt_cidr,LEN(wld_witnessaz_mgmt_cidr)-FIND("/",wld_witnessaz_mgmt_cidr))),table_cidr_to_mask,2,FALSE))</f>
        <v>Value Missing</v>
      </c>
      <c r="H141" s="30" t="s">
        <v>180</v>
      </c>
      <c r="I141" s="8" t="str">
        <f>IF(ISBLANK(input_cluster_az1_principal_storage_pg),"Value Missing",input_cluster_az1_principal_storage_pg)</f>
        <v>Value Missing</v>
      </c>
      <c r="K141" s="4" t="s">
        <v>1892</v>
      </c>
      <c r="L141" s="8" t="str">
        <f>IF(ISBLANK('Active Directory Inputs'!E86),"Value Missing",'Active Directory Inputs'!E86)</f>
        <v>Value Missing</v>
      </c>
      <c r="Q141" s="9"/>
      <c r="R141" s="9"/>
      <c r="T141" s="4" t="s">
        <v>1906</v>
      </c>
      <c r="U141" s="8" t="str">
        <f>IF(ISBLANK(input_cbr_vcdr_ova),"Value Missing",input_cbr_vcdr_ova)</f>
        <v>Value Missing</v>
      </c>
      <c r="V141" s="3"/>
      <c r="Z141" s="9"/>
      <c r="AA141" s="9"/>
    </row>
    <row r="142" spans="2:27" s="2" customFormat="1" ht="20" customHeight="1" x14ac:dyDescent="0.2">
      <c r="B142" s="4" t="s">
        <v>1878</v>
      </c>
      <c r="C142" s="8" t="str">
        <f>IF(ISBLANK(mgmt_az1_en1_edge_overlay_network_ip_allocation_chosen),"Value Missing",mgmt_az1_en1_edge_overlay_network_ip_allocation_chosen)</f>
        <v>IP Pool</v>
      </c>
      <c r="E142" s="28" t="s">
        <v>1862</v>
      </c>
      <c r="F142" s="8" t="e">
        <f>IF(ISBLANK(input_xreg_vra_prefix),"Value Missing",input_xreg_vra_prefix)</f>
        <v>#NAME?</v>
      </c>
      <c r="H142" s="30" t="s">
        <v>757</v>
      </c>
      <c r="I142" s="8" t="str">
        <f>IF(ISBLANK(cluster_az1_principal_storage_lbt_chosen),"Value Missing",cluster_az1_principal_storage_lbt_chosen)</f>
        <v>Route Based on Physical NIC Load</v>
      </c>
      <c r="K142" s="4" t="s">
        <v>1896</v>
      </c>
      <c r="L142" s="8" t="str">
        <f>IF(ISBLANK('Active Directory Inputs'!E79),"Value Missing",'Active Directory Inputs'!E79)</f>
        <v>Value Missing</v>
      </c>
      <c r="Q142" s="9"/>
      <c r="R142" s="9"/>
      <c r="T142" s="4" t="s">
        <v>1909</v>
      </c>
      <c r="U142" s="8" t="str">
        <f>IF(ISBLANK(input_cbr_vcdr_orchestrator_fqdn),"Value Missing",input_cbr_vcdr_orchestrator_fqdn)</f>
        <v>Value Missing</v>
      </c>
      <c r="V142" s="3"/>
      <c r="X142" s="9"/>
      <c r="Z142" s="9"/>
      <c r="AA142" s="9"/>
    </row>
    <row r="143" spans="2:27" s="2" customFormat="1" ht="20" customHeight="1" x14ac:dyDescent="0.2">
      <c r="B143" s="4" t="s">
        <v>1883</v>
      </c>
      <c r="C143" s="8" t="str">
        <f>mgmt_az1_ec01_password_creation_chosen</f>
        <v>Selected</v>
      </c>
      <c r="E143" s="28" t="s">
        <v>1866</v>
      </c>
      <c r="F143" s="8" t="str">
        <f>IF(ISBLANK(input_xreg_vrops_collector_ip),"Value Missing",input_xreg_vrops_collector_ip)</f>
        <v>Value Missing</v>
      </c>
      <c r="H143" s="30" t="s">
        <v>759</v>
      </c>
      <c r="I143" s="8" t="str">
        <f>IF(ISBLANK(cluster_az1_principal_storage_uplink1_chosen),"Value Missing",cluster_az1_principal_storage_uplink1_chosen)</f>
        <v>Active</v>
      </c>
      <c r="K143" s="4" t="s">
        <v>1900</v>
      </c>
      <c r="L143" s="8" t="str">
        <f>IF(ISBLANK('Active Directory Inputs'!E80),"Value Missing",'Active Directory Inputs'!E80)</f>
        <v>Value Missing</v>
      </c>
      <c r="Q143" s="9"/>
      <c r="R143" s="9"/>
      <c r="T143" s="4" t="s">
        <v>1912</v>
      </c>
      <c r="U143" s="8" t="str">
        <f>IF(ISBLANK(input_cbr_vcdr_passcode),"Value Missing",input_cbr_vcdr_passcode)</f>
        <v>Value Missing</v>
      </c>
      <c r="V143" s="3"/>
      <c r="Z143" s="9"/>
      <c r="AA143" s="9"/>
    </row>
    <row r="144" spans="2:27" s="2" customFormat="1" ht="20" customHeight="1" x14ac:dyDescent="0.2">
      <c r="B144" s="4" t="s">
        <v>1888</v>
      </c>
      <c r="C144" s="8" t="str">
        <f>IF(ISBLANK(wld_az1_ec01_password_creation_chosen),"Value Missing",wld_az1_ec01_password_creation_chosen)</f>
        <v>Selected</v>
      </c>
      <c r="E144" s="28" t="s">
        <v>1871</v>
      </c>
      <c r="F144" s="8" t="str">
        <f>IF(ISBLANK(mgmt_vcfops_appliance_size_chosen),"Value Missing",mgmt_vcfops_appliance_size_chosen)</f>
        <v>Medium</v>
      </c>
      <c r="H144" s="30" t="s">
        <v>761</v>
      </c>
      <c r="I144" s="8" t="str">
        <f>IF(ISBLANK(cluster_az1_principal_storage_uplink2_chosen),"Value Missing",cluster_az1_principal_storage_uplink2_chosen)</f>
        <v>Active</v>
      </c>
      <c r="K144" s="4" t="s">
        <v>1902</v>
      </c>
      <c r="L144" s="8" t="str">
        <f>IF(ISBLANK('Active Directory Inputs'!E81),"Value Missing",'Active Directory Inputs'!E81)</f>
        <v>Value Missing</v>
      </c>
      <c r="Q144" s="9"/>
      <c r="R144" s="9"/>
      <c r="T144" s="4" t="s">
        <v>1916</v>
      </c>
      <c r="U144" s="8" t="str">
        <f>IF(ISBLANK(input_cbr_vcdr_label),"Value Missing",input_cbr_vcdr_label)</f>
        <v>Value Missing</v>
      </c>
      <c r="V144" s="3"/>
      <c r="Z144" s="9"/>
      <c r="AA144" s="9"/>
    </row>
    <row r="145" spans="2:31" s="2" customFormat="1" ht="20" customHeight="1" x14ac:dyDescent="0.2">
      <c r="B145" s="4" t="s">
        <v>4122</v>
      </c>
      <c r="C145" s="8" t="str">
        <f>IF(ISBLANK(input_mgmt_az1_dtgw_gateway_cidr),"Value Missing",input_mgmt_az1_dtgw_gateway_cidr)</f>
        <v>Value Missing</v>
      </c>
      <c r="E145" s="9"/>
      <c r="F145" s="9"/>
      <c r="H145" s="223" t="s">
        <v>1899</v>
      </c>
      <c r="I145" s="223"/>
      <c r="K145" s="4" t="s">
        <v>1905</v>
      </c>
      <c r="L145" s="8" t="str">
        <f>IF(ISBLANK('Active Directory Inputs'!E94),"Value Missing",'Active Directory Inputs'!E94)</f>
        <v>Value Missing</v>
      </c>
      <c r="Q145" s="9"/>
      <c r="R145" s="9"/>
      <c r="T145" s="4" t="s">
        <v>1919</v>
      </c>
      <c r="U145" s="8" t="str">
        <f>IF(ISBLANK(input_cbr_vcdr_anti_affinity),"Value Missing",input_cbr_vcdr_anti_affinity)</f>
        <v>Value Missing</v>
      </c>
      <c r="V145" s="3"/>
      <c r="Z145" s="9"/>
      <c r="AA145" s="9"/>
    </row>
    <row r="146" spans="2:31" s="2" customFormat="1" ht="20" customHeight="1" x14ac:dyDescent="0.2">
      <c r="E146" s="218" t="s">
        <v>1879</v>
      </c>
      <c r="F146" s="218"/>
      <c r="H146" s="30" t="s">
        <v>180</v>
      </c>
      <c r="I146" s="8" t="str">
        <f>IF(ISBLANK(input_cluster_az1_vsan_storage_client_pg),"Value Missing",input_cluster_az1_vsan_storage_client_pg)</f>
        <v>Value Missing</v>
      </c>
      <c r="K146" s="4" t="s">
        <v>1908</v>
      </c>
      <c r="L146" s="8" t="str">
        <f>IF(ISBLANK('Active Directory Inputs'!E95),"Value Missing",'Active Directory Inputs'!E95)</f>
        <v>Value Missing</v>
      </c>
      <c r="Q146" s="9"/>
      <c r="R146" s="9"/>
      <c r="T146" s="4" t="s">
        <v>1922</v>
      </c>
      <c r="U146" s="8" t="str">
        <f>IF(ISBLANK(input_cbr_vcdr_email_recipient),"Value Missing",input_cbr_vcdr_email_recipient)</f>
        <v>Value Missing</v>
      </c>
      <c r="V146" s="3"/>
      <c r="Z146" s="9"/>
      <c r="AA146" s="9"/>
    </row>
    <row r="147" spans="2:31" s="2" customFormat="1" ht="20" customHeight="1" x14ac:dyDescent="0.2">
      <c r="B147" s="225" t="s">
        <v>1894</v>
      </c>
      <c r="C147" s="227"/>
      <c r="E147" s="223" t="s">
        <v>254</v>
      </c>
      <c r="F147" s="224" t="s">
        <v>1044</v>
      </c>
      <c r="H147" s="30" t="s">
        <v>757</v>
      </c>
      <c r="I147" s="8" t="str">
        <f>IF(ISBLANK(cluster_az1_vsan_storage_client_lbt_chosen),"Value Missing",cluster_az1_vsan_storage_client_lbt_chosen)</f>
        <v>Route Based on Physical NIC Load</v>
      </c>
      <c r="K147" s="4" t="s">
        <v>1911</v>
      </c>
      <c r="L147" s="8" t="str">
        <f>IF(ISBLANK('Active Directory Inputs'!E96),"Value Missing",'Active Directory Inputs'!E96)</f>
        <v>Value Missing</v>
      </c>
      <c r="Q147" s="9"/>
      <c r="R147" s="9"/>
      <c r="T147" s="4" t="s">
        <v>1925</v>
      </c>
      <c r="U147" s="8" t="str">
        <f>IF(ISBLANK(input_cbr_vcdr_email_sender),"Value Missing",input_cbr_vcdr_email_sender)</f>
        <v>Value Missing</v>
      </c>
      <c r="V147" s="3"/>
      <c r="Z147" s="9"/>
      <c r="AA147" s="9"/>
    </row>
    <row r="148" spans="2:31" s="2" customFormat="1" ht="20" customHeight="1" x14ac:dyDescent="0.2">
      <c r="B148" s="223" t="s">
        <v>254</v>
      </c>
      <c r="C148" s="223" t="s">
        <v>20</v>
      </c>
      <c r="E148" s="4" t="s">
        <v>3998</v>
      </c>
      <c r="F148" s="8" t="str">
        <f>IF(ISBLANK(input_wld_sso_domain_name),"Value Missing",input_wld_sso_domain_name)</f>
        <v>Value Missing</v>
      </c>
      <c r="H148" s="30" t="s">
        <v>759</v>
      </c>
      <c r="I148" s="8" t="str">
        <f>IF(ISBLANK(cluster_az1_vsan_storage_client_uplink1),"Value Missing",cluster_az1_vsan_storage_client_uplink1)</f>
        <v>Active</v>
      </c>
      <c r="K148" s="4" t="s">
        <v>1915</v>
      </c>
      <c r="L148" s="8" t="str">
        <f>IF(ISBLANK('Active Directory Inputs'!E97),"Value Missing",'Active Directory Inputs'!E97)</f>
        <v>Value Missing</v>
      </c>
      <c r="Q148" s="9"/>
      <c r="R148" s="9"/>
      <c r="T148" s="4" t="s">
        <v>1928</v>
      </c>
      <c r="U148" s="8" t="str">
        <f>IF(ISBLANK(input_cbr_aria_logs_url),"Value Missing",input_cbr_aria_logs_url)</f>
        <v>Value Missing</v>
      </c>
      <c r="V148" s="3"/>
      <c r="Z148" s="9"/>
      <c r="AA148" s="9"/>
    </row>
    <row r="149" spans="2:31" s="2" customFormat="1" ht="20" customHeight="1" x14ac:dyDescent="0.2">
      <c r="B149" s="4" t="s">
        <v>1955</v>
      </c>
      <c r="C149" s="8" t="str">
        <f>flt_vidb_identity_provider_chosen</f>
        <v>AD/LDAP</v>
      </c>
      <c r="E149" s="4" t="s">
        <v>3999</v>
      </c>
      <c r="F149" s="8" t="str">
        <f>IF(ISBLANK(input_wld_administrator_vsphere_local_password),"Value Missing",input_wld_administrator_vsphere_local_password)</f>
        <v>Value Missing</v>
      </c>
      <c r="H149" s="30" t="s">
        <v>761</v>
      </c>
      <c r="I149" s="8" t="str">
        <f>IF(ISBLANK(cluster_az1_vsan_storage_client_uplink2),"Value Missing",cluster_az1_vsan_storage_client_uplink2)</f>
        <v>Active</v>
      </c>
      <c r="K149" s="4" t="s">
        <v>1918</v>
      </c>
      <c r="L149" s="8" t="str">
        <f>IF(ISBLANK('Active Directory Inputs'!E103),"Value Missing",'Active Directory Inputs'!E103)</f>
        <v>Value Missing</v>
      </c>
      <c r="Q149" s="9"/>
      <c r="R149" s="9"/>
      <c r="T149" s="4" t="s">
        <v>1931</v>
      </c>
      <c r="U149" s="8" t="str">
        <f>IF(ISBLANK(input_cbr_aria_logs_key),"Value Missing",input_cbr_aria_logs_key)</f>
        <v>Value Missing</v>
      </c>
      <c r="V149" s="3"/>
      <c r="Z149" s="9"/>
      <c r="AA149" s="9"/>
    </row>
    <row r="150" spans="2:31" s="2" customFormat="1" ht="20" customHeight="1" x14ac:dyDescent="0.2">
      <c r="B150" s="4" t="s">
        <v>1958</v>
      </c>
      <c r="C150" s="8" t="str">
        <f>IF(ISBLANK(input_flt_vidb_directory_name),"Value Missing",input_flt_vidb_directory_name)</f>
        <v>Value Missing</v>
      </c>
      <c r="E150" s="4" t="s">
        <v>1891</v>
      </c>
      <c r="F150" s="8" t="str">
        <f>(CONCATENATE("administrator@",input_wld_sso_domain_name))</f>
        <v>administrator@</v>
      </c>
      <c r="H150" s="223" t="s">
        <v>1914</v>
      </c>
      <c r="I150" s="223"/>
      <c r="K150" s="4" t="s">
        <v>1921</v>
      </c>
      <c r="L150" s="8" t="str">
        <f>IF(ISBLANK('Active Directory Inputs'!E104),"Value Missing",'Active Directory Inputs'!E104)</f>
        <v>Value Missing</v>
      </c>
      <c r="Q150" s="9"/>
      <c r="R150" s="9"/>
      <c r="T150" s="9"/>
      <c r="U150" s="9"/>
      <c r="V150" s="3"/>
      <c r="X150" s="9"/>
      <c r="Z150" s="9"/>
      <c r="AA150" s="9"/>
    </row>
    <row r="151" spans="2:31" s="2" customFormat="1" ht="20" customHeight="1" x14ac:dyDescent="0.2">
      <c r="B151" s="4" t="s">
        <v>1962</v>
      </c>
      <c r="C151" s="8" t="str">
        <f>flt_vidb_server_location_chosen</f>
        <v>Selected</v>
      </c>
      <c r="E151" s="28" t="s">
        <v>1895</v>
      </c>
      <c r="F151" s="8" t="str">
        <f>IF(ISBLANK(input_wld_cl01_image_name),"Value Missing",input_wld_cl01_image_name)</f>
        <v>Value Missing</v>
      </c>
      <c r="H151" s="4" t="s">
        <v>767</v>
      </c>
      <c r="I151" s="8" t="str">
        <f>cluster_nsx_default_operation_mode_chosen</f>
        <v>Selected</v>
      </c>
      <c r="K151" s="4" t="s">
        <v>1924</v>
      </c>
      <c r="L151" s="8" t="str">
        <f>IF(ISBLANK('Active Directory Inputs'!E105),"Value Missing",'Active Directory Inputs'!E105)</f>
        <v>Value Missing</v>
      </c>
      <c r="Q151" s="9"/>
      <c r="R151" s="9"/>
      <c r="T151" s="519" t="s">
        <v>1935</v>
      </c>
      <c r="U151" s="520"/>
      <c r="V151" s="3"/>
      <c r="X151" s="9"/>
      <c r="Z151" s="9"/>
      <c r="AA151" s="9"/>
    </row>
    <row r="152" spans="2:31" s="2" customFormat="1" ht="20" customHeight="1" x14ac:dyDescent="0.2">
      <c r="B152" s="4" t="s">
        <v>1965</v>
      </c>
      <c r="C152" s="8" t="str">
        <f>flt_vidb_global_catalog_chosen</f>
        <v>Unselected</v>
      </c>
      <c r="E152" s="4" t="s">
        <v>1898</v>
      </c>
      <c r="F152" s="8" t="str">
        <f>wld_centralized_connectivity_chosen</f>
        <v>Distributed Connectivity</v>
      </c>
      <c r="H152" s="4" t="s">
        <v>525</v>
      </c>
      <c r="I152" s="8" t="str">
        <f>cluster_nsx_operation_mode_chosen</f>
        <v>Standard</v>
      </c>
      <c r="K152" s="4" t="s">
        <v>1927</v>
      </c>
      <c r="L152" s="8" t="str">
        <f>IF(ISBLANK(input_gg_vcf_admins_group),"Value Missing",input_gg_vcf_admins_group)</f>
        <v>Value Missing</v>
      </c>
      <c r="Q152" s="9"/>
      <c r="R152" s="9"/>
      <c r="T152" s="200" t="s">
        <v>254</v>
      </c>
      <c r="U152" s="201" t="s">
        <v>20</v>
      </c>
      <c r="V152" s="3"/>
      <c r="X152" s="9"/>
      <c r="Z152" s="9"/>
      <c r="AA152" s="9"/>
    </row>
    <row r="153" spans="2:31" s="2" customFormat="1" ht="20" customHeight="1" x14ac:dyDescent="0.2">
      <c r="B153" s="4" t="s">
        <v>1968</v>
      </c>
      <c r="C153" s="8" t="str">
        <f>flt_vidb_encrypted_connection_chosen</f>
        <v>Unselected</v>
      </c>
      <c r="E153" s="4" t="s">
        <v>702</v>
      </c>
      <c r="F153" s="8" t="str">
        <f>IF(ISBLANK(input_wld_nsxt_lm_audit_password),"Value Missing",input_wld_nsxt_lm_audit_password)</f>
        <v>Value Missing</v>
      </c>
      <c r="H153" s="223" t="s">
        <v>770</v>
      </c>
      <c r="I153" s="223"/>
      <c r="K153" s="4" t="s">
        <v>1930</v>
      </c>
      <c r="L153" s="8" t="str">
        <f>IF(ISBLANK(input_gg_vcf_operators_group),"Value Missing",input_gg_vcf_operators_group)</f>
        <v>Value Missing</v>
      </c>
      <c r="Q153" s="9"/>
      <c r="R153" s="9"/>
      <c r="T153" s="4" t="s">
        <v>1940</v>
      </c>
      <c r="U153" s="8" t="str">
        <f>IF(ISBLANK(input_ccm_hcx_vsphere_role),"Value Missing",input_ccm_hcx_vsphere_role)</f>
        <v>Value Missing</v>
      </c>
      <c r="V153" s="3"/>
      <c r="X153" s="9"/>
      <c r="Z153" s="9"/>
      <c r="AA153" s="9"/>
    </row>
    <row r="154" spans="2:31" s="2" customFormat="1" ht="20" customHeight="1" x14ac:dyDescent="0.2">
      <c r="B154" s="4" t="s">
        <v>1970</v>
      </c>
      <c r="C154" s="8" t="str">
        <f>IF(ISBLANK(input_flt_vidb_encrypted_cert),"Value Missing",input_flt_vidb_encrypted_cert)</f>
        <v>Value Missing</v>
      </c>
      <c r="E154" s="4" t="s">
        <v>1904</v>
      </c>
      <c r="F154" s="8" t="str">
        <f>IF(ISBLANK(input_wld_nsxt_lm_admin_password),"Value Missing",input_wld_nsxt_lm_admin_password)</f>
        <v>Value Missing</v>
      </c>
      <c r="H154" s="4" t="s">
        <v>771</v>
      </c>
      <c r="I154" s="8" t="str">
        <f>IF(ISBLANK(input_cluster_host_overlay_transportzone),"Value Missing",input_cluster_host_overlay_transportzone)</f>
        <v>Value Missing</v>
      </c>
      <c r="K154" s="4" t="s">
        <v>1933</v>
      </c>
      <c r="L154" s="8" t="str">
        <f>IF(ISBLANK(input_gg_vcf_viewers_group),"Value Missing",input_gg_vcf_viewers_group)</f>
        <v>Value Missing</v>
      </c>
      <c r="Q154" s="9"/>
      <c r="R154" s="9"/>
      <c r="T154" s="4" t="s">
        <v>1943</v>
      </c>
      <c r="U154" s="8" t="str">
        <f>IF(ISBLANK(input_svc_ccm_hcx_vsphere_user),"Value Missing",input_svc_ccm_hcx_vsphere_user)</f>
        <v>Value Missing</v>
      </c>
      <c r="V154" s="3"/>
      <c r="X154" s="9"/>
      <c r="Z154" s="9"/>
      <c r="AA154" s="9"/>
    </row>
    <row r="155" spans="2:31" s="2" customFormat="1" ht="20" customHeight="1" x14ac:dyDescent="0.2">
      <c r="B155" s="4" t="s">
        <v>1972</v>
      </c>
      <c r="C155" s="8" t="str">
        <f>IF(ISBLANK(input_flt_vidb_primary_domain_controller),"Value Missing",input_flt_vidb_primary_domain_controller)</f>
        <v>Value Missing</v>
      </c>
      <c r="E155" s="4" t="s">
        <v>1907</v>
      </c>
      <c r="F155" s="8" t="str">
        <f>wld_nsx_ha_mode_chosen</f>
        <v>High-Availability</v>
      </c>
      <c r="H155" s="4" t="s">
        <v>85</v>
      </c>
      <c r="I155" s="8" t="str">
        <f>IF(ISBLANK(input_cluster_az1_host_overlay_vlan),"Value Missing",input_cluster_az1_host_overlay_vlan)</f>
        <v>Value Missing</v>
      </c>
      <c r="K155" s="4" t="s">
        <v>1934</v>
      </c>
      <c r="L155" s="8" t="str">
        <f>IF(ISBLANK(input_gg_vc_admins_group),"Value Missing",input_gg_vc_admins_group)</f>
        <v>Value Missing</v>
      </c>
      <c r="Q155" s="9"/>
      <c r="R155" s="9"/>
      <c r="T155" s="4" t="s">
        <v>1946</v>
      </c>
      <c r="U155" s="8" t="str">
        <f>IF(ISBLANK(input_svc_ccm_hcx_vsphere_password),"Value Missing",input_svc_ccm_hcx_vsphere_password)</f>
        <v>Value Missing</v>
      </c>
      <c r="V155" s="3"/>
      <c r="X155" s="9"/>
      <c r="Z155" s="9"/>
      <c r="AA155" s="9"/>
    </row>
    <row r="156" spans="2:31" s="2" customFormat="1" ht="20" customHeight="1" x14ac:dyDescent="0.2">
      <c r="B156" s="4" t="s">
        <v>1974</v>
      </c>
      <c r="C156" s="8" t="str">
        <f>IF(ISBLANK(input_flt_vidb_primary_domain_controller_port),"Value Missing",input_flt_vidb_primary_domain_controller_port)</f>
        <v>Value Missing</v>
      </c>
      <c r="E156" s="4" t="s">
        <v>1910</v>
      </c>
      <c r="F156" s="8"/>
      <c r="H156" s="4" t="s">
        <v>772</v>
      </c>
      <c r="I156" s="8" t="str">
        <f>IF(ISBLANK(cluster_host_overlay_addressing_chosen),"Value Missing",cluster_host_overlay_addressing_chosen)</f>
        <v>Static IP Pool</v>
      </c>
      <c r="K156" s="4" t="s">
        <v>1937</v>
      </c>
      <c r="L156" s="8" t="str">
        <f>IF(ISBLANK(input_gg_vc_read_only_group),"Value Missing",input_gg_vc_read_only_group)</f>
        <v>Value Missing</v>
      </c>
      <c r="Q156" s="9"/>
      <c r="R156" s="9"/>
      <c r="T156" s="4" t="s">
        <v>1949</v>
      </c>
      <c r="U156" s="8" t="str">
        <f>IF(ISBLANK(input_ccm_vm_folder),"Value Missing",input_ccm_vm_folder)</f>
        <v>Value Missing</v>
      </c>
      <c r="V156" s="3"/>
      <c r="X156" s="9"/>
      <c r="Z156" s="9"/>
      <c r="AA156" s="9"/>
    </row>
    <row r="157" spans="2:31" s="2" customFormat="1" ht="20" customHeight="1" x14ac:dyDescent="0.2">
      <c r="B157" s="4" t="s">
        <v>1977</v>
      </c>
      <c r="C157" s="8" t="str">
        <f>IF(ISBLANK(input_flt_vidb_secondary_domain_controller),"Value Missing",input_flt_vidb_secondary_domain_controller)</f>
        <v>Value Missing</v>
      </c>
      <c r="E157" s="4" t="s">
        <v>1913</v>
      </c>
      <c r="F157" s="8" t="str">
        <f>IF(ISBLANK(input_wld_ec_rp_name),"Value Missing",input_wld_ec_rp_name)</f>
        <v>Value Missing</v>
      </c>
      <c r="H157" s="4" t="s">
        <v>773</v>
      </c>
      <c r="I157" s="8" t="str">
        <f>IF(ISBLANK(cluster_az1_host_overlay_new_pool_chosen),"Value Missing",cluster_az1_host_overlay_new_pool_chosen)</f>
        <v>Re-use an existing Pool</v>
      </c>
      <c r="K157" s="4" t="s">
        <v>1939</v>
      </c>
      <c r="L157" s="8" t="str">
        <f>IF(ISBLANK(input_gg_sso_admins_group),"Value Missing",input_gg_sso_admins_group)</f>
        <v>Value Missing</v>
      </c>
      <c r="Q157" s="9"/>
      <c r="R157" s="9"/>
      <c r="T157" s="4" t="s">
        <v>1951</v>
      </c>
      <c r="U157" s="8" t="str">
        <f>IF(ISBLANK(input_ccm_hcx_vm_folder),"Value Missing",input_ccm_hcx_vm_folder)</f>
        <v>Value Missing</v>
      </c>
      <c r="V157" s="3"/>
      <c r="X157" s="9"/>
      <c r="Z157" s="9"/>
      <c r="AA157" s="9"/>
    </row>
    <row r="158" spans="2:31" s="2" customFormat="1" ht="20" customHeight="1" x14ac:dyDescent="0.2">
      <c r="B158" s="4" t="s">
        <v>1980</v>
      </c>
      <c r="C158" s="8" t="str">
        <f>IF(ISBLANK(input_flt_vidb_secondary_domain_controller_port),"Value Missing",input_flt_vidb_secondary_domain_controller_port)</f>
        <v>Value Missing</v>
      </c>
      <c r="E158" s="4" t="s">
        <v>1917</v>
      </c>
      <c r="F158" s="8" t="str">
        <f>IF(ISBLANK(wld_ec01_host_group_affinity_rule_chosen),"Value Missing",wld_ec01_host_group_affinity_rule_chosen)</f>
        <v>No</v>
      </c>
      <c r="H158" s="4" t="s">
        <v>774</v>
      </c>
      <c r="I158" s="8" t="str">
        <f>IF(ISBLANK(input_cluster_az1_host_overlay_network_pool_name),"Value Missing",input_cluster_az1_host_overlay_network_pool_name)</f>
        <v>Value Missing</v>
      </c>
      <c r="K158" s="4" t="s">
        <v>1942</v>
      </c>
      <c r="L158" s="8" t="str">
        <f>IF(ISBLANK(input_gg_nsx_enterprise_admins_group),"Value Missing",input_gg_nsx_enterprise_admins_group)</f>
        <v>Value Missing</v>
      </c>
      <c r="Q158" s="9"/>
      <c r="R158" s="9"/>
      <c r="T158" s="4" t="s">
        <v>1954</v>
      </c>
      <c r="U158" s="8" t="str">
        <f>IF(ISBLANK(input_ccm_hcx_resource_pool),"Value Missing",input_ccm_hcx_resource_pool)</f>
        <v>Value Missing</v>
      </c>
      <c r="V158" s="3"/>
      <c r="X158" s="9"/>
      <c r="Z158" s="9"/>
      <c r="AA158" s="9"/>
    </row>
    <row r="159" spans="2:31" s="2" customFormat="1" ht="20" customHeight="1" x14ac:dyDescent="0.2">
      <c r="B159" s="4" t="s">
        <v>1983</v>
      </c>
      <c r="C159" s="8" t="str">
        <f>flt_vidb_directory_search_chosen</f>
        <v>sAMAccountName</v>
      </c>
      <c r="E159" s="4" t="s">
        <v>1920</v>
      </c>
      <c r="F159" s="8" t="str">
        <f>IF(ISBLANK(input_wld_ec01_en01_host_group_affinity_rule_name),"Value Missing",input_wld_ec01_en01_host_group_affinity_rule_name)</f>
        <v>Value Missing</v>
      </c>
      <c r="H159" s="4" t="s">
        <v>976</v>
      </c>
      <c r="I159" s="8" t="str">
        <f>IF(ISBLANK(input_cluster_az1_host_overlay_network_pool_description),"Value Missing",input_cluster_az1_host_overlay_network_pool_description)</f>
        <v>Value Missing</v>
      </c>
      <c r="K159" s="4" t="s">
        <v>1945</v>
      </c>
      <c r="L159" s="8" t="str">
        <f>IF(ISBLANK(input_gg_nsx_network_admins_group),"Value Missing",input_gg_nsx_network_admins_group)</f>
        <v>Value Missing</v>
      </c>
      <c r="T159" s="4" t="s">
        <v>1957</v>
      </c>
      <c r="U159" s="8" t="str">
        <f>IF(ISBLANK(input_svc_ccm_hcx_nsx_user),"Value Missing",input_svc_ccm_hcx_nsx_user)</f>
        <v>Value Missing</v>
      </c>
      <c r="V159" s="3"/>
      <c r="X159" s="9"/>
      <c r="Z159" s="9"/>
      <c r="AA159" s="9"/>
    </row>
    <row r="160" spans="2:31" s="2" customFormat="1" ht="20" customHeight="1" x14ac:dyDescent="0.2">
      <c r="B160" s="4" t="s">
        <v>1987</v>
      </c>
      <c r="C160" s="8" t="str">
        <f>IF(ISBLANK(input_flt_vidb_base_dn),"Value Missing",input_flt_vidb_base_dn)</f>
        <v>Value Missing</v>
      </c>
      <c r="E160" s="23" t="s">
        <v>1923</v>
      </c>
      <c r="F160" s="8" t="str">
        <f>IF(ISBLANK(input_wld_ec01_en02_host_group_affinity_rule_name),"Value Missing",input_wld_ec01_en02_host_group_affinity_rule_name)</f>
        <v>Value Missing</v>
      </c>
      <c r="H160" s="4" t="s">
        <v>451</v>
      </c>
      <c r="I160" s="8" t="str">
        <f>IF(ISBLANK(input_cluster_az1_host_overlay_cidr),"Value Missing",input_cluster_az1_host_overlay_cidr)</f>
        <v>Value Missing</v>
      </c>
      <c r="K160" s="4" t="s">
        <v>1948</v>
      </c>
      <c r="L160" s="8" t="str">
        <f>IF(ISBLANK(input_gg_nsx_auditors_group),"Value Missing",input_gg_nsx_auditors_group)</f>
        <v>Value Missing</v>
      </c>
      <c r="T160" s="4" t="s">
        <v>1961</v>
      </c>
      <c r="U160" s="8" t="str">
        <f t="array" ref="U160">IF(ISBLANK(input_svc_ccm_hcx_nsx_password),"Value Missing",input_svc_ccm_hcx_nsx_password)</f>
        <v>Value Missing</v>
      </c>
      <c r="V160" s="3"/>
      <c r="X160" s="9"/>
      <c r="Z160" s="9"/>
      <c r="AA160" s="9"/>
      <c r="AE160" s="6"/>
    </row>
    <row r="161" spans="2:27" s="2" customFormat="1" ht="20" customHeight="1" x14ac:dyDescent="0.2">
      <c r="B161" s="4" t="s">
        <v>1989</v>
      </c>
      <c r="C161" s="8" t="str">
        <f>IF(ISBLANK(input_flt_vidb_bind_username),"Value Missing",input_flt_vidb_bind_username)</f>
        <v>Value Missing</v>
      </c>
      <c r="E161" s="4" t="s">
        <v>1926</v>
      </c>
      <c r="F161" s="8" t="str">
        <f>IF(ISBLANK(wld_ec01_use_host_overlay_chosen),"Value Missing",wld_ec01_use_host_overlay_chosen)</f>
        <v xml:space="preserve">Unselected </v>
      </c>
      <c r="H161" s="4" t="s">
        <v>248</v>
      </c>
      <c r="I161" s="8" t="str">
        <f>IF(ISBLANK(input_cluster_az1_host_overlay_pool_start_ip),"Value Missing",input_cluster_az1_host_overlay_pool_start_ip)</f>
        <v>Value Missing</v>
      </c>
      <c r="M161" s="9"/>
      <c r="P161" s="9"/>
      <c r="T161" s="4" t="s">
        <v>1964</v>
      </c>
      <c r="U161" s="8" t="str">
        <f>IF(ISBLANK(input_ccm_aws_sddc_name),"Value Missing",input_ccm_aws_sddc_name)</f>
        <v>Value Missing</v>
      </c>
      <c r="V161" s="3"/>
      <c r="X161" s="9"/>
      <c r="Z161" s="9"/>
      <c r="AA161" s="9"/>
    </row>
    <row r="162" spans="2:27" s="2" customFormat="1" ht="20" customHeight="1" x14ac:dyDescent="0.2">
      <c r="B162" s="4" t="s">
        <v>1991</v>
      </c>
      <c r="C162" s="8" t="str">
        <f>IF(ISBLANK(input_flt_vidb_bind_password),"Value Missing",input_flt_vidb_bind_password)</f>
        <v>Value Missing</v>
      </c>
      <c r="E162" s="4" t="s">
        <v>1929</v>
      </c>
      <c r="F162" s="8" t="str">
        <f>wld_gateway_routing_type_chosen</f>
        <v>BGP</v>
      </c>
      <c r="H162" s="4" t="s">
        <v>249</v>
      </c>
      <c r="I162" s="8" t="str">
        <f>IF(ISBLANK(input_cluster_az1_host_overlay_pool_end_ip),"Value Missing",input_cluster_az1_host_overlay_pool_end_ip)</f>
        <v>Value Missing</v>
      </c>
      <c r="K162" s="519" t="s">
        <v>1953</v>
      </c>
      <c r="L162" s="520"/>
      <c r="M162" s="9"/>
      <c r="P162" s="9"/>
      <c r="T162" s="4" t="s">
        <v>1860</v>
      </c>
      <c r="U162" s="8" t="str">
        <f>IF(ISBLANK(input_ccm_aws_region),"Value Missing",input_ccm_aws_region)</f>
        <v>Value Missing</v>
      </c>
      <c r="V162" s="3"/>
      <c r="X162" s="9"/>
      <c r="Y162" s="9"/>
      <c r="Z162" s="9"/>
      <c r="AA162" s="9"/>
    </row>
    <row r="163" spans="2:27" s="2" customFormat="1" ht="20" customHeight="1" x14ac:dyDescent="0.2">
      <c r="B163" s="4" t="s">
        <v>1994</v>
      </c>
      <c r="C163" s="8" t="str">
        <f>IF(ISBLANK(input_flt_vidb_user_name),"Value Missing",input_flt_vidb_user_name)</f>
        <v>Value Missing</v>
      </c>
      <c r="E163" s="223" t="s">
        <v>1932</v>
      </c>
      <c r="F163" s="223" t="s">
        <v>20</v>
      </c>
      <c r="H163" s="4" t="s">
        <v>452</v>
      </c>
      <c r="I163" s="8" t="str">
        <f>IF(ISBLANK(input_cluster_az1_host_overlay_gateway_ip),"Value Missing",input_cluster_az1_host_overlay_gateway_ip)</f>
        <v>Value Missing</v>
      </c>
      <c r="K163" s="200" t="s">
        <v>254</v>
      </c>
      <c r="L163" s="201" t="s">
        <v>20</v>
      </c>
      <c r="M163" s="9"/>
      <c r="P163" s="9"/>
      <c r="T163" s="4" t="s">
        <v>1864</v>
      </c>
      <c r="U163" s="8" t="str">
        <f>IF(ISBLANK(input_ccm_aws_host_type),"Value Missing",input_ccm_aws_host_type)</f>
        <v>Value Missing</v>
      </c>
      <c r="V163" s="3"/>
      <c r="W163" s="9"/>
      <c r="X163" s="9"/>
      <c r="Z163" s="9"/>
      <c r="AA163" s="9"/>
    </row>
    <row r="164" spans="2:27" s="2" customFormat="1" ht="20" customHeight="1" x14ac:dyDescent="0.2">
      <c r="B164" s="4" t="s">
        <v>1997</v>
      </c>
      <c r="C164" s="8" t="str">
        <f>IF(ISBLANK(input_flt_vidb_first_name),"Value Missing",input_flt_vidb_first_name)</f>
        <v>Value Missing</v>
      </c>
      <c r="E164" s="23" t="s">
        <v>767</v>
      </c>
      <c r="F164" s="8" t="str">
        <f>wld_nsx_default_operation_mode_chosen</f>
        <v>Selected</v>
      </c>
      <c r="H164" s="4" t="s">
        <v>771</v>
      </c>
      <c r="I164" s="8" t="str">
        <f>IF(ISBLANK(input_cluster_nsx_vlan_transport_zone_name),"Value Missing",input_cluster_nsx_vlan_transport_zone_name)</f>
        <v>Value Missing</v>
      </c>
      <c r="K164" s="4" t="s">
        <v>1960</v>
      </c>
      <c r="L164" s="8"/>
      <c r="M164" s="9"/>
      <c r="N164" s="9"/>
      <c r="O164" s="9"/>
      <c r="P164" s="9"/>
      <c r="T164" s="4" t="s">
        <v>1869</v>
      </c>
      <c r="U164" s="8" t="str">
        <f>IF(ISBLANK(input_ccm_aws_host_count),"Value Missing",input_ccm_aws_host_count)</f>
        <v>Value Missing</v>
      </c>
      <c r="V164" s="3"/>
      <c r="W164" s="9"/>
      <c r="X164" s="9"/>
      <c r="Z164" s="9"/>
      <c r="AA164" s="9"/>
    </row>
    <row r="165" spans="2:27" s="2" customFormat="1" ht="20" customHeight="1" x14ac:dyDescent="0.2">
      <c r="B165" s="4" t="s">
        <v>2000</v>
      </c>
      <c r="C165" s="8" t="str">
        <f>IF(ISBLANK(input_flt_vidb_last_name),"Value Missing",input_flt_vidb_last_name)</f>
        <v>Value Missing</v>
      </c>
      <c r="E165" s="23" t="s">
        <v>1936</v>
      </c>
      <c r="F165" s="8" t="str">
        <f>IF(ISBLANK(mgmt_nsx_operation_mode_chosen),"Value Missing",mgmt_nsx_operation_mode_chosen)</f>
        <v>Enhanced Datapath Standard</v>
      </c>
      <c r="H165" s="4" t="s">
        <v>779</v>
      </c>
      <c r="I165" s="8" t="str">
        <f>IF(ISBLANK(input_cluster_az1_nsx_uplink_count),"Value Missing",input_cluster_az1_nsx_uplink_count)</f>
        <v>Value Missing</v>
      </c>
      <c r="M165" s="9"/>
      <c r="N165" s="9"/>
      <c r="O165" s="9"/>
      <c r="P165" s="9"/>
      <c r="T165" s="4" t="s">
        <v>1874</v>
      </c>
      <c r="U165" s="8" t="str">
        <f>IF(ISBLANK(input_ccm_aws_vpc),"Value Missing",input_ccm_aws_vpc)</f>
        <v>Value Missing</v>
      </c>
      <c r="V165" s="3"/>
      <c r="W165" s="9"/>
      <c r="X165" s="9"/>
      <c r="Z165" s="9"/>
      <c r="AA165" s="9"/>
    </row>
    <row r="166" spans="2:27" s="2" customFormat="1" ht="20" customHeight="1" x14ac:dyDescent="0.2">
      <c r="B166" s="4" t="s">
        <v>2003</v>
      </c>
      <c r="C166" s="8" t="str">
        <f>IF(ISBLANK(input_flt_vidb_distinguished_name),"Value Missing",input_flt_vidb_distinguished_name)</f>
        <v>Value Missing</v>
      </c>
      <c r="E166" s="23" t="s">
        <v>1938</v>
      </c>
      <c r="F166" s="8" t="str">
        <f>wld_domain_password_creation_chosen</f>
        <v>Selected</v>
      </c>
      <c r="H166" s="4" t="s">
        <v>780</v>
      </c>
      <c r="I166" s="8" t="str">
        <f>IF(ISBLANK(input_cluster_az1_nsx_uplink1),"Value Missing",input_cluster_az1_nsx_uplink1)</f>
        <v>Value Missing</v>
      </c>
      <c r="K166" s="633" t="s">
        <v>1967</v>
      </c>
      <c r="L166" s="635"/>
      <c r="M166" s="9"/>
      <c r="N166" s="9"/>
      <c r="O166" s="9"/>
      <c r="P166" s="9"/>
      <c r="Q166" s="9"/>
      <c r="T166" s="4" t="s">
        <v>1877</v>
      </c>
      <c r="U166" s="8" t="str">
        <f>IF(ISBLANK(input_ccm_aws_subnet),"Value Missing",input_ccm_aws_subnet)</f>
        <v>Value Missing</v>
      </c>
      <c r="V166" s="3"/>
      <c r="W166" s="9"/>
      <c r="X166" s="9"/>
      <c r="Z166" s="9"/>
      <c r="AA166" s="9"/>
    </row>
    <row r="167" spans="2:27" s="2" customFormat="1" ht="20" customHeight="1" x14ac:dyDescent="0.2">
      <c r="B167" s="4" t="s">
        <v>2005</v>
      </c>
      <c r="C167" s="8" t="str">
        <f>IF(ISBLANK(input_flt_vidb_employeeID),"Value Missing",input_flt_vidb_employeeID)</f>
        <v>Value Missing</v>
      </c>
      <c r="E167" s="23" t="s">
        <v>1941</v>
      </c>
      <c r="F167" s="8" t="str">
        <f>wld_az1_en1_edge_overlay_network_ip_allocation_chosen</f>
        <v>IP Pool</v>
      </c>
      <c r="H167" s="4" t="s">
        <v>781</v>
      </c>
      <c r="I167" s="8" t="str">
        <f>IF(ISBLANK(input_cluster_az1_nsx_uplink2),"Value Missing",input_cluster_az1_nsx_uplink2)</f>
        <v>Value Missing</v>
      </c>
      <c r="K167" s="4" t="s">
        <v>1969</v>
      </c>
      <c r="L167" s="8" t="str">
        <f>IF(ISBLANK(input_mgmt_witness_zone_vc_fqdn),"Value Missing",input_mgmt_witness_zone_vc_fqdn)</f>
        <v>Value Missing</v>
      </c>
      <c r="M167" s="9"/>
      <c r="N167" s="9"/>
      <c r="O167" s="9"/>
      <c r="P167" s="9"/>
      <c r="Q167" s="9"/>
      <c r="T167" s="4" t="s">
        <v>1882</v>
      </c>
      <c r="U167" s="8" t="str">
        <f>IF(ISBLANK(input_ccm_aws_management_subnet),"Value Missing",input_ccm_aws_management_subnet)</f>
        <v>Value Missing</v>
      </c>
      <c r="V167" s="3"/>
      <c r="W167" s="9"/>
      <c r="X167" s="9"/>
      <c r="Z167" s="9"/>
      <c r="AA167" s="9"/>
    </row>
    <row r="168" spans="2:27" s="2" customFormat="1" ht="20" customHeight="1" x14ac:dyDescent="0.2">
      <c r="B168" s="4" t="s">
        <v>2008</v>
      </c>
      <c r="C168" s="8" t="str">
        <f>IF(ISBLANK(input_flt_vidb_mail),"Value Missing",input_flt_vidb_mail)</f>
        <v>Value Missing</v>
      </c>
      <c r="E168" s="23" t="s">
        <v>1944</v>
      </c>
      <c r="F168" s="8" t="str">
        <f>wld_az1_en1_ip_allocation_chosen</f>
        <v>Static</v>
      </c>
      <c r="H168" s="23" t="s">
        <v>782</v>
      </c>
      <c r="I168" s="8" t="str">
        <f>IF(ISBLANK(input_cluster_az1_host_overlay_uplink_profile_name),"Value Missing",input_cluster_az1_host_overlay_uplink_profile_name)</f>
        <v>Value Missing</v>
      </c>
      <c r="K168" s="4" t="s">
        <v>1971</v>
      </c>
      <c r="L168" s="8" t="str">
        <f>IF(ISBLANK(input_mgmt_witness_zone_vc_fqdn),"Value Missing",input_mgmt_witness_zone_vc_fqdn)</f>
        <v>Value Missing</v>
      </c>
      <c r="M168" s="9"/>
      <c r="O168" s="9"/>
      <c r="P168" s="9"/>
      <c r="Q168" s="9"/>
      <c r="T168" s="4" t="s">
        <v>1885</v>
      </c>
      <c r="U168" s="8" t="str">
        <f>IF(ISBLANK(input_ccm_firewall_rule_vcenter),"Value Missing",input_ccm_firewall_rule_vcenter)</f>
        <v>Value Missing</v>
      </c>
      <c r="V168" s="3"/>
      <c r="W168" s="9"/>
      <c r="X168" s="9"/>
      <c r="Z168" s="9"/>
      <c r="AA168" s="9"/>
    </row>
    <row r="169" spans="2:27" s="2" customFormat="1" ht="20" customHeight="1" x14ac:dyDescent="0.2">
      <c r="B169" s="4" t="s">
        <v>2010</v>
      </c>
      <c r="C169" s="8" t="str">
        <f>IF(ISBLANK(input_flt_vidb_user_principal_name),"Value Missing",input_flt_vidb_user_principal_name)</f>
        <v>Value Missing</v>
      </c>
      <c r="E169" s="23" t="s">
        <v>1947</v>
      </c>
      <c r="F169" s="8"/>
      <c r="H169" s="4" t="s">
        <v>757</v>
      </c>
      <c r="I169" s="8" t="str">
        <f>IF(ISBLANK(cluster_az1_nsx_lbt_chosen),"Value Missing",cluster_az1_nsx_lbt_chosen)</f>
        <v>Load Balance Source</v>
      </c>
      <c r="K169" s="4" t="s">
        <v>1973</v>
      </c>
      <c r="L169" s="8" t="str">
        <f>IF(ISBLANK(input_mgmt_witness_zone_vc_fqdn),"Value Missing",input_mgmt_witness_zone_vc_fqdn)</f>
        <v>Value Missing</v>
      </c>
      <c r="M169" s="9"/>
      <c r="O169" s="9"/>
      <c r="P169" s="9"/>
      <c r="Q169" s="9"/>
      <c r="T169" s="4" t="s">
        <v>1986</v>
      </c>
      <c r="U169" s="8" t="str">
        <f>IF(ISBLANK(input_ccm_firewall_rule_hcx),"Value Missing",input_ccm_firewall_rule_hcx)</f>
        <v>Value Missing</v>
      </c>
      <c r="V169" s="3"/>
      <c r="W169" s="9"/>
      <c r="X169" s="9"/>
      <c r="Z169" s="9"/>
      <c r="AA169" s="9"/>
    </row>
    <row r="170" spans="2:27" s="2" customFormat="1" ht="20" customHeight="1" x14ac:dyDescent="0.2">
      <c r="B170" s="4" t="s">
        <v>2012</v>
      </c>
      <c r="C170" s="8" t="str">
        <f>IF(ISBLANK(input_flt_vidb_group_base_dn),"Value Missing",input_flt_vidb_group_base_dn)</f>
        <v>Value Missing</v>
      </c>
      <c r="E170" s="23" t="s">
        <v>1950</v>
      </c>
      <c r="F170" s="8" t="str">
        <f>wld_az1_en2_ip_allocation_chosen</f>
        <v>Static</v>
      </c>
      <c r="H170" s="4" t="s">
        <v>1975</v>
      </c>
      <c r="I170" s="8" t="str">
        <f>IF(ISBLANK(input_cluster_az1_nsx_uplink1_active),"Value Missing",input_cluster_az1_nsx_uplink1_active)</f>
        <v>Value Missing</v>
      </c>
      <c r="K170" s="4" t="s">
        <v>1976</v>
      </c>
      <c r="L170" s="8" t="str">
        <f>IF(ISBLANK(input_mgmt_witnessaz_mgmt_mtu),"Value Missing",input_mgmt_witnessaz_mgmt_mtu)</f>
        <v>Value Missing</v>
      </c>
      <c r="M170" s="9"/>
      <c r="O170" s="9"/>
      <c r="P170" s="9"/>
      <c r="Q170" s="9"/>
      <c r="T170" s="4" t="s">
        <v>1988</v>
      </c>
      <c r="U170" s="8" t="str">
        <f>IF(ISBLANK(input_ccm_firewall_group),"Value Missing",input_ccm_firewall_group)</f>
        <v>Value Missing</v>
      </c>
      <c r="V170" s="3"/>
      <c r="W170" s="9"/>
      <c r="X170" s="9"/>
      <c r="Y170" s="9"/>
      <c r="Z170" s="9"/>
      <c r="AA170" s="9"/>
    </row>
    <row r="171" spans="2:27" s="2" customFormat="1" ht="20" customHeight="1" x14ac:dyDescent="0.2">
      <c r="B171" s="4" t="s">
        <v>2014</v>
      </c>
      <c r="C171" s="8" t="str">
        <f>IF(ISBLANK(input_flt_vidb_user_base_dn),"Value Missing",input_flt_vidb_user_base_dn)</f>
        <v>Value Missing</v>
      </c>
      <c r="E171" s="23" t="s">
        <v>1952</v>
      </c>
      <c r="F171" s="8" t="s">
        <v>1952</v>
      </c>
      <c r="H171" s="4" t="s">
        <v>979</v>
      </c>
      <c r="I171" s="8" t="str">
        <f>IF(ISBLANK(input_cluster_az1_nsx_uplink2_active),"Value Missing",input_cluster_az1_nsx_uplink2_active)</f>
        <v>Value Missing</v>
      </c>
      <c r="K171" s="4" t="s">
        <v>1979</v>
      </c>
      <c r="L171" s="8" t="str">
        <f>IF(ISBLANK(input_mgmt_witnessaz_mgmt_vlan),"Value Missing",input_mgmt_witnessaz_mgmt_vlan)</f>
        <v>Value Missing</v>
      </c>
      <c r="M171" s="9"/>
      <c r="O171" s="9"/>
      <c r="P171" s="9"/>
      <c r="Q171" s="9"/>
      <c r="T171" s="4" t="s">
        <v>1990</v>
      </c>
      <c r="U171" s="8" t="str">
        <f>IF(ISBLANK(input_ccm_firewall_ip_addresses),"Value Missing",input_ccm_firewall_ip_addresses)</f>
        <v>Value Missing</v>
      </c>
      <c r="V171" s="3"/>
      <c r="W171" s="9"/>
      <c r="X171" s="9"/>
      <c r="Y171" s="9"/>
      <c r="Z171" s="9"/>
      <c r="AA171" s="9"/>
    </row>
    <row r="172" spans="2:27" s="2" customFormat="1" ht="20" customHeight="1" x14ac:dyDescent="0.2">
      <c r="B172" s="9"/>
      <c r="C172" s="9"/>
      <c r="E172" s="23" t="s">
        <v>1956</v>
      </c>
      <c r="F172" s="8" t="str">
        <f>IF(ISBLANK(wld_az1_host_overlay_new_pool_chosen),"Value Missing",wld_az1_host_overlay_new_pool_chosen)</f>
        <v>Create New Static IP Pool</v>
      </c>
      <c r="K172" s="4" t="s">
        <v>1982</v>
      </c>
      <c r="L172" s="8"/>
      <c r="M172" s="9"/>
      <c r="O172" s="9"/>
      <c r="P172" s="9"/>
      <c r="Q172" s="9"/>
      <c r="T172" s="4" t="s">
        <v>1993</v>
      </c>
      <c r="U172" s="8" t="str">
        <f>IF(ISBLANK(input_ccm_hcx_license),"Value Missing",input_ccm_hcx_license)</f>
        <v>Value Missing</v>
      </c>
      <c r="V172" s="3"/>
      <c r="W172" s="9"/>
      <c r="X172" s="9"/>
      <c r="Y172" s="9"/>
      <c r="Z172" s="9"/>
      <c r="AA172" s="9"/>
    </row>
    <row r="173" spans="2:27" s="2" customFormat="1" ht="20" customHeight="1" x14ac:dyDescent="0.2">
      <c r="B173" s="221" t="s">
        <v>2017</v>
      </c>
      <c r="C173" s="222"/>
      <c r="E173" s="23" t="s">
        <v>1959</v>
      </c>
      <c r="F173" s="8" t="str">
        <f>wld_nsx_default_operation_mode_chosen</f>
        <v>Selected</v>
      </c>
      <c r="H173" s="218" t="s">
        <v>1985</v>
      </c>
      <c r="I173" s="218"/>
      <c r="K173" s="4" t="s">
        <v>3698</v>
      </c>
      <c r="L173" s="8" t="str">
        <f>IF(mgmt_witnessaz_mgmt_cidr="Value Missing",mgmt_witnessaz_mgmt_cidr,(LEFT(mgmt_witnessaz_mgmt_cidr,(FIND("/",mgmt_witnessaz_mgmt_cidr)-1))))</f>
        <v>Value Missing</v>
      </c>
      <c r="M173" s="9"/>
      <c r="O173" s="9"/>
      <c r="P173" s="9"/>
      <c r="Q173" s="9"/>
      <c r="T173" s="4" t="s">
        <v>1996</v>
      </c>
      <c r="U173" s="8" t="str">
        <f>IF(ISBLANK(input_ccm_hcx_dc_location),"Value Missing",input_ccm_hcx_dc_location)</f>
        <v>Value Missing</v>
      </c>
      <c r="V173" s="3"/>
      <c r="W173" s="9"/>
      <c r="X173" s="9"/>
      <c r="Y173" s="9"/>
      <c r="Z173" s="9"/>
      <c r="AA173" s="9"/>
    </row>
    <row r="174" spans="2:27" s="2" customFormat="1" ht="20" customHeight="1" x14ac:dyDescent="0.2">
      <c r="B174" s="200" t="s">
        <v>254</v>
      </c>
      <c r="C174" s="201" t="s">
        <v>20</v>
      </c>
      <c r="E174" s="23" t="s">
        <v>1963</v>
      </c>
      <c r="F174" s="8"/>
      <c r="H174" s="223" t="s">
        <v>254</v>
      </c>
      <c r="I174" s="224" t="s">
        <v>20</v>
      </c>
      <c r="K174" s="4" t="s">
        <v>3699</v>
      </c>
      <c r="L174" s="8" t="str">
        <f>IF(mgmt_witnessaz_mgmt_cidr="Value Missing",mgmt_witnessaz_mgmt_cidr,VLOOKUP(INT(RIGHT(mgmt_witnessaz_mgmt_cidr,LEN(mgmt_witnessaz_mgmt_cidr)-FIND("/",mgmt_witnessaz_mgmt_cidr))),table_cidr_to_mask,2,FALSE))</f>
        <v>Value Missing</v>
      </c>
      <c r="M174" s="9"/>
      <c r="O174" s="9"/>
      <c r="P174" s="9"/>
      <c r="Q174" s="9"/>
      <c r="T174" s="232" t="s">
        <v>1999</v>
      </c>
      <c r="U174" s="8" t="str">
        <f>IF(ISBLANK(input_ccm_hcx_cdp_hostname),"Value Missing",input_ccm_hcx_cdp_hostname)</f>
        <v>Value Missing</v>
      </c>
      <c r="V174" s="3"/>
      <c r="W174" s="9"/>
      <c r="X174" s="9"/>
      <c r="Y174" s="9"/>
      <c r="Z174" s="9"/>
      <c r="AA174" s="9"/>
    </row>
    <row r="175" spans="2:27" s="2" customFormat="1" ht="20" customHeight="1" x14ac:dyDescent="0.2">
      <c r="B175" s="28" t="s">
        <v>1415</v>
      </c>
      <c r="C175" s="8" t="str">
        <f>IF(ISBLANK('Configure Management Domain'!D381),"Value Missing",'Configure Management Domain'!D381)</f>
        <v>Value Missing</v>
      </c>
      <c r="E175" s="23" t="s">
        <v>1966</v>
      </c>
      <c r="F175" s="8" t="str">
        <f>wld_cl01_vds_copy_profile_chosen</f>
        <v>Selected</v>
      </c>
      <c r="H175" s="4" t="s">
        <v>673</v>
      </c>
      <c r="I175" s="8" t="str">
        <f>wld_bf_vcenter_type_chosen</f>
        <v>Specify an external vCenter</v>
      </c>
      <c r="K175" s="4"/>
      <c r="L175" s="8"/>
      <c r="M175" s="9"/>
      <c r="O175" s="9"/>
      <c r="P175" s="9"/>
      <c r="Q175" s="9"/>
      <c r="T175" s="4" t="s">
        <v>2002</v>
      </c>
      <c r="U175" s="8" t="str">
        <f>IF(ISBLANK(input_ccm_hcx_admin_password),"Value Missing",input_ccm_hcx_admin_password)</f>
        <v>Value Missing</v>
      </c>
      <c r="V175" s="3"/>
      <c r="W175" s="9"/>
      <c r="X175" s="9"/>
      <c r="Y175" s="9"/>
      <c r="Z175" s="9"/>
      <c r="AA175" s="9"/>
    </row>
    <row r="176" spans="2:27" s="2" customFormat="1" ht="20" customHeight="1" x14ac:dyDescent="0.2">
      <c r="B176" s="28" t="s">
        <v>271</v>
      </c>
      <c r="C176" s="8" t="str">
        <f>IF(ISBLANK(input_mgmt_witness_hostname),"Value Missing",input_mgmt_witness_hostname)</f>
        <v>Value Missing</v>
      </c>
      <c r="D176" s="9"/>
      <c r="E176" s="23" t="s">
        <v>779</v>
      </c>
      <c r="F176" s="8" t="str">
        <f>IF(ISBLANK(input_wld_cl01_az1_nsx_uplink_count),"Value Missing",input_wld_cl01_az1_nsx_uplink_count)</f>
        <v>Value Missing</v>
      </c>
      <c r="H176" s="4" t="s">
        <v>675</v>
      </c>
      <c r="I176" s="8" t="str">
        <f>IF(ISBLANK(input_wld_bf_vc_fqdn),"Value Missing",input_wld_bf_vc_fqdn)</f>
        <v>Value Missing</v>
      </c>
      <c r="K176" s="4" t="s">
        <v>1992</v>
      </c>
      <c r="L176" s="8" t="str">
        <f>IF(ISBLANK(input_mgmt_witness_ip),"Value Missing",input_mgmt_witness_ip)</f>
        <v>Value Missing</v>
      </c>
      <c r="M176" s="9"/>
      <c r="O176" s="9"/>
      <c r="P176" s="9"/>
      <c r="Q176" s="9"/>
      <c r="T176" s="4" t="s">
        <v>2004</v>
      </c>
      <c r="U176" s="8" t="str">
        <f>IF(ISBLANK(input_ccm_hcx_root_password),"Value Missing",input_ccm_hcx_root_password)</f>
        <v>Value Missing</v>
      </c>
      <c r="V176" s="3"/>
      <c r="W176" s="9"/>
      <c r="X176" s="9"/>
      <c r="Y176" s="9"/>
      <c r="Z176" s="9"/>
      <c r="AA176" s="9"/>
    </row>
    <row r="177" spans="2:31" s="2" customFormat="1" ht="20" customHeight="1" x14ac:dyDescent="0.2">
      <c r="D177" s="9"/>
      <c r="E177" s="23" t="s">
        <v>776</v>
      </c>
      <c r="F177" s="8" t="str">
        <f>IF(ISBLANK(input_wld_nsx_vlan_transport_zone_name),"Value Missing",input_wld_nsx_vlan_transport_zone_name)</f>
        <v>Value Missing</v>
      </c>
      <c r="H177" s="4" t="s">
        <v>676</v>
      </c>
      <c r="I177" s="8" t="str">
        <f>IF(ISBLANK(input_wld_bf_vc_root_password),"Value Missing",input_wld_bf_vc_root_password)</f>
        <v>Value Missing</v>
      </c>
      <c r="K177" s="4" t="s">
        <v>1995</v>
      </c>
      <c r="L177" s="8" t="str">
        <f>IF(ISBLANK(input_mgmt_witnessaz_mgmt_cidr),"Value Missing",input_mgmt_witnessaz_mgmt_cidr)</f>
        <v>Value Missing</v>
      </c>
      <c r="M177" s="9"/>
      <c r="O177" s="9"/>
      <c r="P177" s="9"/>
      <c r="Q177" s="9"/>
      <c r="T177" s="4" t="s">
        <v>2007</v>
      </c>
      <c r="U177" s="8" t="str">
        <f>IF(ISBLANK(input_ccm_hcx_cdp_ip),"Value Missing",input_ccm_hcx_cdp_ip)</f>
        <v>Value Missing</v>
      </c>
      <c r="V177" s="3"/>
      <c r="W177" s="9"/>
      <c r="X177" s="9"/>
      <c r="Y177" s="9"/>
      <c r="Z177" s="9"/>
      <c r="AA177" s="9"/>
      <c r="AD177" s="9"/>
    </row>
    <row r="178" spans="2:31" s="2" customFormat="1" ht="20" customHeight="1" x14ac:dyDescent="0.2">
      <c r="B178" s="218" t="s">
        <v>2022</v>
      </c>
      <c r="C178" s="218"/>
      <c r="D178" s="9"/>
      <c r="E178" s="4" t="s">
        <v>785</v>
      </c>
      <c r="F178" s="8" t="str">
        <f>IF(ISBLANK(wld_az1_nsx_uplink1_active_chosen),"Value Missing",wld_az1_nsx_uplink1_active_chosen)</f>
        <v>Selected</v>
      </c>
      <c r="H178" s="4" t="s">
        <v>677</v>
      </c>
      <c r="I178" s="8" t="str">
        <f>IF(ISBLANK(input_wld_bf_vc_sso_username),"Value Missing",input_wld_bf_vc_sso_username)</f>
        <v>Value Missing</v>
      </c>
      <c r="K178" s="4" t="s">
        <v>1998</v>
      </c>
      <c r="L178" s="8" t="str">
        <f>IF(ISBLANK(input_mgmt_witnessaz_mgmt_gateway_ip),"Value Missing",input_mgmt_witnessaz_mgmt_gateway_ip)</f>
        <v>Value Missing</v>
      </c>
      <c r="M178" s="9"/>
      <c r="O178" s="9"/>
      <c r="P178" s="9"/>
      <c r="Q178" s="9"/>
      <c r="T178" s="4" t="s">
        <v>2009</v>
      </c>
      <c r="U178" s="8" t="str">
        <f>IF(ISBLANK(input_ccm_hcx_remote_url),"Value Missing",input_ccm_hcx_remote_url)</f>
        <v>Value Missing</v>
      </c>
      <c r="V178" s="3"/>
      <c r="W178" s="9"/>
      <c r="X178" s="9"/>
      <c r="Y178" s="9"/>
      <c r="Z178" s="9"/>
      <c r="AA178" s="9"/>
      <c r="AD178" s="9"/>
    </row>
    <row r="179" spans="2:31" s="2" customFormat="1" ht="20" customHeight="1" x14ac:dyDescent="0.2">
      <c r="B179" s="223" t="s">
        <v>254</v>
      </c>
      <c r="C179" s="224" t="s">
        <v>20</v>
      </c>
      <c r="D179" s="9"/>
      <c r="E179" s="4" t="s">
        <v>786</v>
      </c>
      <c r="F179" s="8" t="str">
        <f>IF(ISBLANK(wld_az1_nsx_uplink2_active_chosen),"Value Missing",wld_az1_nsx_uplink2_active_chosen)</f>
        <v>Selected</v>
      </c>
      <c r="H179" s="4" t="s">
        <v>678</v>
      </c>
      <c r="I179" s="8" t="str">
        <f>IF(ISBLANK(input_wld_bf_vc_sso_password),"Value Missing",input_wld_bf_vc_sso_password)</f>
        <v>Value Missing</v>
      </c>
      <c r="K179" s="4" t="s">
        <v>2001</v>
      </c>
      <c r="L179" s="8" t="str">
        <f>IF(ISBLANK(input_sftp_server),"Value Missing",input_sftp_server)</f>
        <v>Value Missing</v>
      </c>
      <c r="M179" s="9"/>
      <c r="O179" s="9"/>
      <c r="P179" s="9"/>
      <c r="Q179" s="9"/>
      <c r="T179" s="4" t="s">
        <v>2011</v>
      </c>
      <c r="U179" s="8" t="str">
        <f>IF(ISBLANK(input_ccm_aws_admin_ssouser),"Value Missing",input_ccm_aws_admin_ssouser)</f>
        <v>Value Missing</v>
      </c>
      <c r="V179" s="3"/>
      <c r="W179" s="9"/>
      <c r="X179" s="9"/>
      <c r="Y179" s="9"/>
      <c r="Z179" s="9"/>
      <c r="AA179" s="9"/>
      <c r="AD179" s="9"/>
    </row>
    <row r="180" spans="2:31" s="2" customFormat="1" ht="20" customHeight="1" x14ac:dyDescent="0.2">
      <c r="B180" s="4" t="s">
        <v>1794</v>
      </c>
      <c r="C180" s="8" t="str">
        <f>IF(ISBLANK('Configure Management Domain'!D416),"Value Missing",'Configure Management Domain'!D416)</f>
        <v>Value Missing</v>
      </c>
      <c r="D180" s="9"/>
      <c r="E180" s="37" t="s">
        <v>1978</v>
      </c>
      <c r="F180" s="8" t="str">
        <f>IF(ISBLANK(input_wld_nsxt_en_admin_password),"Value Missing",input_wld_nsxt_en_admin_password)</f>
        <v>Value Missing</v>
      </c>
      <c r="H180" s="4" t="s">
        <v>679</v>
      </c>
      <c r="I180" s="8" t="str">
        <f>IF(ISBLANK(wld_bf_nsx_existing_chosen),"Value Missing",wld_bf_nsx_existing_chosen)</f>
        <v>Selected</v>
      </c>
      <c r="L180" s="9"/>
      <c r="M180" s="9"/>
      <c r="O180" s="9"/>
      <c r="P180" s="9"/>
      <c r="Q180" s="9"/>
      <c r="T180" s="4" t="s">
        <v>2013</v>
      </c>
      <c r="U180" s="8" t="str">
        <f>IF(ISBLANK(input_ccm_aws_admin_password),"Value Missing",input_ccm_aws_admin_password)</f>
        <v>Value Missing</v>
      </c>
      <c r="V180" s="3"/>
      <c r="W180" s="9"/>
      <c r="X180" s="9"/>
      <c r="Y180" s="9"/>
      <c r="Z180" s="9"/>
      <c r="AA180" s="9"/>
      <c r="AD180" s="9"/>
      <c r="AE180" s="9"/>
    </row>
    <row r="181" spans="2:31" s="2" customFormat="1" ht="20" customHeight="1" x14ac:dyDescent="0.2">
      <c r="B181" s="4" t="s">
        <v>1795</v>
      </c>
      <c r="C181" s="8" t="str">
        <f>IF(ISBLANK('Configure Management Domain'!D417),"Value Missing",'Configure Management Domain'!D417)</f>
        <v>Value Missing</v>
      </c>
      <c r="D181" s="9"/>
      <c r="E181" s="311" t="s">
        <v>1981</v>
      </c>
      <c r="F181" s="8" t="str">
        <f>IF(ISBLANK(input_wld_nsxt_en_root_password),"Value Missing",input_wld_nsxt_en_root_password)</f>
        <v>Value Missing</v>
      </c>
      <c r="H181" s="23" t="s">
        <v>682</v>
      </c>
      <c r="I181" s="8" t="str">
        <f>IF(ISBLANK(wld_bf_nsx_join_manager_chosen),"Value Missing",wld_bf_nsx_join_manager_chosen)</f>
        <v>Create new NSX Manager Instance</v>
      </c>
      <c r="K181" s="218" t="s">
        <v>2006</v>
      </c>
      <c r="L181" s="218"/>
      <c r="M181" s="9"/>
      <c r="O181" s="9"/>
      <c r="P181" s="9"/>
      <c r="Q181" s="9"/>
      <c r="R181" s="9"/>
      <c r="T181" s="4" t="s">
        <v>2015</v>
      </c>
      <c r="U181" s="8" t="str">
        <f t="array" ref="U181">IF(ISBLANK(input_ccm_hcx_mgmt_network_ip_range),"Value Missing",input_ccm_hcx_mgmt_network_ip_range)</f>
        <v>Value Missing</v>
      </c>
      <c r="V181" s="9"/>
      <c r="W181" s="9"/>
      <c r="X181" s="9"/>
      <c r="Y181" s="9"/>
      <c r="Z181" s="9"/>
      <c r="AA181" s="9"/>
      <c r="AD181" s="9"/>
      <c r="AE181" s="9"/>
    </row>
    <row r="182" spans="2:31" s="2" customFormat="1" ht="20" customHeight="1" x14ac:dyDescent="0.2">
      <c r="B182" s="4" t="s">
        <v>1799</v>
      </c>
      <c r="C182" s="8" t="str">
        <f>IF(ISBLANK('Configure Management Domain'!D418),"Value Missing",'Configure Management Domain'!D418)</f>
        <v>Value Missing</v>
      </c>
      <c r="D182" s="9"/>
      <c r="E182" s="311" t="s">
        <v>1984</v>
      </c>
      <c r="F182" s="8" t="str">
        <f>IF(ISBLANK(input_wld_ec_mtu),"Value Missing",input_wld_ec_mtu)</f>
        <v>Value Missing</v>
      </c>
      <c r="H182" s="23" t="s">
        <v>684</v>
      </c>
      <c r="I182" s="8" t="str">
        <f>IF(ISBLANK(wld_bf_nsx_ha_mode_chosen),"Value Missing",wld_bf_nsx_ha_mode_chosen)</f>
        <v>NSX Management Cluster</v>
      </c>
      <c r="J182" s="9"/>
      <c r="K182" s="223" t="s">
        <v>254</v>
      </c>
      <c r="L182" s="224" t="s">
        <v>20</v>
      </c>
      <c r="M182" s="9"/>
      <c r="O182" s="9"/>
      <c r="P182" s="9"/>
      <c r="Q182" s="9"/>
      <c r="R182" s="9"/>
      <c r="T182" s="4" t="s">
        <v>2016</v>
      </c>
      <c r="U182" s="8" t="str">
        <f t="array" ref="U182">IF(ISBLANK(input_ccm_hcx_vmotion_network_ip_range),"Value Missing",input_ccm_hcx_vmotion_network_ip_range)</f>
        <v>Value Missing</v>
      </c>
      <c r="V182" s="9"/>
      <c r="W182" s="9"/>
      <c r="X182" s="9"/>
      <c r="Y182" s="9"/>
      <c r="Z182" s="9"/>
      <c r="AA182" s="9"/>
      <c r="AD182" s="9"/>
      <c r="AE182" s="9"/>
    </row>
    <row r="183" spans="2:31" ht="20" customHeight="1" x14ac:dyDescent="0.2">
      <c r="B183" s="4" t="s">
        <v>1802</v>
      </c>
      <c r="C183" s="8" t="str">
        <f>IF(ISBLANK('Configure Management Domain'!D419),"Value Missing",'Configure Management Domain'!D419)</f>
        <v>Value Missing</v>
      </c>
      <c r="E183" s="23" t="s">
        <v>717</v>
      </c>
      <c r="F183" s="8" t="str">
        <f>IF(ISBLANK(input_wld_cl01_cluster_zn_name),"Value Missing",input_wld_cl01_cluster_zn_name)</f>
        <v>Value Missing</v>
      </c>
      <c r="H183" s="23" t="s">
        <v>686</v>
      </c>
      <c r="I183" s="8" t="str">
        <f>IF(ISBLANK(wld_bf_nsx_appliance_size_chosen),"Value Missing",wld_bf_nsx_appliance_size_chosen)</f>
        <v>Medium</v>
      </c>
      <c r="K183" s="4" t="s">
        <v>543</v>
      </c>
      <c r="L183" s="8"/>
      <c r="N183" s="2"/>
      <c r="T183" s="4" t="s">
        <v>2018</v>
      </c>
      <c r="U183" s="8" t="str">
        <f>IF(ISBLANK(input_ccm_hcx_compute_profile),"Value Missing",input_ccm_hcx_compute_profile)</f>
        <v>Value Missing</v>
      </c>
      <c r="AB183" s="2"/>
      <c r="AC183" s="2"/>
    </row>
    <row r="184" spans="2:31" ht="20" customHeight="1" x14ac:dyDescent="0.2">
      <c r="B184" s="4" t="s">
        <v>343</v>
      </c>
      <c r="C184" s="8" t="str">
        <f>IF(ISBLANK('Configure Management Domain'!D445),"Value Missing",'Configure Management Domain'!D445)</f>
        <v>Value Missing</v>
      </c>
      <c r="E184" s="23" t="s">
        <v>799</v>
      </c>
      <c r="F184" s="8" t="str">
        <f>IF(ISBLANK(input_wld_cl01_supervisor_control_plane_ip_range),"Value Missing",input_wld_cl01_supervisor_control_plane_ip_range)</f>
        <v>Value Missing</v>
      </c>
      <c r="H184" s="23" t="s">
        <v>687</v>
      </c>
      <c r="I184" s="8" t="str">
        <f>IF(ISBLANK(input_wld_bf_nsxt_mgra_fqdn),"Value Missing",input_wld_bf_nsxt_mgra_fqdn)</f>
        <v>Value Missing</v>
      </c>
      <c r="K184" s="4" t="s">
        <v>545</v>
      </c>
      <c r="L184" s="8"/>
      <c r="N184" s="2"/>
      <c r="T184" s="4" t="s">
        <v>2019</v>
      </c>
      <c r="U184" s="8" t="str">
        <f>IF(ISBLANK(input_ccm_hcx_service_mesh),"Value Missing",input_ccm_hcx_service_mesh)</f>
        <v>Value Missing</v>
      </c>
      <c r="AB184" s="2"/>
      <c r="AC184" s="2"/>
    </row>
    <row r="185" spans="2:31" ht="20" customHeight="1" x14ac:dyDescent="0.2">
      <c r="B185" s="4" t="s">
        <v>1215</v>
      </c>
      <c r="C185" s="8" t="str">
        <f>IF(ISBLANK('Configure Management Domain'!D434),"Value Missing",'Configure Management Domain'!D434)</f>
        <v>Value Missing</v>
      </c>
      <c r="E185" s="23" t="s">
        <v>807</v>
      </c>
      <c r="F185" s="8" t="str">
        <f>IF(ISBLANK(input_wld_cl01_supervisor_dns),"Value Missing",input_wld_cl01_supervisor_dns)</f>
        <v>Value Missing</v>
      </c>
      <c r="H185" s="23" t="s">
        <v>689</v>
      </c>
      <c r="I185" s="8" t="str">
        <f>IF(ISBLANK(input_wld_bf_nsxt_mgrb_fqdn),"Value Missing",input_wld_bf_nsxt_mgrb_fqdn)</f>
        <v>Value Missing</v>
      </c>
      <c r="K185" s="4" t="s">
        <v>546</v>
      </c>
      <c r="L185" s="8"/>
      <c r="N185" s="2"/>
      <c r="AB185" s="2"/>
      <c r="AC185" s="2"/>
    </row>
    <row r="186" spans="2:31" ht="20" customHeight="1" x14ac:dyDescent="0.2">
      <c r="B186" s="2"/>
      <c r="C186" s="2"/>
      <c r="E186" s="23" t="s">
        <v>796</v>
      </c>
      <c r="F186" s="8" t="str">
        <f>IF(ISBLANK(input_wld_cl01_supervisor_name),"Value Missing",input_wld_cl01_supervisor_name)</f>
        <v>Value Missing</v>
      </c>
      <c r="H186" s="23" t="s">
        <v>691</v>
      </c>
      <c r="I186" s="8" t="str">
        <f>IF(ISBLANK(input_wld_bf_nsxt_mgrc_fqdn),"Value Missing",input_wld_bf_nsxt_mgrc_fqdn)</f>
        <v>Value Missing</v>
      </c>
      <c r="K186" s="4" t="s">
        <v>547</v>
      </c>
      <c r="L186" s="8"/>
      <c r="N186" s="2"/>
      <c r="T186" s="519" t="s">
        <v>2020</v>
      </c>
      <c r="U186" s="520"/>
      <c r="AB186" s="2"/>
    </row>
    <row r="187" spans="2:31" ht="20" customHeight="1" x14ac:dyDescent="0.2">
      <c r="B187" s="220" t="s">
        <v>2032</v>
      </c>
      <c r="C187" s="220"/>
      <c r="E187" s="23" t="s">
        <v>801</v>
      </c>
      <c r="F187" s="8" t="str">
        <f>IF(ISBLANK(input_wld_cl01_supervisor_nsx_project),"Value Missing",input_wld_cl01_supervisor_nsx_project)</f>
        <v>Value Missing</v>
      </c>
      <c r="H187" s="23" t="s">
        <v>693</v>
      </c>
      <c r="I187" s="8" t="str">
        <f>IF(ISBLANK(input_wld_bf_nsxt_vip_fqdn),"Value Missing",input_wld_bf_nsxt_vip_fqdn)</f>
        <v>Value Missing</v>
      </c>
      <c r="K187" s="4" t="s">
        <v>548</v>
      </c>
      <c r="L187" s="8"/>
      <c r="N187" s="2"/>
      <c r="T187" s="43" t="s">
        <v>2021</v>
      </c>
      <c r="U187" s="8" t="str">
        <f>IF(ISBLANK(input_mgmt_rwr_vc_fqdn),"Value Missing",input_mgmt_rwr_vc_fqdn)</f>
        <v>Value Missing</v>
      </c>
      <c r="AB187" s="2"/>
    </row>
    <row r="188" spans="2:31" ht="20" customHeight="1" x14ac:dyDescent="0.2">
      <c r="B188" s="200" t="s">
        <v>254</v>
      </c>
      <c r="C188" s="201" t="s">
        <v>20</v>
      </c>
      <c r="E188" s="23" t="s">
        <v>808</v>
      </c>
      <c r="F188" s="8" t="str">
        <f>IF(ISBLANK(input_wld_cl01_supervisor_ntp),"Value Missing",input_wld_cl01_supervisor_ntp)</f>
        <v>Value Missing</v>
      </c>
      <c r="H188" s="4" t="s">
        <v>695</v>
      </c>
      <c r="I188" s="8" t="str">
        <f>IF(ISBLANK(wld_bf_nsxt_enable_edge_sync_chosen),"Value Missing",wld_bf_nsxt_enable_edge_sync_chosen)</f>
        <v>Selected</v>
      </c>
      <c r="J188" s="2"/>
      <c r="K188" s="4" t="s">
        <v>549</v>
      </c>
      <c r="L188" s="8"/>
      <c r="N188" s="2"/>
      <c r="T188" s="43" t="s">
        <v>2024</v>
      </c>
      <c r="U188" s="8" t="str">
        <f>IF(ISBLANK(input_wld_rwr_vc_fqdn),"Value Missing",input_wld_rwr_vc_fqdn)</f>
        <v>Value Missing</v>
      </c>
      <c r="AB188" s="2"/>
    </row>
    <row r="189" spans="2:31" ht="20" customHeight="1" x14ac:dyDescent="0.2">
      <c r="B189" s="4" t="s">
        <v>563</v>
      </c>
      <c r="C189" s="8" t="str">
        <f>IF(ISBLANK(input_mgmt_sddc_domain),"Value Missing",input_mgmt_sddc_domain)</f>
        <v>Value Missing</v>
      </c>
      <c r="E189" s="23" t="s">
        <v>806</v>
      </c>
      <c r="F189" s="8"/>
      <c r="H189" s="23" t="s">
        <v>697</v>
      </c>
      <c r="I189" s="8" t="str">
        <f>IF(ISBLANK(wld_bf_nsxt_enable_edge_sync_chosen),"Value Missing",wld_bf_nsxt_configure_overlay_on_mgmt_pg_chosen)</f>
        <v>Selected</v>
      </c>
      <c r="J189" s="2"/>
      <c r="K189" s="4" t="s">
        <v>550</v>
      </c>
      <c r="L189" s="8"/>
      <c r="N189" s="2"/>
      <c r="T189" s="43" t="s">
        <v>2026</v>
      </c>
      <c r="U189" s="8" t="str">
        <f>IF(ISBLANK(input_wld_vlr_hostname),"Value Missing",input_wld_vlr_hostname)</f>
        <v>Value Missing</v>
      </c>
    </row>
    <row r="190" spans="2:31" ht="20" customHeight="1" x14ac:dyDescent="0.2">
      <c r="B190" s="4" t="s">
        <v>272</v>
      </c>
      <c r="C190" s="8" t="str">
        <f>IF(ISBLANK('Configure Management Domain'!D386),"Value Missing",'Configure Management Domain'!D386)</f>
        <v>Value Missing</v>
      </c>
      <c r="E190" s="23" t="s">
        <v>804</v>
      </c>
      <c r="F190" s="8" t="str">
        <f>IF(ISBLANK(input_wld_cl01_supervisor_private_transit_gateway_cidr),"Value Missing",input_wld_cl01_supervisor_private_transit_gateway_cidr)</f>
        <v>Value Missing</v>
      </c>
      <c r="H190" s="23" t="s">
        <v>699</v>
      </c>
      <c r="I190" s="8" t="str">
        <f>IF(ISBLANK(wld_bf_nsx_create_passwords_chosen),"Value Missing",wld_bf_nsx_create_passwords_chosen)</f>
        <v>Unselected</v>
      </c>
      <c r="J190" s="2"/>
      <c r="K190" s="4" t="s">
        <v>551</v>
      </c>
      <c r="L190" s="8"/>
      <c r="T190" s="43" t="s">
        <v>2028</v>
      </c>
      <c r="U190" s="8" t="str">
        <f>CONCATENATE(wld_vlr_hostname,".",rwr_child_dns_zone)</f>
        <v>Value Missing.Value Missing</v>
      </c>
    </row>
    <row r="191" spans="2:31" ht="20" customHeight="1" x14ac:dyDescent="0.2">
      <c r="B191" s="4" t="s">
        <v>204</v>
      </c>
      <c r="C191" s="8" t="str">
        <f>IF(ISBLANK('Configure Management Domain'!D384),"Value Missing",'Configure Management Domain'!D384)</f>
        <v>Value Missing</v>
      </c>
      <c r="D191" s="2"/>
      <c r="E191" s="23" t="s">
        <v>797</v>
      </c>
      <c r="F191" s="8" t="str">
        <f>IF(ISBLANK(input_wld_cl01_supervisor_service_cidr),"Value Missing",input_wld_cl01_supervisor_service_cidr)</f>
        <v>Value Missing</v>
      </c>
      <c r="H191" s="4" t="s">
        <v>700</v>
      </c>
      <c r="I191" s="8" t="str">
        <f>IF(ISBLANK(input_wld_bf_nsxt_admin_password),"Value Missing",input_wld_bf_nsxt_admin_password)</f>
        <v>Value Missing</v>
      </c>
      <c r="J191" s="2"/>
      <c r="K191" s="4" t="s">
        <v>644</v>
      </c>
      <c r="L191" s="8" t="str">
        <f>IF(ISBLANK(input_flt_logs_vip_fqdn),"Value Missing",input_flt_logs_vip_fqdn)</f>
        <v>Value Missing</v>
      </c>
      <c r="T191" s="43" t="s">
        <v>2029</v>
      </c>
      <c r="U191" s="8" t="str">
        <f t="array" ref="U191">IF(ISBLANK(input_wld_rwr_cl02_cluster),"Value Missing",input_wld_rwr_cl02_cluster)</f>
        <v>Value Missing</v>
      </c>
    </row>
    <row r="192" spans="2:31" ht="20" customHeight="1" x14ac:dyDescent="0.2">
      <c r="B192" s="4" t="s">
        <v>271</v>
      </c>
      <c r="C192" s="8" t="str">
        <f>IF(ISBLANK(input_mgmt_witness_vm_folder),"Value Missing",input_mgmt_witness_vm_folder)</f>
        <v>Value Missing</v>
      </c>
      <c r="D192" s="2"/>
      <c r="E192" s="23" t="s">
        <v>798</v>
      </c>
      <c r="F192" s="8" t="str">
        <f>IF(ISBLANK(wld_cl01_supervisor_use_mgmt_vmk_chosen),"Value Missing",wld_cl01_supervisor_use_mgmt_vmk_chosen)</f>
        <v>Unselected</v>
      </c>
      <c r="H192" s="4" t="s">
        <v>701</v>
      </c>
      <c r="I192" s="8" t="str">
        <f>IF(ISBLANK(input_wld_bf_nsxt_root_password),"Value Missing",input_wld_bf_nsxt_root_password)</f>
        <v>Value Missing</v>
      </c>
      <c r="J192" s="2"/>
      <c r="K192" s="4" t="s">
        <v>2023</v>
      </c>
      <c r="L192" s="8"/>
      <c r="T192" s="43" t="s">
        <v>2031</v>
      </c>
      <c r="U192" s="8" t="str">
        <f>IF(ISBLANK(input_wld_rwr_cl02_vds01),"Value Missing",input_wld_rwr_cl02_vds01)</f>
        <v>Value Missing</v>
      </c>
    </row>
    <row r="193" spans="2:32" ht="20" customHeight="1" x14ac:dyDescent="0.2">
      <c r="D193" s="2"/>
      <c r="E193" s="23" t="s">
        <v>802</v>
      </c>
      <c r="F193" s="8" t="str">
        <f>IF(ISBLANK(input_wld_cl01_supervisor_vpc_profile),"Value Missing",input_wld_cl01_supervisor_vpc_profile)</f>
        <v>Value Missing</v>
      </c>
      <c r="H193" s="4" t="s">
        <v>702</v>
      </c>
      <c r="I193" s="8" t="str">
        <f>IF(ISBLANK(input_wld_bf_nsxt_audit_password),"Value Missing",input_wld_bf_nsxt_audit_password)</f>
        <v>Value Missing</v>
      </c>
      <c r="J193" s="2"/>
      <c r="K193" s="4" t="s">
        <v>2025</v>
      </c>
      <c r="L193" s="8"/>
      <c r="T193" s="43"/>
      <c r="U193" s="8" t="str">
        <f>IF(ISBLANK(input_rwr_sso_domain_name),"Value Missing",input_rwr_sso_domain_name)</f>
        <v>Value Missing</v>
      </c>
      <c r="AE193" s="2"/>
    </row>
    <row r="194" spans="2:32" ht="20" customHeight="1" x14ac:dyDescent="0.2">
      <c r="B194" s="220" t="s">
        <v>2039</v>
      </c>
      <c r="C194" s="220"/>
      <c r="D194" s="2"/>
      <c r="E194" s="37" t="s">
        <v>1984</v>
      </c>
      <c r="F194" s="8" t="str">
        <f>IF(ISBLANK(input_wld_ec_mtu),"Value Missing",input_wld_ec_mtu)</f>
        <v>Value Missing</v>
      </c>
      <c r="H194" s="23" t="s">
        <v>671</v>
      </c>
      <c r="I194" s="8" t="str">
        <f>IF(ISBLANK(input_wld_bf_sddc_domain),"Value Missing",input_wld_bf_sddc_domain)</f>
        <v>Value Missing</v>
      </c>
      <c r="J194" s="2"/>
      <c r="K194" s="4" t="s">
        <v>2027</v>
      </c>
      <c r="L194" s="8"/>
      <c r="U194" s="8" t="str">
        <f>IF(ISBLANK(input_wld_vlr_replication_user),"Value Missing",input_wld_vlr_replication_user)</f>
        <v>Value Missing</v>
      </c>
    </row>
    <row r="195" spans="2:32" ht="20" customHeight="1" x14ac:dyDescent="0.2">
      <c r="B195" s="200" t="s">
        <v>254</v>
      </c>
      <c r="C195" s="201" t="s">
        <v>20</v>
      </c>
      <c r="D195" s="2"/>
      <c r="E195" s="37" t="s">
        <v>1978</v>
      </c>
      <c r="F195" s="8" t="str">
        <f>IF(ISBLANK(input_wld_nsxt_en_admin_password),"Value Missing",input_wld_nsxt_en_admin_password)</f>
        <v>Value Missing</v>
      </c>
      <c r="J195" s="2"/>
      <c r="K195" s="4" t="s">
        <v>276</v>
      </c>
      <c r="L195" s="8" t="str">
        <f>IF(ISBLANK(input_flt_logs_vip_ip),"Value Missing",input_flt_logs_vip_ip)</f>
        <v>Value Missing</v>
      </c>
      <c r="U195" s="8" t="str">
        <f>IF(ISBLANK(input_rwr_child_dns_zone),"Value Missing",input_rwr_child_dns_zone)</f>
        <v>Value Missing</v>
      </c>
    </row>
    <row r="196" spans="2:32" ht="20" customHeight="1" x14ac:dyDescent="0.2">
      <c r="B196" s="28" t="s">
        <v>1415</v>
      </c>
      <c r="C196" s="8" t="str">
        <f>IF(ISBLANK(input_mgmt_witness_zone_vc_ip),"Value Missing",input_mgmt_witness_zone_vc_ip)</f>
        <v>Value Missing</v>
      </c>
      <c r="E196" s="311" t="s">
        <v>1981</v>
      </c>
      <c r="F196" s="8" t="str">
        <f>IF(ISBLANK(input_wld_nsxt_en_root_password),"Value Missing",input_wld_nsxt_en_root_password)</f>
        <v>Value Missing</v>
      </c>
      <c r="H196" s="218" t="s">
        <v>2030</v>
      </c>
      <c r="I196" s="218"/>
      <c r="J196" s="2"/>
      <c r="K196" s="4" t="s">
        <v>276</v>
      </c>
      <c r="L196" s="8"/>
      <c r="U196" s="8" t="str">
        <f>IF(ISBLANK(input_rwr_vlr_replication_password),"Value Missing",input_rwr_vlr_replication_password)</f>
        <v>Value Missing</v>
      </c>
      <c r="AF196" s="2"/>
    </row>
    <row r="197" spans="2:32" ht="20" customHeight="1" x14ac:dyDescent="0.2">
      <c r="B197" s="28" t="s">
        <v>2042</v>
      </c>
      <c r="C197" s="8" t="str">
        <f>IF(ISBLANK('Configure Management Domain'!D390),"Value Missing",'Configure Management Domain'!D390)</f>
        <v>Value Missing</v>
      </c>
      <c r="H197" s="223" t="s">
        <v>254</v>
      </c>
      <c r="I197" s="224" t="s">
        <v>20</v>
      </c>
      <c r="J197" s="2"/>
      <c r="K197" s="4" t="s">
        <v>276</v>
      </c>
      <c r="L197" s="8"/>
      <c r="U197" s="8" t="str">
        <f>IF(ISBLANK(input_rwr_vrms_pg),"Value Missing",input_rwr_vrms_pg)</f>
        <v>Value Missing</v>
      </c>
    </row>
    <row r="198" spans="2:32" ht="20" customHeight="1" x14ac:dyDescent="0.2">
      <c r="B198" s="4" t="s">
        <v>1822</v>
      </c>
      <c r="C198" s="8" t="str">
        <f>IF(ISBLANK(input_mgmt_witness_dns1_ip),"Value Missing",input_mgmt_witness_dns1_ip)</f>
        <v>Value Missing</v>
      </c>
      <c r="H198" s="30" t="s">
        <v>85</v>
      </c>
      <c r="I198" s="8" t="str">
        <f>IF(ISBLANK(input_cluster_az2_mgmt_vlan),"Value Missing",input_cluster_az2_mgmt_vlan)</f>
        <v>Value Missing</v>
      </c>
      <c r="J198" s="2"/>
      <c r="K198" s="4" t="s">
        <v>276</v>
      </c>
      <c r="L198" s="8"/>
      <c r="U198" s="8" t="str">
        <f>IF(ISBLANK(input_wld_rwr_recovery_site_vc_fqdn),"Value Missing",input_wld_rwr_recovery_site_vc_fqdn)</f>
        <v>Value Missing</v>
      </c>
    </row>
    <row r="199" spans="2:32" ht="20" customHeight="1" x14ac:dyDescent="0.2">
      <c r="B199" s="4" t="s">
        <v>1822</v>
      </c>
      <c r="C199" s="8" t="str">
        <f>IF(ISBLANK(input_mgmt_witness_dns2_ip),"Value Missing",input_mgmt_witness_dns2_ip)</f>
        <v>Value Missing</v>
      </c>
      <c r="E199" s="218" t="s">
        <v>3935</v>
      </c>
      <c r="F199" s="218"/>
      <c r="H199" s="30" t="s">
        <v>182</v>
      </c>
      <c r="I199" s="8" t="str">
        <f>IF(ISBLANK(input_cluster_az2_mgmt_gateway_ip),"Value Missing",input_cluster_az2_mgmt_gateway_ip)</f>
        <v>Value Missing</v>
      </c>
      <c r="J199" s="2"/>
      <c r="K199" s="4" t="s">
        <v>558</v>
      </c>
      <c r="L199" s="8"/>
      <c r="U199" s="8" t="str">
        <f>IF(ISBLANK(input_rwr_datacenter),"Value Missing",input_rwr_datacenter)</f>
        <v>Value Missing</v>
      </c>
    </row>
    <row r="200" spans="2:32" ht="20" customHeight="1" x14ac:dyDescent="0.2">
      <c r="B200" s="4" t="s">
        <v>1826</v>
      </c>
      <c r="C200" s="8" t="str">
        <f>IF(ISBLANK(sample_mgmt_witness_ntp1_server),"Value Missing",sample_mgmt_witness_ntp1_server)</f>
        <v>ntp0.sfo.rainpole.io</v>
      </c>
      <c r="E200" s="4" t="s">
        <v>3900</v>
      </c>
      <c r="F200" s="8" t="str" cm="1">
        <f t="array" ref="F200">IF(ISBLANK(input_wld_vpc_ext_ip_blocks_name),"Value Missing",input_wld_vpc_ext_ip_blocks_name)</f>
        <v>Value Missing</v>
      </c>
      <c r="H200" s="30" t="s">
        <v>183</v>
      </c>
      <c r="I200" s="8" t="str">
        <f>IF(ISBLANK(input_cluster_az2_mgmt_cidr),"Value Missing",input_cluster_az2_mgmt_cidr)</f>
        <v>Value Missing</v>
      </c>
      <c r="J200" s="2"/>
      <c r="K200" s="4" t="s">
        <v>560</v>
      </c>
      <c r="L200" s="8"/>
      <c r="U200" s="8" t="str">
        <f>IF(ISBLANK(input_wld_rwr_recoverysite_fd),"Value Missing",input_wld_rwr_recoverysite_fd)</f>
        <v>Value Missing</v>
      </c>
    </row>
    <row r="201" spans="2:32" ht="20" customHeight="1" x14ac:dyDescent="0.2">
      <c r="B201" s="4" t="s">
        <v>1826</v>
      </c>
      <c r="C201" s="8" t="str">
        <f>IF(ISBLANK(sample_mgmt_witness_ntp2_server),"Value Missing",sample_mgmt_witness_ntp2_server)</f>
        <v>ntp1.sfo.rainpole.io</v>
      </c>
      <c r="E201" s="4" t="s">
        <v>3857</v>
      </c>
      <c r="F201" s="8" t="str" cm="1">
        <f t="array" ref="F201">IF(ISBLANK(input_wld_vpc_ext_ip_blocks_visability),"Value Missing",input_wld_vpc_ext_ip_blocks_visability)</f>
        <v>Value Missing</v>
      </c>
      <c r="H201" s="30" t="s">
        <v>157</v>
      </c>
      <c r="I201" s="8" t="str">
        <f>IF(ISBLANK(input_cluster_az2_mgmt_mtu),"Value Missing",input_cluster_az2_mgmt_mtu)</f>
        <v>Value Missing</v>
      </c>
      <c r="J201" s="2"/>
      <c r="K201" s="4" t="s">
        <v>2033</v>
      </c>
      <c r="L201" s="8"/>
      <c r="T201" s="4" t="s">
        <v>2036</v>
      </c>
      <c r="U201" s="8" t="str">
        <f>IF(AND(this_instance="sfo",wld_domain_number_chosen=1),"10.23.",IF(AND(this_instance="sfo",wld_domain_number_chosen=2),"10.25.",IF(AND(this_instance="sfo",wld_domain_number_chosen=3),"10.27.",IF(AND(this_instance="lax",wld_domain_number_chosen=1),"10.13.",IF(AND(this_instance="lax",wld_domain_number_chosen=2),"10.15.",IF(AND(this_instance="lax",wld_domain_number_chosen=3),"10.17."))))))</f>
        <v>10.23.</v>
      </c>
    </row>
    <row r="202" spans="2:32" ht="20" customHeight="1" x14ac:dyDescent="0.2">
      <c r="B202" s="32"/>
      <c r="E202" s="4" t="s">
        <v>172</v>
      </c>
      <c r="F202" s="8" t="str" cm="1">
        <f t="array" ref="F202">IF(ISBLANK(input_wld_vpc_ext_ip_blocks_cidr),"Value Missing",input_wld_vpc_ext_ip_blocks_cidr)</f>
        <v>Value Missing</v>
      </c>
      <c r="H202" s="30" t="s">
        <v>208</v>
      </c>
      <c r="I202" s="8" t="str">
        <f>IF(ISBLANK(input_cluster_az2_host1_mgmt_ip),"Value Missing",input_cluster_az2_host1_mgmt_ip)</f>
        <v>Value Missing</v>
      </c>
      <c r="J202" s="2"/>
      <c r="K202" s="4" t="s">
        <v>2034</v>
      </c>
      <c r="L202" s="8"/>
      <c r="T202" s="9" t="s">
        <v>2037</v>
      </c>
      <c r="U202" s="8" t="str">
        <f>IF(ISBLANK(input_wld_rwr_az1_vrms_gateway_ip),"Value Missing",input_wld_rwr_az1_vrms_gateway_ip)</f>
        <v>Value Missing</v>
      </c>
    </row>
    <row r="203" spans="2:32" ht="20" customHeight="1" x14ac:dyDescent="0.2">
      <c r="B203" s="218" t="s">
        <v>2043</v>
      </c>
      <c r="C203" s="218"/>
      <c r="E203" s="4" t="s">
        <v>3859</v>
      </c>
      <c r="F203" s="8" t="str" cm="1">
        <f t="array" ref="F203">IF(ISBLANK(input_wld_vpc_ext_ip_blocks_excluded_ips),"Value Missing",input_wld_vpc_ext_ip_blocks_excluded_ips)</f>
        <v>Value Missing</v>
      </c>
      <c r="H203" s="30" t="s">
        <v>210</v>
      </c>
      <c r="I203" s="8" t="str">
        <f>IF(ISBLANK(input_cluster_az2_host2_mgmt_ip),"Value Missing",input_cluster_az2_host2_mgmt_ip)</f>
        <v>Value Missing</v>
      </c>
      <c r="J203" s="2"/>
      <c r="K203" s="4" t="s">
        <v>2035</v>
      </c>
      <c r="L203" s="8"/>
      <c r="T203" s="9" t="s">
        <v>2038</v>
      </c>
      <c r="U203" s="8" t="str">
        <f>IF(ISBLANK(input_wld_rwr_recovery_site_az1_vrms_cidr),"Value Missing",input_wld_rwr_recovery_site_az1_vrms_cidr)</f>
        <v>Value Missing</v>
      </c>
    </row>
    <row r="204" spans="2:32" ht="20" customHeight="1" x14ac:dyDescent="0.2">
      <c r="B204" s="223" t="s">
        <v>254</v>
      </c>
      <c r="C204" s="224" t="s">
        <v>20</v>
      </c>
      <c r="E204" s="4" t="s">
        <v>3860</v>
      </c>
      <c r="F204" s="8" t="str" cm="1">
        <f t="array" ref="F204">IF(ISBLANK(input_wld_vpc_ext_ip_blocks_reserved),"Value Missing",input_wld_vpc_ext_ip_blocks_reserved)</f>
        <v>Value Missing</v>
      </c>
      <c r="H204" s="30" t="s">
        <v>212</v>
      </c>
      <c r="I204" s="8" t="str">
        <f>IF(ISBLANK(input_cluster_az2_host3_mgmt_ip),"Value Missing",input_cluster_az2_host3_mgmt_ip)</f>
        <v>Value Missing</v>
      </c>
      <c r="J204" s="2"/>
      <c r="K204" s="4" t="s">
        <v>713</v>
      </c>
      <c r="L204" s="8"/>
      <c r="T204" s="9" t="s">
        <v>2040</v>
      </c>
      <c r="U204" s="8" t="str">
        <f>IF(ISBLANK(input_wld_rwr_az1_vrms_gateway_mask),"Value Missing",input_wld_rwr_az1_vrms_gateway_mask)</f>
        <v>Value Missing</v>
      </c>
    </row>
    <row r="205" spans="2:32" ht="20" customHeight="1" x14ac:dyDescent="0.2">
      <c r="B205" s="28" t="s">
        <v>2046</v>
      </c>
      <c r="C205" s="8" t="str">
        <f>IF(ISBLANK(input_wld_esx_root_username),"Value Missing",input_wld_esx_root_username)</f>
        <v>Value Missing</v>
      </c>
      <c r="E205" s="4" t="s">
        <v>3901</v>
      </c>
      <c r="F205" s="8" t="str" cm="1">
        <f t="array" ref="F205">IF(ISBLANK(input_wld_vpc_priv_ip_blocks_name),"Value Missing",input_wld_vpc_priv_ip_blocks_name)</f>
        <v>Value Missing</v>
      </c>
      <c r="H205" s="30" t="s">
        <v>214</v>
      </c>
      <c r="I205" s="8" t="str">
        <f>IF(ISBLANK(input_cluster_az2_host4_mgmt_ip),"Value Missing",input_cluster_az2_host4_mgmt_ip)</f>
        <v>Value Missing</v>
      </c>
      <c r="J205" s="2"/>
      <c r="K205" s="4" t="s">
        <v>646</v>
      </c>
      <c r="L205" s="8"/>
      <c r="U205" s="8" t="str">
        <f>IF(ISBLANK(input_mgmt_rwr_recovery_site_az1_mgmt_cidr),"Value Missing",input_mgmt_rwr_recovery_site_az1_mgmt_cidr)</f>
        <v>Value Missing</v>
      </c>
    </row>
    <row r="206" spans="2:32" ht="20" customHeight="1" x14ac:dyDescent="0.2">
      <c r="B206" s="28" t="s">
        <v>2048</v>
      </c>
      <c r="C206" s="8" t="str">
        <f>IF(ISBLANK(input_wld_esx_root_password),"Value Missing",input_wld_esx_root_password)</f>
        <v>Value Missing</v>
      </c>
      <c r="E206" s="4" t="s">
        <v>3857</v>
      </c>
      <c r="F206" s="8" t="str" cm="1">
        <f t="array" ref="F206">IF(ISBLANK(input_wld_vpc_priv_ip_blocks_visability),"Value Missing",input_wld_vpc_priv_ip_blocks_visability)</f>
        <v>Value Missing</v>
      </c>
      <c r="H206" s="30" t="s">
        <v>216</v>
      </c>
      <c r="I206" s="8" t="str">
        <f>IF(ISBLANK(input_cluster_az2_host5_mgmt_ip),"Value Missing",input_cluster_az2_host5_mgmt_ip)</f>
        <v>Value Missing</v>
      </c>
      <c r="J206" s="2"/>
      <c r="K206" s="4" t="s">
        <v>102</v>
      </c>
      <c r="L206" s="8"/>
      <c r="T206" s="9" t="s">
        <v>2041</v>
      </c>
      <c r="U206" s="8" t="str">
        <f>IF(ISBLANK(input_wld_rwr_vcfops_vlsr_username),"Value Missing",input_wld_rwr_vcfops_vlsr_username)</f>
        <v>Value Missing</v>
      </c>
    </row>
    <row r="207" spans="2:32" ht="20" customHeight="1" x14ac:dyDescent="0.2">
      <c r="B207" s="28" t="s">
        <v>715</v>
      </c>
      <c r="C207" s="8" t="str">
        <f>IF(ISBLANK(input_wld_vcenter_root_password),"Value Missing",input_wld_vcenter_root_password)</f>
        <v>Value Missing</v>
      </c>
      <c r="E207" s="4" t="s">
        <v>174</v>
      </c>
      <c r="F207" s="8" t="str">
        <f>IF(ISBLANK(input_wld_vpc_transit_gateway_ip_blocks_cidr),"Value Missing",input_wld_vpc_transit_gateway_ip_blocks_cidr)</f>
        <v>Value Missing</v>
      </c>
      <c r="H207" s="30" t="s">
        <v>218</v>
      </c>
      <c r="I207" s="8" t="str">
        <f>IF(ISBLANK(input_cluster_az2_host6_mgmt_ip),"Value Missing",input_cluster_az2_host6_mgmt_ip)</f>
        <v>Value Missing</v>
      </c>
      <c r="J207" s="2"/>
      <c r="K207" s="23" t="s">
        <v>638</v>
      </c>
      <c r="L207" s="8"/>
      <c r="U207" s="8" t="str">
        <f>IF(ISBLANK(input_wld_rwr_vcfops_vr_username),"Value Missing",input_wld_rwr_vcfops_vr_username)</f>
        <v>Value Missing</v>
      </c>
    </row>
    <row r="208" spans="2:32" ht="20" customHeight="1" x14ac:dyDescent="0.2">
      <c r="B208" s="28" t="s">
        <v>2052</v>
      </c>
      <c r="C208" s="8" t="str">
        <f>IF(ISBLANK(input_xreg_vra_admin_password),"Value Missing",input_xreg_vra_admin_password)</f>
        <v>Value Missing</v>
      </c>
      <c r="E208" s="4" t="s">
        <v>3859</v>
      </c>
      <c r="F208" s="8" t="str" cm="1">
        <f t="array" ref="F208">IF(ISBLANK(input_wld_vpc_priv_ip_blocks_excluded_ips),"Value Missing",input_wld_vpc_priv_ip_blocks_excluded_ips)</f>
        <v>Value Missing</v>
      </c>
      <c r="H208" s="30" t="s">
        <v>220</v>
      </c>
      <c r="I208" s="8" t="str">
        <f>IF(ISBLANK(input_cluster_az2_host7_mgmt_ip),"Value Missing",input_cluster_az2_host7_mgmt_ip)</f>
        <v>Value Missing</v>
      </c>
      <c r="J208" s="2"/>
      <c r="K208" s="30" t="s">
        <v>193</v>
      </c>
      <c r="L208" s="8" t="str">
        <f>IF(ISBLANK(input_flt_logs_admin_password),"Value Missing",input_flt_logs_admin_password)</f>
        <v>Value Missing</v>
      </c>
      <c r="T208" s="65" t="s">
        <v>588</v>
      </c>
      <c r="U208" s="66"/>
    </row>
    <row r="209" spans="2:12" ht="20" customHeight="1" x14ac:dyDescent="0.2">
      <c r="B209" s="28" t="s">
        <v>2055</v>
      </c>
      <c r="C209" s="8" t="str">
        <f>IF(ISBLANK(input_xreg_vrops_admin_password),"Value Missing",input_xreg_vrops_admin_password)</f>
        <v>Value Missing</v>
      </c>
      <c r="E209" s="4" t="s">
        <v>3860</v>
      </c>
      <c r="F209" s="8" t="str" cm="1">
        <f t="array" ref="F209">IF(ISBLANK(input_wld_vpc_priv_ip_blocks_reserved),"Value Missing",input_wld_vpc_priv_ip_blocks_reserved)</f>
        <v>Value Missing</v>
      </c>
      <c r="H209" s="30" t="s">
        <v>222</v>
      </c>
      <c r="I209" s="8" t="str">
        <f>IF(ISBLANK(input_cluster_az2_host8_mgmt_ip),"Value Missing",input_cluster_az2_host8_mgmt_ip)</f>
        <v>Value Missing</v>
      </c>
      <c r="J209" s="2"/>
      <c r="K209" s="30" t="s">
        <v>639</v>
      </c>
      <c r="L209" s="8"/>
    </row>
    <row r="210" spans="2:12" ht="20" customHeight="1" x14ac:dyDescent="0.2">
      <c r="B210" s="28" t="s">
        <v>2057</v>
      </c>
      <c r="C210" s="8" t="str">
        <f>IF(ISBLANK(input_xreg_vrops_root_password),"Value Missing",input_xreg_vrops_root_password)</f>
        <v>Value Missing</v>
      </c>
      <c r="E210" s="4" t="s">
        <v>204</v>
      </c>
      <c r="F210" s="8" t="str" cm="1">
        <f t="array" ref="F210">IF(ISBLANK(input_wld_vpc_vna_cluster_name),"Value Missing",input_wld_vpc_vna_cluster_name)</f>
        <v>Value Missing</v>
      </c>
      <c r="H210" s="30" t="s">
        <v>224</v>
      </c>
      <c r="I210" s="8" t="str">
        <f>IF(ISBLANK(input_cluster_az2_host9_mgmt_ip),"Value Missing",input_cluster_az2_host9_mgmt_ip)</f>
        <v>Value Missing</v>
      </c>
      <c r="J210" s="2"/>
      <c r="K210" s="30" t="s">
        <v>640</v>
      </c>
      <c r="L210" s="8" t="str">
        <f>IF(ISBLANK(input_flt_logs_admin_username),"Value Missing",input_flt_logs_admin_username)</f>
        <v>Value Missing</v>
      </c>
    </row>
    <row r="211" spans="2:12" ht="20" customHeight="1" x14ac:dyDescent="0.2">
      <c r="B211" s="28" t="s">
        <v>2059</v>
      </c>
      <c r="C211" s="8" t="str">
        <f>IF(ISBLANK(input_vcfms_system_password),"Value Missing",input_vcfms_system_password)</f>
        <v>Value Missing</v>
      </c>
      <c r="E211" s="4" t="s">
        <v>3890</v>
      </c>
      <c r="F211" s="8" t="str">
        <f>IF(ISBLANK(input_wld_vnaa_fqdn),"Value Missing",input_wld_vnaa_fqdn)</f>
        <v>Value Missing</v>
      </c>
      <c r="H211" s="30" t="s">
        <v>226</v>
      </c>
      <c r="I211" s="8" t="str">
        <f>IF(ISBLANK(input_cluster_az2_host10_mgmt_ip),"Value Missing",input_cluster_az2_host10_mgmt_ip)</f>
        <v>Value Missing</v>
      </c>
      <c r="J211" s="2"/>
      <c r="K211" s="30" t="s">
        <v>576</v>
      </c>
      <c r="L211" s="8"/>
    </row>
    <row r="212" spans="2:12" ht="20" customHeight="1" x14ac:dyDescent="0.2">
      <c r="B212" s="28" t="s">
        <v>2061</v>
      </c>
      <c r="C212" s="8" t="str">
        <f>IF(ISBLANK(input_wld_administrator_vsphere_local_password),"Value Missing",input_wld_administrator_vsphere_local_password)</f>
        <v>Value Missing</v>
      </c>
      <c r="D212" s="2"/>
      <c r="E212" s="4" t="s">
        <v>3890</v>
      </c>
      <c r="F212" s="8" t="str">
        <f>IF(ISBLANK(input_wld_vnab_fqdn),"Value Missing",input_wld_vnab_fqdn)</f>
        <v>Value Missing</v>
      </c>
      <c r="H212" s="30" t="s">
        <v>228</v>
      </c>
      <c r="I212" s="8" t="str">
        <f>IF(ISBLANK(input_cluster_az2_host11_mgmt_ip),"Value Missing",input_cluster_az2_host11_mgmt_ip)</f>
        <v>Value Missing</v>
      </c>
      <c r="J212" s="2"/>
      <c r="K212" s="30" t="s">
        <v>527</v>
      </c>
      <c r="L212" s="8"/>
    </row>
    <row r="213" spans="2:12" ht="20" customHeight="1" x14ac:dyDescent="0.2">
      <c r="D213" s="2"/>
      <c r="E213" s="4" t="s">
        <v>3893</v>
      </c>
      <c r="F213" s="8" t="str" cm="1">
        <f t="array" ref="F213">IF(ISBLANK(input_wld_vnaa_cidr),"Value Missing",input_wld_vnaa_cidr)</f>
        <v>Value Missing</v>
      </c>
      <c r="H213" s="30" t="s">
        <v>230</v>
      </c>
      <c r="I213" s="8" t="str">
        <f>IF(ISBLANK(input_cluster_az2_host12_mgmt_ip),"Value Missing",input_cluster_az2_host12_mgmt_ip)</f>
        <v>Value Missing</v>
      </c>
      <c r="J213" s="2"/>
      <c r="K213" s="30" t="s">
        <v>577</v>
      </c>
      <c r="L213" s="8"/>
    </row>
    <row r="214" spans="2:12" ht="20" customHeight="1" x14ac:dyDescent="0.2">
      <c r="B214" s="28" t="s">
        <v>2063</v>
      </c>
      <c r="C214" s="8" t="str">
        <f>IF(ISBLANK(input_mgmt_nsxt_en_admin_password),"Value Missing",input_mgmt_nsxt_en_admin_password)</f>
        <v>Value Missing</v>
      </c>
      <c r="D214" s="2"/>
      <c r="E214" s="4" t="s">
        <v>3893</v>
      </c>
      <c r="F214" s="8" t="str" cm="1">
        <f t="array" ref="F214">IF(ISBLANK(input_wld_vnab_cidr),"Value Missing",input_wld_vnab_cidr)</f>
        <v>Value Missing</v>
      </c>
      <c r="H214" s="30" t="s">
        <v>232</v>
      </c>
      <c r="I214" s="8" t="str">
        <f>IF(ISBLANK(input_cluster_az2_host13_mgmt_ip),"Value Missing",input_cluster_az2_host13_mgmt_ip)</f>
        <v>Value Missing</v>
      </c>
      <c r="J214" s="2"/>
      <c r="K214" s="30" t="s">
        <v>579</v>
      </c>
      <c r="L214" s="8"/>
    </row>
    <row r="215" spans="2:12" ht="20" customHeight="1" x14ac:dyDescent="0.2">
      <c r="B215" s="28" t="s">
        <v>2065</v>
      </c>
      <c r="C215" s="8" t="str">
        <f>IF(ISBLANK(input_mgmt_nsxt_en_root_password),"Value Missing",input_mgmt_nsxt_en_root_password)</f>
        <v>Value Missing</v>
      </c>
      <c r="D215" s="2"/>
      <c r="E215" s="4" t="s">
        <v>97</v>
      </c>
      <c r="F215" s="8" t="str" cm="1">
        <f t="array" ref="F215">IF(ISBLANK(input_wld_vna_rp_name),"Value Missing",input_wld_vna_rp_name)</f>
        <v>Value Missing</v>
      </c>
      <c r="H215" s="30" t="s">
        <v>234</v>
      </c>
      <c r="I215" s="8" t="str">
        <f>IF(ISBLANK(input_cluster_az2_host14_mgmt_ip),"Value Missing",input_cluster_az2_host14_mgmt_ip)</f>
        <v>Value Missing</v>
      </c>
      <c r="J215" s="2"/>
      <c r="K215" s="4" t="s">
        <v>641</v>
      </c>
      <c r="L215" s="8" t="str">
        <f>IF(ISBLANK(flt_logs_node_size_chosen),"Value Missing",flt_logs_node_size_chosen)</f>
        <v>Medium</v>
      </c>
    </row>
    <row r="216" spans="2:12" ht="20" customHeight="1" x14ac:dyDescent="0.2">
      <c r="B216" s="28" t="s">
        <v>2066</v>
      </c>
      <c r="C216" s="8"/>
      <c r="D216" s="2"/>
      <c r="E216" s="4" t="s">
        <v>85</v>
      </c>
      <c r="F216" s="8" t="str">
        <f>IF(ISBLANK(input_wld_az1_dtgw_vlan),"Value Missing",input_wld_az1_dtgw_vlan)</f>
        <v>Value Missing</v>
      </c>
      <c r="H216" s="30" t="s">
        <v>236</v>
      </c>
      <c r="I216" s="8" t="str">
        <f>IF(ISBLANK(input_cluster_az2_host15_mgmt_ip),"Value Missing",input_cluster_az2_host15_mgmt_ip)</f>
        <v>Value Missing</v>
      </c>
      <c r="J216" s="2"/>
      <c r="K216" s="4" t="s">
        <v>642</v>
      </c>
      <c r="L216" s="8"/>
    </row>
    <row r="217" spans="2:12" ht="20" customHeight="1" x14ac:dyDescent="0.2">
      <c r="B217" s="28" t="s">
        <v>2068</v>
      </c>
      <c r="C217" s="8"/>
      <c r="E217" s="4" t="s">
        <v>86</v>
      </c>
      <c r="F217" s="8" t="str">
        <f>IF(ISBLANK(input_wld_az1_dtgw_gateway_cidr),"Value Missing",input_wld_az1_dtgw_gateway_cidr)</f>
        <v>Value Missing</v>
      </c>
      <c r="H217" s="30" t="s">
        <v>238</v>
      </c>
      <c r="I217" s="8" t="str">
        <f>IF(ISBLANK(input_cluster_az2_host16_mgmt_ip),"Value Missing",input_cluster_az2_host16_mgmt_ip)</f>
        <v>Value Missing</v>
      </c>
      <c r="J217" s="2"/>
      <c r="K217" s="4" t="s">
        <v>2044</v>
      </c>
      <c r="L217" s="8"/>
    </row>
    <row r="218" spans="2:12" ht="20" customHeight="1" x14ac:dyDescent="0.2">
      <c r="B218" s="28" t="s">
        <v>2070</v>
      </c>
      <c r="C218" s="8"/>
      <c r="H218" s="30" t="s">
        <v>243</v>
      </c>
      <c r="I218" s="8" t="str">
        <f>IF(ISBLANK(input_cluster_az2_pool_name),"Value Missing",input_cluster_az2_pool_name)</f>
        <v>Value Missing</v>
      </c>
      <c r="J218" s="2"/>
      <c r="K218" s="4" t="s">
        <v>2045</v>
      </c>
      <c r="L218" s="8"/>
    </row>
    <row r="219" spans="2:12" ht="20" customHeight="1" x14ac:dyDescent="0.2">
      <c r="B219" s="28" t="s">
        <v>2072</v>
      </c>
      <c r="C219" s="8"/>
      <c r="E219" s="218" t="s">
        <v>3936</v>
      </c>
      <c r="F219" s="218"/>
      <c r="H219" s="579" t="s">
        <v>244</v>
      </c>
      <c r="I219" s="581"/>
      <c r="J219" s="2"/>
      <c r="K219" s="4" t="s">
        <v>2047</v>
      </c>
      <c r="L219" s="8"/>
    </row>
    <row r="220" spans="2:12" ht="20" customHeight="1" x14ac:dyDescent="0.2">
      <c r="B220" s="28" t="s">
        <v>2073</v>
      </c>
      <c r="C220" s="8"/>
      <c r="E220" s="4" t="s">
        <v>3908</v>
      </c>
      <c r="F220" s="8" t="str">
        <f>IF(ISBLANK(input_wld_supvr_name),"Value Missing",input_wld_supvr_name)</f>
        <v>Value Missing</v>
      </c>
      <c r="H220" s="30" t="s">
        <v>2049</v>
      </c>
      <c r="I220" s="8" t="str">
        <f>IF(ISBLANK(input_cluster_az2_vmotion_vlan),"Value Missing",input_cluster_az2_vmotion_vlan)</f>
        <v>Value Missing</v>
      </c>
      <c r="J220" s="2"/>
      <c r="K220" s="4" t="s">
        <v>2050</v>
      </c>
      <c r="L220" s="8" t="str">
        <f>IF(ISBLANK(input_flt_logs_vip_ip),"Value Missing",input_flt_logs_vip_ip)</f>
        <v>Value Missing</v>
      </c>
    </row>
    <row r="221" spans="2:12" ht="20" customHeight="1" x14ac:dyDescent="0.2">
      <c r="B221" s="28" t="s">
        <v>2074</v>
      </c>
      <c r="C221" s="8"/>
      <c r="E221" s="4" t="s">
        <v>3911</v>
      </c>
      <c r="F221" s="8" t="str" cm="1">
        <f t="array" ref="F221">IF(ISBLANK(input_wld_supvr_zone_name),"Value Missing",input_wld_supvr_zone_name)</f>
        <v>Value Missing</v>
      </c>
      <c r="H221" s="30" t="s">
        <v>157</v>
      </c>
      <c r="I221" s="8" t="str">
        <f>IF(ISBLANK(input_cluster_az2_vmotion_mtu),"Value Missing",input_cluster_az2_vmotion_mtu)</f>
        <v>Value Missing</v>
      </c>
      <c r="J221" s="2"/>
      <c r="K221" s="4" t="s">
        <v>2051</v>
      </c>
      <c r="L221" s="8"/>
    </row>
    <row r="222" spans="2:12" ht="20" customHeight="1" x14ac:dyDescent="0.2">
      <c r="B222" s="23" t="s">
        <v>2075</v>
      </c>
      <c r="C222" s="8"/>
      <c r="E222" s="4" t="s">
        <v>3912</v>
      </c>
      <c r="F222" s="8" t="str">
        <f>IF(ISBLANK(input_wld_supvr_cp_storage_policy),"Value Missing",input_wld_supvr_cp_storage_policy)</f>
        <v>Value Missing</v>
      </c>
      <c r="H222" s="30" t="s">
        <v>2053</v>
      </c>
      <c r="I222" s="8" t="str">
        <f>IF(ISBLANK(input_cluster_az2_vmotion_network),"Value Missing",input_cluster_az2_vmotion_network)</f>
        <v>Value Missing</v>
      </c>
      <c r="J222" s="2"/>
      <c r="K222" s="4" t="s">
        <v>2054</v>
      </c>
      <c r="L222" s="8"/>
    </row>
    <row r="223" spans="2:12" ht="20" customHeight="1" x14ac:dyDescent="0.2">
      <c r="B223" s="30" t="s">
        <v>2077</v>
      </c>
      <c r="C223" s="8"/>
      <c r="E223" s="4" t="s">
        <v>3913</v>
      </c>
      <c r="F223" s="8" t="str">
        <f>IF(ISBLANK(input_wld_supvr_ed_storage_policy),"Value Missing",input_wld_supvr_ed_storage_policy)</f>
        <v>Value Missing</v>
      </c>
      <c r="H223" s="30" t="s">
        <v>246</v>
      </c>
      <c r="I223" s="8" t="str">
        <f>IF(ISBLANK(input_cluster_az2_vmotion_mask),"Value Missing",input_cluster_az2_vmotion_mask)</f>
        <v>Value Missing</v>
      </c>
      <c r="J223" s="2"/>
      <c r="K223" s="4" t="s">
        <v>2056</v>
      </c>
      <c r="L223" s="8"/>
    </row>
    <row r="224" spans="2:12" ht="20" customHeight="1" x14ac:dyDescent="0.2">
      <c r="B224" s="30" t="s">
        <v>2079</v>
      </c>
      <c r="C224" s="8"/>
      <c r="E224" s="4" t="s">
        <v>3914</v>
      </c>
      <c r="F224" s="8" t="str">
        <f>IF(ISBLANK(input_wld_supvr_ic_storage_policy),"Value Missing",input_wld_supvr_ic_storage_policy)</f>
        <v>Value Missing</v>
      </c>
      <c r="H224" s="4" t="s">
        <v>451</v>
      </c>
      <c r="I224" s="8" t="str">
        <f>IF(OR(cluster_az2_vmotion_network="Value Missing",cluster_az2_vmotion_mask="Value Missing"),"Value Missing",(CONCATENATE(cluster_az2_vmotion_network,"/",VLOOKUP(cluster_az2_vmotion_mask,table_mask_to_cidr,2,FALSE))))</f>
        <v>Value Missing</v>
      </c>
      <c r="J224" s="2"/>
      <c r="K224" s="4" t="s">
        <v>2058</v>
      </c>
      <c r="L224" s="8"/>
    </row>
    <row r="225" spans="2:12" ht="20" customHeight="1" x14ac:dyDescent="0.2">
      <c r="B225" s="42"/>
      <c r="C225" s="42"/>
      <c r="E225" s="4" t="s">
        <v>3917</v>
      </c>
      <c r="F225" s="8" t="str">
        <f>IF(ISBLANK(input_wld_supvr_ip_address_range),"Value Missing",input_wld_supvr_ip_address_range)</f>
        <v>Value Missing</v>
      </c>
      <c r="H225" s="30" t="s">
        <v>247</v>
      </c>
      <c r="I225" s="8" t="str">
        <f>IF(ISBLANK(input_cluster_az2_vmotion_gateway_ip),"Value Missing",input_cluster_az2_vmotion_gateway_ip)</f>
        <v>Value Missing</v>
      </c>
      <c r="J225" s="2"/>
    </row>
    <row r="226" spans="2:12" ht="20" customHeight="1" x14ac:dyDescent="0.2">
      <c r="B226" s="28" t="s">
        <v>2081</v>
      </c>
      <c r="C226" s="8" t="str">
        <f>IF(ISBLANK(input_mgmt_az1_en1_eth0_uplink0),"Value Missing",input_mgmt_az1_en1_eth0_uplink0)</f>
        <v>Value Missing</v>
      </c>
      <c r="E226" s="4" t="s">
        <v>565</v>
      </c>
      <c r="F226" s="8" t="str">
        <f>IF(ISBLANK(input_wld_supvr_mgmt_dns_server),"Value Missing",input_wld_supvr_mgmt_dns_server)</f>
        <v>Value Missing</v>
      </c>
      <c r="H226" s="30" t="s">
        <v>248</v>
      </c>
      <c r="I226" s="8" t="str">
        <f>IF(ISBLANK(input_cluster_az2_vmotion_pool_start_ip),"Value Missing",input_cluster_az2_vmotion_pool_start_ip)</f>
        <v>Value Missing</v>
      </c>
      <c r="J226" s="2"/>
      <c r="K226" s="218" t="s">
        <v>2060</v>
      </c>
      <c r="L226" s="218"/>
    </row>
    <row r="227" spans="2:12" ht="20" customHeight="1" x14ac:dyDescent="0.2">
      <c r="B227" s="28" t="s">
        <v>2082</v>
      </c>
      <c r="C227" s="8" t="str">
        <f>IF(ISBLANK(input_mgmt_az1_en1_eth0_uplink1),"Value Missing",input_mgmt_az1_en1_eth0_uplink1)</f>
        <v>Value Missing</v>
      </c>
      <c r="E227" s="4" t="s">
        <v>3918</v>
      </c>
      <c r="F227" s="8" t="str">
        <f>IF(ISBLANK(input_wld_supvr_mgmt_dns_zones),"Value Missing",input_wld_supvr_mgmt_dns_zones)</f>
        <v>Value Missing</v>
      </c>
      <c r="H227" s="30" t="s">
        <v>249</v>
      </c>
      <c r="I227" s="8" t="str">
        <f>IF(ISBLANK(input_cluster_az2_vmotion_pool_end_ip),"Value Missing",input_cluster_az2_vmotion_pool_end_ip)</f>
        <v>Value Missing</v>
      </c>
      <c r="J227" s="2"/>
      <c r="K227" s="223" t="s">
        <v>254</v>
      </c>
      <c r="L227" s="224" t="s">
        <v>20</v>
      </c>
    </row>
    <row r="228" spans="2:12" ht="20" customHeight="1" x14ac:dyDescent="0.2">
      <c r="B228" s="28" t="s">
        <v>2083</v>
      </c>
      <c r="C228" s="8" t="str">
        <f>IF(ISBLANK(input_mgmt_az1_en1_eth1_uplink0),"Value Missing",input_mgmt_az1_en1_eth1_uplink0)</f>
        <v>Value Missing</v>
      </c>
      <c r="E228" s="4" t="s">
        <v>3919</v>
      </c>
      <c r="F228" s="8" t="str">
        <f>IF(ISBLANK(input_wld_supvr_mgmt_ntp_server),"Value Missing",input_wld_supvr_mgmt_ntp_server)</f>
        <v>Value Missing</v>
      </c>
      <c r="H228" s="579" t="s">
        <v>2062</v>
      </c>
      <c r="I228" s="581"/>
      <c r="J228" s="2"/>
      <c r="K228" s="4" t="s">
        <v>541</v>
      </c>
    </row>
    <row r="229" spans="2:12" ht="20" customHeight="1" x14ac:dyDescent="0.2">
      <c r="B229" s="28" t="s">
        <v>2084</v>
      </c>
      <c r="C229" s="8" t="str">
        <f>IF(ISBLANK(input_mgmt_az1_en1_eth1_uplink1),"Value Missing",input_mgmt_az1_en1_eth1_uplink1)</f>
        <v>Value Missing</v>
      </c>
      <c r="E229" s="4" t="s">
        <v>801</v>
      </c>
      <c r="F229" s="8" t="str">
        <f>IF(ISBLANK(input_wld_supvr_nsx_project),"Value Missing",input_wld_supvr_nsx_project)</f>
        <v>Value Missing</v>
      </c>
      <c r="H229" s="30" t="s">
        <v>2064</v>
      </c>
      <c r="I229" s="8" t="str">
        <f>IF(ISBLANK(input_cluster_az2_principal_storage_vlan),"Value Missing",input_cluster_az2_principal_storage_vlan)</f>
        <v>Value Missing</v>
      </c>
      <c r="K229" s="4" t="s">
        <v>543</v>
      </c>
      <c r="L229" s="8"/>
    </row>
    <row r="230" spans="2:12" ht="20" customHeight="1" x14ac:dyDescent="0.2">
      <c r="B230" s="28" t="s">
        <v>2086</v>
      </c>
      <c r="C230" s="8" t="str">
        <f>IF(ISBLANK(input_mgmt_az1_en2_eth0_uplink0),"Value Missing",input_mgmt_az1_en2_eth0_uplink0)</f>
        <v>Value Missing</v>
      </c>
      <c r="E230" s="4" t="s">
        <v>802</v>
      </c>
      <c r="F230" s="8" t="str">
        <f>IF(ISBLANK(input_wld_supvr_vpc_connectivity_profile),"Value Missing",input_wld_supvr_vpc_connectivity_profile)</f>
        <v>Value Missing</v>
      </c>
      <c r="H230" s="30" t="s">
        <v>157</v>
      </c>
      <c r="I230" s="8" t="str">
        <f>IF(ISBLANK(input_cluster_az2_principal_storage_mtu),"Value Missing",input_cluster_az2_principal_storage_mtu)</f>
        <v>Value Missing</v>
      </c>
      <c r="K230" s="4" t="s">
        <v>637</v>
      </c>
    </row>
    <row r="231" spans="2:12" ht="20" customHeight="1" x14ac:dyDescent="0.2">
      <c r="B231" s="28" t="s">
        <v>2087</v>
      </c>
      <c r="C231" s="8" t="str">
        <f>IF(ISBLANK(input_mgmt_az1_en2_eth0_uplink1),"Value Missing",input_mgmt_az1_en2_eth0_uplink1)</f>
        <v>Value Missing</v>
      </c>
      <c r="E231" s="4" t="s">
        <v>3921</v>
      </c>
      <c r="F231" s="8" t="str">
        <f>IF(ISBLANK(input_wld_supvr_vpc_ext_ip_blocks_name),"Value Missing",input_wld_supvr_vpc_ext_ip_blocks_name)</f>
        <v>Value Missing</v>
      </c>
      <c r="H231" s="30" t="s">
        <v>2067</v>
      </c>
      <c r="I231" s="8" t="str">
        <f>IF(ISBLANK(input_cluster_az2_principal_storage_network),"Value Missing",input_cluster_az2_principal_storage_network)</f>
        <v>Value Missing</v>
      </c>
      <c r="K231" s="4" t="s">
        <v>544</v>
      </c>
    </row>
    <row r="232" spans="2:12" ht="20" customHeight="1" x14ac:dyDescent="0.2">
      <c r="B232" s="28" t="s">
        <v>2088</v>
      </c>
      <c r="C232" s="8" t="str">
        <f>IF(ISBLANK(input_mgmt_az1_en2_eth1_uplink0),"Value Missing",input_mgmt_az1_en2_eth1_uplink0)</f>
        <v>Value Missing</v>
      </c>
      <c r="E232" s="4" t="s">
        <v>3922</v>
      </c>
      <c r="F232" s="8" t="str">
        <f>IF(ISBLANK(input_wld_supvr_vpc_priv_ip_blocks_name),"Value Missing",input_wld_supvr_vpc_priv_ip_blocks_name)</f>
        <v>Value Missing</v>
      </c>
      <c r="H232" s="30" t="s">
        <v>246</v>
      </c>
      <c r="I232" s="8" t="str">
        <f>IF(ISBLANK(input_cluster_az2_principal_storage_mask),"Value Missing",input_cluster_az2_principal_storage_mask)</f>
        <v>Value Missing</v>
      </c>
      <c r="K232" s="4" t="s">
        <v>2069</v>
      </c>
    </row>
    <row r="233" spans="2:12" ht="20" customHeight="1" x14ac:dyDescent="0.2">
      <c r="B233" s="28" t="s">
        <v>2089</v>
      </c>
      <c r="C233" s="8" t="str">
        <f>IF(ISBLANK(input_mgmt_az1_en2_eth1_uplink1),"Value Missing",input_mgmt_az1_en2_eth1_uplink1)</f>
        <v>Value Missing</v>
      </c>
      <c r="E233" s="4" t="s">
        <v>3923</v>
      </c>
      <c r="F233" s="8" t="str">
        <f>IF(ISBLANK(input_wld_supvr_vpc_priv_cidr),"Value Missing",input_wld_supvr_vpc_priv_cidr)</f>
        <v>Value Missing</v>
      </c>
      <c r="H233" s="30" t="s">
        <v>183</v>
      </c>
      <c r="I233" s="8" t="str">
        <f>IF(OR(cluster_az2_principal_storage_network="Value Missing",cluster_az2_principal_storage_mask="Value Missing"),"Value Missing",(CONCATENATE(cluster_az2_principal_storage_network,"/",VLOOKUP(cluster_az2_principal_storage_mask,table_mask_to_cidr,2,FALSE))))</f>
        <v>Value Missing</v>
      </c>
      <c r="J233" s="2"/>
      <c r="K233" s="4" t="s">
        <v>2071</v>
      </c>
    </row>
    <row r="234" spans="2:12" ht="20" customHeight="1" x14ac:dyDescent="0.2">
      <c r="B234" s="28"/>
      <c r="E234" s="4" t="s">
        <v>797</v>
      </c>
      <c r="F234" s="8" t="str">
        <f>IF(ISBLANK(input_wld_supvr_vpc_service_cidr),"Value Missing",input_wld_supvr_vpc_service_cidr)</f>
        <v>Value Missing</v>
      </c>
      <c r="H234" s="30" t="s">
        <v>247</v>
      </c>
      <c r="I234" s="8" t="str">
        <f>IF(ISBLANK(input_cluster_az2_principal_storage_gateway_ip),"Value Missing",input_cluster_az2_principal_storage_gateway_ip)</f>
        <v>Value Missing</v>
      </c>
      <c r="K234" s="4" t="s">
        <v>545</v>
      </c>
      <c r="L234" s="8"/>
    </row>
    <row r="235" spans="2:12" ht="20" customHeight="1" x14ac:dyDescent="0.2">
      <c r="B235" s="28" t="s">
        <v>2092</v>
      </c>
      <c r="C235" s="8" t="str">
        <f>IF(ISBLANK(input_wld_az1_en1_eth0_uplink0),"Value Missing",input_wld_az1_en1_eth0_uplink0)</f>
        <v>Value Missing</v>
      </c>
      <c r="E235" s="4" t="s">
        <v>3924</v>
      </c>
      <c r="F235" s="8" t="str">
        <f>IF(ISBLANK(input_wld_supvr_wld_dns_server),"Value Missing",input_wld_supvr_wld_dns_server)</f>
        <v>Value Missing</v>
      </c>
      <c r="H235" s="30" t="s">
        <v>248</v>
      </c>
      <c r="I235" s="8" t="str">
        <f>IF(ISBLANK(input_cluster_az2_principal_storage_pool_start_ip),"Value Missing",input_cluster_az2_principal_storage_pool_start_ip)</f>
        <v>Value Missing</v>
      </c>
      <c r="K235" s="4" t="s">
        <v>546</v>
      </c>
      <c r="L235" s="8"/>
    </row>
    <row r="236" spans="2:12" ht="20" customHeight="1" x14ac:dyDescent="0.2">
      <c r="B236" s="28" t="s">
        <v>2094</v>
      </c>
      <c r="C236" s="8" t="str">
        <f>IF(ISBLANK(input_wld_az1_en1_eth0_uplink1),"Value Missing",input_wld_az1_en1_eth0_uplink1)</f>
        <v>Value Missing</v>
      </c>
      <c r="E236" s="4" t="s">
        <v>3925</v>
      </c>
      <c r="F236" s="8" t="str">
        <f>IF(ISBLANK(input_wld_supvr_wld_ntp_server),"Value Missing",input_wld_supvr_wld_ntp_server)</f>
        <v>Value Missing</v>
      </c>
      <c r="H236" s="30" t="s">
        <v>249</v>
      </c>
      <c r="I236" s="8" t="str">
        <f>IF(ISBLANK(input_cluster_az2_principal_storage_pool_end_ip),"Value Missing",input_cluster_az2_principal_storage_pool_end_ip)</f>
        <v>Value Missing</v>
      </c>
      <c r="K236" s="4" t="s">
        <v>547</v>
      </c>
      <c r="L236" s="8"/>
    </row>
    <row r="237" spans="2:12" ht="20" customHeight="1" x14ac:dyDescent="0.2">
      <c r="B237" s="28" t="s">
        <v>2096</v>
      </c>
      <c r="C237" s="8" t="str">
        <f>IF(ISBLANK(input_wld_az1_en1_eth1_uplink0),"Value Missing",input_wld_az1_en1_eth1_uplink0)</f>
        <v>Value Missing</v>
      </c>
      <c r="E237" s="4" t="s">
        <v>3929</v>
      </c>
      <c r="F237" s="8" t="str">
        <f>IF(ISBLANK(input_wld_supvr_api_server_fqdn),"Value Missing",input_wld_supvr_api_server_fqdn)</f>
        <v>Value Missing</v>
      </c>
      <c r="H237" s="579" t="s">
        <v>2076</v>
      </c>
      <c r="I237" s="581"/>
      <c r="K237" s="4" t="s">
        <v>548</v>
      </c>
      <c r="L237" s="8"/>
    </row>
    <row r="238" spans="2:12" ht="20" customHeight="1" x14ac:dyDescent="0.2">
      <c r="B238" s="28" t="s">
        <v>2098</v>
      </c>
      <c r="C238" s="8" t="str">
        <f>IF(ISBLANK(input_wld_az1_en1_eth1_uplink1),"Value Missing",input_wld_az1_en1_eth1_uplink1)</f>
        <v>Value Missing</v>
      </c>
      <c r="H238" s="30" t="s">
        <v>2078</v>
      </c>
      <c r="I238" s="8" t="str">
        <f>IF(ISBLANK(input_cluster_az2_secondary_storage_vlan),"Value Missing",input_cluster_az2_secondary_storage_vlan)</f>
        <v>Value Missing</v>
      </c>
      <c r="K238" s="4" t="s">
        <v>549</v>
      </c>
      <c r="L238" s="8"/>
    </row>
    <row r="239" spans="2:12" ht="20" customHeight="1" x14ac:dyDescent="0.2">
      <c r="B239" s="28" t="s">
        <v>2099</v>
      </c>
      <c r="C239" s="8" t="str">
        <f>IF(ISBLANK(input_wld_az1_en2_eth0_uplink0),"Value Missing",input_wld_az1_en2_eth0_uplink0)</f>
        <v>Value Missing</v>
      </c>
      <c r="H239" s="30" t="s">
        <v>157</v>
      </c>
      <c r="I239" s="8" t="str">
        <f>IF(ISBLANK(input_cluster_az2_secondary_storage_mtu),"Value Missing",input_cluster_az2_secondary_storage_mtu)</f>
        <v>Value Missing</v>
      </c>
      <c r="K239" s="4" t="s">
        <v>550</v>
      </c>
      <c r="L239" s="8"/>
    </row>
    <row r="240" spans="2:12" ht="20" customHeight="1" x14ac:dyDescent="0.2">
      <c r="B240" s="28" t="s">
        <v>2100</v>
      </c>
      <c r="C240" s="8" t="str">
        <f>IF(ISBLANK(input_wld_az1_en2_eth0_uplink1),"Value Missing",input_wld_az1_en2_eth0_uplink1)</f>
        <v>Value Missing</v>
      </c>
      <c r="H240" s="30" t="s">
        <v>2080</v>
      </c>
      <c r="I240" s="8" t="str">
        <f>IF(ISBLANK(input_cluster_az2_secondary_storage_network),"Value Missing",input_cluster_az2_secondary_storage_network)</f>
        <v>Value Missing</v>
      </c>
      <c r="K240" s="4" t="s">
        <v>551</v>
      </c>
      <c r="L240" s="8"/>
    </row>
    <row r="241" spans="2:12" ht="20" customHeight="1" x14ac:dyDescent="0.2">
      <c r="B241" s="28" t="s">
        <v>2101</v>
      </c>
      <c r="C241" s="8" t="str">
        <f>IF(ISBLANK(input_wld_az1_en2_eth1_uplink0),"Value Missing",input_wld_az1_en2_eth1_uplink0)</f>
        <v>Value Missing</v>
      </c>
      <c r="E241" s="218" t="s">
        <v>3973</v>
      </c>
      <c r="F241" s="218"/>
      <c r="H241" s="30" t="s">
        <v>246</v>
      </c>
      <c r="I241" s="8" t="str">
        <f>IF(ISBLANK(input_cluster_az2_secondary_storage_mask),"Value Missing",input_cluster_az2_secondary_storage_mask)</f>
        <v>Value Missing</v>
      </c>
      <c r="K241" s="4" t="s">
        <v>647</v>
      </c>
      <c r="L241" s="8" t="str">
        <f>IF(ISBLANK(input_flt_net_nodea_fqdn),"Value Missing",input_flt_net_nodea_fqdn)</f>
        <v>Value Missing</v>
      </c>
    </row>
    <row r="242" spans="2:12" ht="20" customHeight="1" x14ac:dyDescent="0.2">
      <c r="B242" s="28" t="s">
        <v>2102</v>
      </c>
      <c r="C242" s="8" t="str">
        <f>IF(ISBLANK(input_wld_az1_en2_eth1_uplink1),"Value Missing",input_wld_az1_en2_eth1_uplink1)</f>
        <v>Value Missing</v>
      </c>
      <c r="E242" s="4" t="s">
        <v>3818</v>
      </c>
      <c r="F242" s="8" t="str">
        <f>IF(ISBLANK(input_flt_def_sddc_mgr_fqdn),"Value Missing",input_flt_def_sddc_mgr_fqdn)</f>
        <v>Value Missing</v>
      </c>
      <c r="H242" s="30" t="s">
        <v>247</v>
      </c>
      <c r="I242" s="8" t="str">
        <f>IF(ISBLANK(input_cluster_az2_secondary_storage_gateway_ip),"Value Missing",input_cluster_az2_secondary_storage_gateway_ip)</f>
        <v>Value Missing</v>
      </c>
      <c r="K242" s="4" t="s">
        <v>648</v>
      </c>
      <c r="L242" s="8"/>
    </row>
    <row r="243" spans="2:12" ht="20" customHeight="1" x14ac:dyDescent="0.2">
      <c r="E243" s="4" t="s">
        <v>3819</v>
      </c>
      <c r="F243" s="8" t="str">
        <f>IF(ISBLANK(input_flt_def_administrator_vsphere_local_username),"Value Missing",input_flt_def_administrator_vsphere_local_username)</f>
        <v>Value Missing</v>
      </c>
      <c r="H243" s="30" t="s">
        <v>248</v>
      </c>
      <c r="I243" s="8" t="str">
        <f>IF(ISBLANK(input_cluster_az2_secondary_storage_pool_start_ip),"Value Missing",input_cluster_az2_secondary_storage_pool_start_ip)</f>
        <v>Value Missing</v>
      </c>
      <c r="K243" s="4" t="s">
        <v>649</v>
      </c>
      <c r="L243" s="8"/>
    </row>
    <row r="244" spans="2:12" ht="20" customHeight="1" x14ac:dyDescent="0.2">
      <c r="B244" s="218" t="s">
        <v>3934</v>
      </c>
      <c r="C244" s="218"/>
      <c r="E244" s="4" t="s">
        <v>3820</v>
      </c>
      <c r="F244" s="8" t="str">
        <f>IF(ISBLANK(input_flt_def_administrator_vsphere_local_password),"Value Missing",input_flt_def_administrator_vsphere_local_password)</f>
        <v>Value Missing</v>
      </c>
      <c r="H244" s="30" t="s">
        <v>249</v>
      </c>
      <c r="I244" s="8" t="str">
        <f>IF(ISBLANK(input_cluster_az2_secondary_storage_pool_end_ip),"Value Missing",input_cluster_az2_secondary_storage_pool_end_ip)</f>
        <v>Value Missing</v>
      </c>
      <c r="K244" s="4" t="s">
        <v>2085</v>
      </c>
      <c r="L244" s="8" t="str">
        <f>IF(ISBLANK(input_flt_net_prxy_fqdn),"Value Missing",input_flt_net_prxy_fqdn)</f>
        <v>Value Missing</v>
      </c>
    </row>
    <row r="245" spans="2:12" ht="20" customHeight="1" x14ac:dyDescent="0.2">
      <c r="B245" s="4" t="s">
        <v>3900</v>
      </c>
      <c r="C245" s="8" t="str">
        <f>IF(ISBLANK(input_mgmt_vpc_ext_ip_blocks_name),"Value Missing",input_mgmt_vpc_ext_ip_blocks_name)</f>
        <v>Value Missing</v>
      </c>
      <c r="E245" s="4" t="s">
        <v>3823</v>
      </c>
      <c r="F245" s="8" t="str">
        <f>IF(ISBLANK(input_flt_def_vcf_operations_az1_vcf_mgmt_pg),"Value Missing",input_flt_def_vcf_operations_az1_vcf_mgmt_pg)</f>
        <v>Value Missing</v>
      </c>
      <c r="H245" s="579" t="s">
        <v>706</v>
      </c>
      <c r="I245" s="581"/>
      <c r="K245" s="4" t="s">
        <v>650</v>
      </c>
      <c r="L245" s="8" t="str">
        <f>IF(ISBLANK(input_flt_net_nodea_ip),"Value Missing",input_flt_net_nodea_ip)</f>
        <v>Value Missing</v>
      </c>
    </row>
    <row r="246" spans="2:12" ht="20" customHeight="1" x14ac:dyDescent="0.2">
      <c r="B246" s="4" t="s">
        <v>3857</v>
      </c>
      <c r="C246" s="8" t="str">
        <f>IF(ISBLANK(input_mgmt_vpc_ext_ip_blocks_visability),"Value Missing",input_mgmt_vpc_ext_ip_blocks_visability)</f>
        <v>Value Missing</v>
      </c>
      <c r="E246" s="4" t="s">
        <v>3824</v>
      </c>
      <c r="F246" s="8" t="str">
        <f>IF(ISBLANK(input_flt_def_vcf_operations_az1_vcf_mgmt_gateway_cidr),"Value Missing",input_flt_def_vcf_operations_az1_vcf_mgmt_gateway_cidr)</f>
        <v>Value Missing</v>
      </c>
      <c r="H246" s="4" t="s">
        <v>85</v>
      </c>
      <c r="I246" s="8" t="str">
        <f>IF(ISBLANK(input_cluster_az2_storage_cluster_vlan),"Value Missing",input_cluster_az2_storage_cluster_vlan)</f>
        <v>Value Missing</v>
      </c>
      <c r="K246" s="4" t="s">
        <v>651</v>
      </c>
      <c r="L246" s="8"/>
    </row>
    <row r="247" spans="2:12" ht="20" customHeight="1" x14ac:dyDescent="0.2">
      <c r="B247" s="4" t="s">
        <v>172</v>
      </c>
      <c r="C247" s="8" t="str">
        <f>IF(ISBLANK(input_mgmt_vpc_ext_ip_blocks_cidr),"Value Missing",input_mgmt_vpc_ext_ip_blocks_cidr)</f>
        <v>Value Missing</v>
      </c>
      <c r="E247" s="4" t="s">
        <v>3722</v>
      </c>
      <c r="F247" s="8" t="str">
        <f>IF(ISBLANK(input_flt_def_auto_node_pool_start_ip),"Value Missing",input_flt_def_auto_node_pool_start_ip)</f>
        <v>Value Missing</v>
      </c>
      <c r="H247" s="4" t="s">
        <v>157</v>
      </c>
      <c r="I247" s="8" t="str">
        <f>IF(ISBLANK(input_cluster_az2_storage_cluster_mtu),"Value Missing",input_cluster_az2_storage_cluster_mtu)</f>
        <v>Value Missing</v>
      </c>
      <c r="K247" s="4" t="s">
        <v>652</v>
      </c>
      <c r="L247" s="8"/>
    </row>
    <row r="248" spans="2:12" ht="20" customHeight="1" x14ac:dyDescent="0.2">
      <c r="B248" s="4" t="s">
        <v>3859</v>
      </c>
      <c r="C248" s="8" t="str">
        <f>IF(ISBLANK(input_mgmt_vpc_ext_ip_blocks_excluded_ips),"Value Missing",input_mgmt_vpc_ext_ip_blocks_excluded_ips)</f>
        <v>Value Missing</v>
      </c>
      <c r="E248" s="4" t="s">
        <v>3723</v>
      </c>
      <c r="F248" s="8" t="str">
        <f>IF(ISBLANK(input_flt_def_auto_node_pool_end_ip),"Value Missing",input_flt_def_auto_node_pool_end_ip)</f>
        <v>Value Missing</v>
      </c>
      <c r="H248" s="4" t="s">
        <v>245</v>
      </c>
      <c r="I248" s="8" t="str">
        <f>IF(ISBLANK(input_cluster_az2_storage_cluster_network),"Value Missing",input_cluster_az2_storage_cluster_network)</f>
        <v>Value Missing</v>
      </c>
      <c r="K248" s="4" t="s">
        <v>2090</v>
      </c>
      <c r="L248" s="8" t="str">
        <f>IF(ISBLANK(input_flt_net_prxy_ip),"Value Missing",input_flt_net_prxy_ip)</f>
        <v>Value Missing</v>
      </c>
    </row>
    <row r="249" spans="2:12" ht="20" customHeight="1" x14ac:dyDescent="0.2">
      <c r="B249" s="4" t="s">
        <v>3860</v>
      </c>
      <c r="C249" s="8" t="str">
        <f>IF(ISBLANK(input_mgmt_vpc_ext_ip_blocks_reserved),"Value Missing",input_mgmt_vpc_ext_ip_blocks_reserved)</f>
        <v>Value Missing</v>
      </c>
      <c r="E249" s="4" t="s">
        <v>3761</v>
      </c>
      <c r="F249" s="8" t="str">
        <f>IF(ISBLANK(input_flt_def_vcf_operations_nodea_fqdn),"Value Missing",input_flt_def_vcf_operations_nodea_fqdn)</f>
        <v>Value Missing</v>
      </c>
      <c r="H249" s="4" t="s">
        <v>278</v>
      </c>
      <c r="I249" s="8" t="str">
        <f>IF(ISBLANK(input_cluster_az2_storage_cluster_mask),"Value Missing",input_cluster_az2_storage_cluster_mask)</f>
        <v>Value Missing</v>
      </c>
      <c r="K249" s="4" t="s">
        <v>2091</v>
      </c>
      <c r="L249" s="8" t="str">
        <f>IF(flt_net_nodea_fqdn="Value Missing",flt_net_nodea_fqdn,LEFT(flt_net_nodea_fqdn,FIND(".",flt_net_nodea_fqdn)-1))</f>
        <v>Value Missing</v>
      </c>
    </row>
    <row r="250" spans="2:12" ht="20" customHeight="1" x14ac:dyDescent="0.2">
      <c r="B250" s="4" t="s">
        <v>3901</v>
      </c>
      <c r="C250" s="8" t="str">
        <f>IF(ISBLANK(input_mgmt_vpc_priv_ip_blocks_name),"Value Missing",input_mgmt_vpc_priv_ip_blocks_name)</f>
        <v>Value Missing</v>
      </c>
      <c r="E250" s="4" t="s">
        <v>3766</v>
      </c>
      <c r="F250" s="8" t="str">
        <f>IF(ISBLANK(input_flt_def_vcf_operations_nodeb_fqdn),"Value Missing",input_flt_def_vcf_operations_nodeb_fqdn)</f>
        <v>Value Missing</v>
      </c>
      <c r="H250" s="4" t="s">
        <v>451</v>
      </c>
      <c r="I250" s="8" t="str">
        <f>IF(OR(cluster_az2_storage_cluster_network="Value Missing",cluster_az2_storage_cluster_mask="Value Missing"),"Value Missing",(CONCATENATE(cluster_az2_storage_cluster_network,"/",VLOOKUP(cluster_az2_storage_cluster_mask,table_mask_to_cidr,2,FALSE))))</f>
        <v>Value Missing</v>
      </c>
      <c r="K250" s="4" t="s">
        <v>2093</v>
      </c>
      <c r="L250" s="8"/>
    </row>
    <row r="251" spans="2:12" ht="20" customHeight="1" x14ac:dyDescent="0.2">
      <c r="B251" s="4" t="s">
        <v>3857</v>
      </c>
      <c r="C251" s="8" t="str">
        <f>IF(ISBLANK(input_mgmt_vpc_priv_ip_blocks_visability),"Value Missing",input_mgmt_vpc_priv_ip_blocks_visability)</f>
        <v>Value Missing</v>
      </c>
      <c r="E251" s="4" t="s">
        <v>3767</v>
      </c>
      <c r="F251" s="8" t="str">
        <f>IF(ISBLANK(input_flt_def_vcf_operations_nodec_fqdn),"Value Missing",input_flt_def_vcf_operations_nodec_fqdn)</f>
        <v>Value Missing</v>
      </c>
      <c r="H251" s="4" t="s">
        <v>182</v>
      </c>
      <c r="I251" s="8" t="str">
        <f>IF(ISBLANK(input_cluster_az2_storage_cluster_gateway_ip),"Value Missing",input_cluster_az2_storage_cluster_gateway_ip)</f>
        <v>Value Missing</v>
      </c>
      <c r="K251" s="4" t="s">
        <v>2095</v>
      </c>
      <c r="L251" s="8"/>
    </row>
    <row r="252" spans="2:12" ht="20" customHeight="1" x14ac:dyDescent="0.2">
      <c r="B252" s="4" t="s">
        <v>174</v>
      </c>
      <c r="C252" s="8" t="str">
        <f>IF(ISBLANK(input_mgmt_vpc_transit_gateway_ip_blocks_cidr),"Value Missing",input_mgmt_vpc_transit_gateway_ip_blocks_cidr)</f>
        <v>Value Missing</v>
      </c>
      <c r="E252" s="4" t="s">
        <v>3416</v>
      </c>
      <c r="F252" s="8" t="str">
        <f>IF(ISBLANK(input_flt_def_vcf_operations_virtual_fqdn),"Value Missing",input_flt_def_vcf_operations_virtual_fqdn)</f>
        <v>Value Missing</v>
      </c>
      <c r="H252" s="23" t="s">
        <v>248</v>
      </c>
      <c r="I252" s="8" t="str">
        <f>IF(ISBLANK(input_cluster_az2_storage_cluster_pool_start_ip),"Value Missing",input_cluster_az2_storage_cluster_pool_start_ip)</f>
        <v>Value Missing</v>
      </c>
      <c r="K252" s="4" t="s">
        <v>2097</v>
      </c>
      <c r="L252" s="8" t="str">
        <f>IF(flt_net_prxy_fqdn="Value Missing",flt_net_prxy_fqdn,LEFT(flt_net_prxy_fqdn,FIND(".",flt_net_prxy_fqdn)-1))</f>
        <v>Value Missing</v>
      </c>
    </row>
    <row r="253" spans="2:12" ht="20" customHeight="1" x14ac:dyDescent="0.2">
      <c r="B253" s="4" t="s">
        <v>3859</v>
      </c>
      <c r="C253" s="8" t="str">
        <f>IF(ISBLANK(input_mgmt_vpc_priv_ip_blocks_excluded_ips),"Value Missing",input_mgmt_vpc_priv_ip_blocks_excluded_ips)</f>
        <v>Value Missing</v>
      </c>
      <c r="E253" s="4" t="s">
        <v>3974</v>
      </c>
      <c r="F253" s="8" t="str">
        <f>IF(ISBLANK(input_flt_def_vcf_operations_proxy_fqdn),"Value Missing",input_flt_def_vcf_operations_proxy_fqdn)</f>
        <v>Value Missing</v>
      </c>
      <c r="H253" s="23" t="s">
        <v>249</v>
      </c>
      <c r="I253" s="8" t="str">
        <f>IF(ISBLANK(input_cluster_az2_storage_cluster_pool_end_ip),"Value Missing",input_cluster_az2_storage_cluster_pool_end_ip)</f>
        <v>Value Missing</v>
      </c>
      <c r="K253" s="4" t="s">
        <v>556</v>
      </c>
    </row>
    <row r="254" spans="2:12" ht="20" customHeight="1" x14ac:dyDescent="0.2">
      <c r="B254" s="4" t="s">
        <v>3860</v>
      </c>
      <c r="C254" s="8" t="str">
        <f>IF(ISBLANK(input_mgmt_vpc_priv_ip_blocks_reserved),"Value Missing",input_mgmt_vpc_priv_ip_blocks_reserved)</f>
        <v>Value Missing</v>
      </c>
      <c r="E254" s="4" t="s">
        <v>3975</v>
      </c>
      <c r="F254" s="8" t="str">
        <f>IF(ISBLANK(input_flt_def_vcf_operations_lc_fqdn),"Value Missing",input_flt_def_vcf_operations_lc_fqdn)</f>
        <v>Value Missing</v>
      </c>
      <c r="H254" s="30" t="s">
        <v>257</v>
      </c>
      <c r="I254" s="8"/>
      <c r="K254" s="4" t="s">
        <v>557</v>
      </c>
      <c r="L254" s="8"/>
    </row>
    <row r="255" spans="2:12" ht="20" customHeight="1" x14ac:dyDescent="0.2">
      <c r="B255" s="4" t="s">
        <v>204</v>
      </c>
      <c r="C255" s="8" t="str">
        <f>IF(ISBLANK(input_mgmt_vpc_vna_cluster_name),"Value Missing",input_mgmt_vpc_vna_cluster_name)</f>
        <v>Value Missing</v>
      </c>
      <c r="E255" s="4" t="s">
        <v>3976</v>
      </c>
      <c r="F255" s="8" t="str">
        <f>IF(ISBLANK(input_flt_def_vra_virtual_fqdn),"Value Missing",input_flt_def_vra_virtual_fqdn)</f>
        <v>Value Missing</v>
      </c>
      <c r="H255" s="30" t="s">
        <v>259</v>
      </c>
      <c r="I255" s="8"/>
      <c r="K255" s="4" t="s">
        <v>558</v>
      </c>
      <c r="L255" s="8"/>
    </row>
    <row r="256" spans="2:12" ht="20" customHeight="1" x14ac:dyDescent="0.2">
      <c r="B256" s="4" t="s">
        <v>3890</v>
      </c>
      <c r="C256" s="8" t="str">
        <f>IF(ISBLANK(input_mgmt_vnaa_fqdn),"Value Missing",input_mgmt_vnaa_fqdn)</f>
        <v>Value Missing</v>
      </c>
      <c r="E256" s="4" t="s">
        <v>3977</v>
      </c>
      <c r="F256" s="8" t="str">
        <f>IF(ISBLANK(input_flt_def_auto_sr_fqdn),"Value Missing",input_flt_def_auto_sr_fqdn)</f>
        <v>Value Missing</v>
      </c>
      <c r="H256" s="30" t="s">
        <v>261</v>
      </c>
      <c r="I256" s="8"/>
      <c r="K256" s="4" t="s">
        <v>560</v>
      </c>
      <c r="L256" s="8"/>
    </row>
    <row r="257" spans="2:12" ht="20" customHeight="1" x14ac:dyDescent="0.2">
      <c r="B257" s="4" t="s">
        <v>3890</v>
      </c>
      <c r="C257" s="8" t="str">
        <f>IF(ISBLANK(input_mgmt_vnab_fqdn),"Value Missing",input_mgmt_vnab_fqdn)</f>
        <v>Value Missing</v>
      </c>
      <c r="E257" s="4" t="s">
        <v>3950</v>
      </c>
      <c r="F257" s="8" t="str">
        <f>IF(ISBLANK(input_flt_def_vcf_operations_nodea_ip),"Value Missing",input_flt_def_vcf_operations_nodea_ip)</f>
        <v>Value Missing</v>
      </c>
      <c r="H257" s="30" t="s">
        <v>2103</v>
      </c>
      <c r="I257" s="8" t="str">
        <f>IF(ISBLANK(input_cluster_witnessaz_mgmt_vlan),"Value Missing",input_cluster_witnessaz_mgmt_vlan)</f>
        <v>Value Missing</v>
      </c>
      <c r="K257" s="4" t="s">
        <v>102</v>
      </c>
      <c r="L257" s="8"/>
    </row>
    <row r="258" spans="2:12" ht="20" customHeight="1" x14ac:dyDescent="0.2">
      <c r="B258" s="4" t="s">
        <v>3893</v>
      </c>
      <c r="C258" s="8" t="str">
        <f>IF(ISBLANK(input_mgmt_vnaa_cidr),"Value Missing",input_mgmt_vnaa_cidr)</f>
        <v>Value Missing</v>
      </c>
      <c r="E258" s="4" t="s">
        <v>3951</v>
      </c>
      <c r="F258" s="8" t="str">
        <f>IF(ISBLANK(input_flt_def_vcf_operations_nodeb_ip),"Value Missing",input_flt_def_vcf_operations_nodeb_ip)</f>
        <v>Value Missing</v>
      </c>
      <c r="H258" s="30" t="s">
        <v>2104</v>
      </c>
      <c r="I258" s="8" t="str">
        <f>IF(ISBLANK(input_cluster_witnessaz_mgmt_gateway_ip),"Value Missing",input_cluster_witnessaz_mgmt_gateway_ip)</f>
        <v>Value Missing</v>
      </c>
      <c r="K258" s="4" t="s">
        <v>713</v>
      </c>
      <c r="L258" s="8"/>
    </row>
    <row r="259" spans="2:12" ht="20" customHeight="1" x14ac:dyDescent="0.2">
      <c r="B259" s="4" t="s">
        <v>3893</v>
      </c>
      <c r="C259" s="8" t="str">
        <f>IF(ISBLANK(input_mgmt_vnab_cidr),"Value Missing",input_mgmt_vnab_cidr)</f>
        <v>Value Missing</v>
      </c>
      <c r="E259" s="4" t="s">
        <v>3952</v>
      </c>
      <c r="F259" s="8" t="str">
        <f>IF(ISBLANK(input_flt_def_vcf_operations_nodec_ip),"Value Missing",input_flt_def_vcf_operations_nodec_ip)</f>
        <v>Value Missing</v>
      </c>
      <c r="H259" s="30" t="s">
        <v>2105</v>
      </c>
      <c r="I259" s="8" t="str">
        <f>IF(ISBLANK(input_cluster_witnessaz_mgmt_cidr),"Value Missing",input_cluster_witnessaz_mgmt_cidr)</f>
        <v>Value Missing</v>
      </c>
      <c r="K259" s="4" t="s">
        <v>561</v>
      </c>
      <c r="L259" s="8"/>
    </row>
    <row r="260" spans="2:12" ht="20" customHeight="1" x14ac:dyDescent="0.2">
      <c r="B260" s="4" t="s">
        <v>844</v>
      </c>
      <c r="C260" s="8" t="str">
        <f>IF(ISBLANK(input_mgmt_vna_rp_name),"Value Missing",input_mgmt_vna_rp_name)</f>
        <v>Value Missing</v>
      </c>
      <c r="E260" s="4" t="s">
        <v>3953</v>
      </c>
      <c r="F260" s="8" t="str">
        <f>IF(ISBLANK(input_flt_def_vcf_operations_virtual_ip),"Value Missing",input_flt_def_vcf_operations_virtual_ip)</f>
        <v>Value Missing</v>
      </c>
      <c r="H260" s="30" t="s">
        <v>2106</v>
      </c>
      <c r="I260" s="8" t="str">
        <f>IF(ISBLANK(input_cluster_witnessaz_mgmt_mtu),"Value Missing",input_cluster_witnessaz_mgmt_mtu)</f>
        <v>Value Missing</v>
      </c>
      <c r="K260" s="4" t="s">
        <v>2058</v>
      </c>
      <c r="L260" s="8"/>
    </row>
    <row r="261" spans="2:12" ht="20" customHeight="1" x14ac:dyDescent="0.2">
      <c r="E261" s="4" t="s">
        <v>3947</v>
      </c>
      <c r="F261" s="8" t="str">
        <f>IF(ISBLANK(input_flt_def_vcf_operations_proxy_ip),"Value Missing",input_flt_def_vcf_operations_proxy_ip)</f>
        <v>Value Missing</v>
      </c>
      <c r="H261" s="30" t="s">
        <v>266</v>
      </c>
      <c r="I261" s="8" t="str">
        <f>IF(ISBLANK(input_cluster_witness_zone_vc_fqdn),"Value Missing",input_cluster_witness_zone_vc_fqdn)</f>
        <v>Value Missing</v>
      </c>
      <c r="K261" s="4" t="s">
        <v>2034</v>
      </c>
      <c r="L261" s="8"/>
    </row>
    <row r="262" spans="2:12" ht="20" customHeight="1" x14ac:dyDescent="0.2">
      <c r="B262" s="218" t="s">
        <v>3930</v>
      </c>
      <c r="C262" s="218"/>
      <c r="E262" s="4" t="s">
        <v>3948</v>
      </c>
      <c r="F262" s="8" t="str">
        <f>IF(ISBLANK(input_flt_def_vcf_operations_lc_ip),"Value Missing",input_flt_def_vcf_operations_lc_ip)</f>
        <v>Value Missing</v>
      </c>
      <c r="H262" s="30" t="s">
        <v>269</v>
      </c>
      <c r="I262" s="8" t="str">
        <f t="array" ref="I262">IF(ISBLANK(input_cluster_witness_hostname),"Value Missing",input_cluster_witness_hostname)</f>
        <v>Value Missing</v>
      </c>
      <c r="K262" s="4" t="s">
        <v>2035</v>
      </c>
      <c r="L262" s="8"/>
    </row>
    <row r="263" spans="2:12" ht="20" customHeight="1" x14ac:dyDescent="0.2">
      <c r="B263" s="4" t="s">
        <v>3908</v>
      </c>
      <c r="C263" s="8" t="str">
        <f>IF(ISBLANK(input_mgmt_supvr_name),"Value Missing",input_mgmt_supvr_name)</f>
        <v>Value Missing</v>
      </c>
      <c r="E263" s="4" t="s">
        <v>3949</v>
      </c>
      <c r="F263" s="8" t="str">
        <f>IF(ISBLANK(input_flt_def_vra_virtual_ip),"Value Missing",input_flt_def_vra_virtual_ip)</f>
        <v>Value Missing</v>
      </c>
      <c r="H263" s="30" t="s">
        <v>270</v>
      </c>
      <c r="I263" s="8" t="str">
        <f>IF(ISBLANK(input_cluster_witness_cluster),"Value Missing",input_cluster_witness_cluster)</f>
        <v>Value Missing</v>
      </c>
      <c r="K263" s="4" t="s">
        <v>563</v>
      </c>
    </row>
    <row r="264" spans="2:12" ht="20" customHeight="1" x14ac:dyDescent="0.2">
      <c r="B264" s="4" t="s">
        <v>3911</v>
      </c>
      <c r="C264" s="8" t="str">
        <f>IF(ISBLANK(input_mgmt_supvr_zone_name),"Value Missing",input_mgmt_supvr_zone_name)</f>
        <v>Value Missing</v>
      </c>
      <c r="E264" s="4" t="s">
        <v>3963</v>
      </c>
      <c r="F264" s="8" t="str">
        <f>IF(ISBLANK(input_flt_def_auto_sr_ip),"Value Missing",input_flt_def_auto_sr_ip)</f>
        <v>Value Missing</v>
      </c>
      <c r="H264" s="30" t="s">
        <v>271</v>
      </c>
      <c r="I264" s="8" t="str">
        <f>IF(ISBLANK(input_cluster_witness_vm_folder),"Value Missing",input_cluster_witness_vm_folder)</f>
        <v>Value Missing</v>
      </c>
      <c r="K264" s="4" t="s">
        <v>564</v>
      </c>
    </row>
    <row r="265" spans="2:12" ht="20" customHeight="1" x14ac:dyDescent="0.2">
      <c r="B265" s="4" t="s">
        <v>3912</v>
      </c>
      <c r="C265" s="8" t="str">
        <f>IF(ISBLANK(input_mgmt_supvr_cp_storage_policy),"Value Missing",input_mgmt_supvr_cp_storage_policy)</f>
        <v>Value Missing</v>
      </c>
      <c r="E265" s="4" t="s">
        <v>4172</v>
      </c>
      <c r="F265" s="8" t="str">
        <f>IF(ISBLANK(input_flt_def_vcf_operations_root_password),"Value Missing",input_flt_def_vcf_operations_root_password)</f>
        <v>Value Missing</v>
      </c>
      <c r="H265" s="30" t="s">
        <v>272</v>
      </c>
      <c r="I265" s="8" t="str">
        <f>IF(ISBLANK(input_cluster_witness_vsan_datastore),"Value Missing",input_cluster_witness_vsan_datastore)</f>
        <v>Value Missing</v>
      </c>
      <c r="K265" s="4" t="s">
        <v>565</v>
      </c>
    </row>
    <row r="266" spans="2:12" ht="20" customHeight="1" x14ac:dyDescent="0.2">
      <c r="B266" s="4" t="s">
        <v>3913</v>
      </c>
      <c r="C266" s="8" t="str">
        <f>IF(ISBLANK(input_mgmt_supvr_ed_storage_policy),"Value Missing",input_mgmt_supvr_ed_storage_policy)</f>
        <v>Value Missing</v>
      </c>
      <c r="E266" s="4" t="s">
        <v>4170</v>
      </c>
      <c r="F266" s="8" t="str">
        <f>IF(ISBLANK(input_flt_def_vcf_operations_admin_password),"Value Missing",input_flt_def_vcf_operations_admin_password)</f>
        <v>Value Missing</v>
      </c>
      <c r="H266" s="30" t="s">
        <v>273</v>
      </c>
      <c r="I266" s="8" t="str">
        <f>IF(ISBLANK(input_cluster_witness_mgmt_pg),"Value Missing",input_cluster_witness_mgmt_pg)</f>
        <v>Value Missing</v>
      </c>
      <c r="K266" s="4" t="s">
        <v>292</v>
      </c>
    </row>
    <row r="267" spans="2:12" ht="20" customHeight="1" x14ac:dyDescent="0.2">
      <c r="B267" s="4" t="s">
        <v>3914</v>
      </c>
      <c r="C267" s="8" t="str">
        <f>IF(ISBLANK(input_mgmt_supvr_ic_storage_policy),"Value Missing",input_mgmt_supvr_ic_storage_policy)</f>
        <v>Value Missing</v>
      </c>
      <c r="E267" s="4" t="s">
        <v>4171</v>
      </c>
      <c r="F267" s="8" t="str">
        <f>IF(ISBLANK(input_flt_def_vcf_operations_proxy_root_password),"Value Missing",input_flt_def_vcf_operations_proxy_root_password)</f>
        <v>Value Missing</v>
      </c>
      <c r="H267" s="30" t="s">
        <v>274</v>
      </c>
      <c r="I267" s="8"/>
      <c r="K267" s="4" t="s">
        <v>568</v>
      </c>
    </row>
    <row r="268" spans="2:12" ht="20" customHeight="1" x14ac:dyDescent="0.2">
      <c r="B268" s="4" t="s">
        <v>3917</v>
      </c>
      <c r="C268" s="8" t="str">
        <f>IF(ISBLANK(input_mgmt_supvr_ip_address_range),"Value Missing",input_mgmt_supvr_ip_address_range)</f>
        <v>Value Missing</v>
      </c>
      <c r="E268" s="4" t="s">
        <v>4173</v>
      </c>
      <c r="F268" s="8" t="str">
        <f>IF(ISBLANK(input_flt_def_auto_admin_password),"Value Missing",input_flt_def_auto_admin_password)</f>
        <v>Value Missing</v>
      </c>
      <c r="H268" s="30" t="s">
        <v>276</v>
      </c>
      <c r="I268" s="8"/>
      <c r="K268" s="4" t="s">
        <v>569</v>
      </c>
    </row>
    <row r="269" spans="2:12" ht="20" customHeight="1" x14ac:dyDescent="0.2">
      <c r="B269" s="4" t="s">
        <v>565</v>
      </c>
      <c r="C269" s="8" t="str">
        <f>IF(ISBLANK(input_mgmt_supvr_mgmt_dns_server),"Value Missing",input_mgmt_supvr_mgmt_dns_server)</f>
        <v>Value Missing</v>
      </c>
      <c r="E269" s="4" t="s">
        <v>4174</v>
      </c>
      <c r="F269" s="8" t="str">
        <f>IF(ISBLANK(input_flt_def_vcf_operations_proxy_az1_vcf_mgmt_gateway_cidr),"Value Missing",input_flt_def_vcf_operations_proxy_az1_vcf_mgmt_gateway_cidr)</f>
        <v>Value Missing</v>
      </c>
      <c r="H269" s="30" t="s">
        <v>278</v>
      </c>
      <c r="I269" s="8" t="str">
        <f>IF(cluster_witnessaz_mgmt_cidr="Value Missing","Value Missing",VLOOKUP(INT(RIGHT(cluster_witnessaz_mgmt_cidr,LEN(cluster_witnessaz_mgmt_cidr)-FIND("/",cluster_witnessaz_mgmt_cidr))),table_cidr_to_mask,2,FALSE))</f>
        <v>Value Missing</v>
      </c>
      <c r="K269" s="4" t="s">
        <v>638</v>
      </c>
      <c r="L269" s="8"/>
    </row>
    <row r="270" spans="2:12" ht="20" customHeight="1" x14ac:dyDescent="0.2">
      <c r="B270" s="4" t="s">
        <v>3918</v>
      </c>
      <c r="C270" s="8" t="str">
        <f>IF(ISBLANK(input_mgmt_supvr_mgmt_dns_zones),"Value Missing",input_mgmt_supvr_mgmt_dns_zones)</f>
        <v>Value Missing</v>
      </c>
      <c r="E270" s="4" t="s">
        <v>4175</v>
      </c>
      <c r="F270" s="8" t="str">
        <f>IF(ISBLANK(input_flt_def_vcf_operations_proxy_az1_vcf_mgmt_pg),"Value Missing",input_flt_def_vcf_operations_proxy_az1_vcf_mgmt_pg)</f>
        <v>Value Missing</v>
      </c>
      <c r="H270" s="30" t="s">
        <v>280</v>
      </c>
      <c r="I270" s="8" t="str">
        <f>IF(ISBLANK(input_cluster_witness_ip),"Value Missing",input_cluster_witness_ip)</f>
        <v>Value Missing</v>
      </c>
      <c r="K270" s="4" t="s">
        <v>193</v>
      </c>
      <c r="L270" s="8" t="str">
        <f>IF(ISBLANK(input_flt_net_admin_password),"Value Missing",input_flt_net_admin_password)</f>
        <v>Value Missing</v>
      </c>
    </row>
    <row r="271" spans="2:12" ht="20" customHeight="1" x14ac:dyDescent="0.2">
      <c r="B271" s="4" t="s">
        <v>3919</v>
      </c>
      <c r="C271" s="8" t="str">
        <f>IF(ISBLANK(input_mgmt_supvr_mgmt_ntp_server),"Value Missing",input_mgmt_supvr_mgmt_ntp_server)</f>
        <v>Value Missing</v>
      </c>
      <c r="E271" s="4" t="s">
        <v>528</v>
      </c>
      <c r="F271" s="8" t="str">
        <f>IF(ISBLANK(input_flt_def_auto_node_prefix),"Value Missing",input_flt_def_auto_node_prefix)</f>
        <v>Value Missing</v>
      </c>
      <c r="H271" s="30"/>
      <c r="I271" s="8"/>
      <c r="K271" s="4" t="s">
        <v>639</v>
      </c>
      <c r="L271" s="8"/>
    </row>
    <row r="272" spans="2:12" ht="20" customHeight="1" x14ac:dyDescent="0.2">
      <c r="B272" s="4" t="s">
        <v>801</v>
      </c>
      <c r="C272" s="8" t="str">
        <f>IF(ISBLANK(input_mgmt_supvr_nsx_project),"Value Missing",input_mgmt_supvr_nsx_project)</f>
        <v>Value Missing</v>
      </c>
      <c r="E272" s="4" t="s">
        <v>4193</v>
      </c>
      <c r="F272" s="8" t="str">
        <f>IF(ISBLANK(input_flt_def_auto_cluster_cidr),"Value Missing",input_flt_def_auto_cluster_cidr)</f>
        <v>Value Missing</v>
      </c>
      <c r="H272" s="30" t="s">
        <v>281</v>
      </c>
      <c r="I272" s="8" t="str">
        <f>IF(ISBLANK(input_cluster_witness_dns1_ip),"Value Missing",input_cluster_witness_dns1_ip)</f>
        <v>Value Missing</v>
      </c>
      <c r="K272" s="4" t="s">
        <v>640</v>
      </c>
      <c r="L272" s="8"/>
    </row>
    <row r="273" spans="2:12" ht="20" customHeight="1" x14ac:dyDescent="0.2">
      <c r="B273" s="4" t="s">
        <v>802</v>
      </c>
      <c r="C273" s="8" t="str">
        <f>IF(ISBLANK(input_mgmt_supvr_vpc_connectivity_profile),"Value Missing",input_mgmt_supvr_vpc_connectivity_profile)</f>
        <v>Value Missing</v>
      </c>
      <c r="H273" s="30" t="s">
        <v>283</v>
      </c>
      <c r="I273" s="8" t="str">
        <f t="array" ref="I273">IF(ISBLANK(input_cluster_witness_dns2_ip),"Value Missing",input_cluster_witness_dns2_ip)</f>
        <v>Value Missing</v>
      </c>
      <c r="K273" s="4" t="s">
        <v>292</v>
      </c>
    </row>
    <row r="274" spans="2:12" ht="20" customHeight="1" x14ac:dyDescent="0.2">
      <c r="B274" s="4" t="s">
        <v>3921</v>
      </c>
      <c r="C274" s="8" t="str">
        <f>IF(ISBLANK(input_mgmt_supvr_vpc_ext_ip_blocks_name),"Value Missing",input_mgmt_supvr_vpc_ext_ip_blocks_name)</f>
        <v>Value Missing</v>
      </c>
      <c r="E274" s="418" t="s">
        <v>4102</v>
      </c>
      <c r="F274" s="419"/>
      <c r="H274" s="30" t="s">
        <v>285</v>
      </c>
      <c r="I274" s="8" t="str">
        <f>IF(ISBLANK(input_cluster_witness_ntp1_server),"Value Missing",input_cluster_witness_ntp1_server)</f>
        <v>Value Missing</v>
      </c>
      <c r="K274" s="4" t="s">
        <v>653</v>
      </c>
      <c r="L274" s="8"/>
    </row>
    <row r="275" spans="2:12" ht="20" customHeight="1" x14ac:dyDescent="0.2">
      <c r="B275" s="4" t="s">
        <v>3922</v>
      </c>
      <c r="C275" s="8" t="str">
        <f>IF(ISBLANK(input_mgmt_supvr_vpc_priv_ip_blocks_name),"Value Missing",input_mgmt_supvr_vpc_priv_ip_blocks_name)</f>
        <v>Value Missing</v>
      </c>
      <c r="F275" s="8" t="str">
        <f>IF(ISBLANK(input_cr_wld_pnr_fqdn),"Value Missing",input_cr_wld_pnr_fqdn)</f>
        <v>Value Missing</v>
      </c>
      <c r="H275" s="30" t="s">
        <v>286</v>
      </c>
      <c r="I275" s="8" t="str">
        <f>IF(ISBLANK(input_cluster_witness_ntp2_server),"Value Missing",input_cluster_witness_ntp2_server)</f>
        <v>Value Missing</v>
      </c>
      <c r="K275" s="4" t="s">
        <v>654</v>
      </c>
      <c r="L275" s="8"/>
    </row>
    <row r="276" spans="2:12" ht="20" customHeight="1" x14ac:dyDescent="0.2">
      <c r="B276" s="4" t="s">
        <v>3923</v>
      </c>
      <c r="C276" s="8" t="str">
        <f>IF(ISBLANK(input_mgmt_supvr_vpc_priv_cidr),"Value Missing",input_mgmt_supvr_vpc_priv_cidr)</f>
        <v>Value Missing</v>
      </c>
      <c r="F276" s="8" t="str">
        <f>IF(ISBLANK(input_cr_wld_pnr_ip),"Value Missing",input_cr_wld_pnr_ip)</f>
        <v>Value Missing</v>
      </c>
      <c r="H276" s="30" t="s">
        <v>266</v>
      </c>
      <c r="I276" s="8" t="str">
        <f>IF(ISBLANK(input_cluster_vc_fqdn),"Value Missing",input_cluster_vc_fqdn)</f>
        <v>Value Missing</v>
      </c>
      <c r="K276" s="4" t="s">
        <v>655</v>
      </c>
      <c r="L276" s="8"/>
    </row>
    <row r="277" spans="2:12" ht="20" customHeight="1" x14ac:dyDescent="0.2">
      <c r="B277" s="4" t="s">
        <v>797</v>
      </c>
      <c r="C277" s="8" t="str">
        <f>IF(ISBLANK(input_mgmt_supvr_vpc_service_cidr),"Value Missing",input_mgmt_supvr_vpc_service_cidr)</f>
        <v>Value Missing</v>
      </c>
      <c r="F277" s="8" t="str">
        <f>IF(ISBLANK(input_cr_mgmt_protect_vc_fqdn),"Value Missing",input_cr_mgmt_protect_vc_fqdn)</f>
        <v>Value Missing</v>
      </c>
      <c r="H277" s="30" t="s">
        <v>288</v>
      </c>
      <c r="I277" s="8" t="str">
        <f>IF(ISBLANK(input_cluster_datacenter),"Value Missing",input_cluster_datacenter)</f>
        <v>Value Missing</v>
      </c>
      <c r="K277" s="4" t="s">
        <v>580</v>
      </c>
      <c r="L277" s="8"/>
    </row>
    <row r="278" spans="2:12" ht="20" customHeight="1" x14ac:dyDescent="0.2">
      <c r="B278" s="4" t="s">
        <v>3924</v>
      </c>
      <c r="C278" s="8" t="str">
        <f>IF(ISBLANK(input_mgmt_supvr_wld_dns_server),"Value Missing",input_mgmt_supvr_wld_dns_server)</f>
        <v>Value Missing</v>
      </c>
      <c r="F278" s="8" t="str">
        <f>IF(ISBLANK(input_cr_mgmt_protect_vc_domain),"Value Missing",input_cr_mgmt_protect_vc_domain)</f>
        <v>Value Missing</v>
      </c>
      <c r="H278" s="30" t="s">
        <v>39</v>
      </c>
      <c r="I278" s="8" t="str">
        <f>IF(ISBLANK(input_cluster_witness_fqdn),"Value Missing",input_cluster_witness_fqdn)</f>
        <v>Value Missing</v>
      </c>
      <c r="K278" s="4" t="s">
        <v>2107</v>
      </c>
      <c r="L278" s="8"/>
    </row>
    <row r="279" spans="2:12" ht="20" customHeight="1" x14ac:dyDescent="0.2">
      <c r="B279" s="4" t="s">
        <v>3925</v>
      </c>
      <c r="C279" s="8" t="str">
        <f>IF(ISBLANK(input_mgmt_supvr_wld_ntp_server),"Value Missing",input_mgmt_supvr_wld_ntp_server)</f>
        <v>Value Missing</v>
      </c>
      <c r="F279" s="8" t="str">
        <f>IF(ISBLANK(input_cr_wld_vrms_pg),"Value Missing",input_cr_wld_vrms_pg)</f>
        <v>Value Missing</v>
      </c>
      <c r="H279" s="30" t="s">
        <v>329</v>
      </c>
      <c r="I279" s="8" t="str">
        <f>IF(ISBLANK(input_cluster_az2_host_overlay_network_profile_name),"Value Missing",input_cluster_az2_host_overlay_network_profile_name)</f>
        <v>Value Missing</v>
      </c>
      <c r="K279" s="4" t="s">
        <v>1877</v>
      </c>
      <c r="L279" s="8"/>
    </row>
    <row r="280" spans="2:12" ht="20" customHeight="1" x14ac:dyDescent="0.2">
      <c r="B280" s="4" t="s">
        <v>3929</v>
      </c>
      <c r="C280" s="8" t="str">
        <f>IF(ISBLANK(input_mgmt_supvr_api_server_fqdn),"Value Missing",input_mgmt_supvr_api_server_fqdn)</f>
        <v>Value Missing</v>
      </c>
      <c r="F280" s="8" t="str">
        <f>IF(ISBLANK(input_cr_console_cloud),"Value Missing",input_cr_console_cloud)</f>
        <v>Value Missing</v>
      </c>
      <c r="H280" s="30" t="s">
        <v>332</v>
      </c>
      <c r="I280" s="8" t="str">
        <f>IF(ISBLANK(input_cluster_az2_host_overlay_network_pool_name),"Value Missing",input_cluster_az2_host_overlay_network_pool_name)</f>
        <v>Value Missing</v>
      </c>
      <c r="K280" s="4" t="s">
        <v>526</v>
      </c>
      <c r="L280" s="8"/>
    </row>
    <row r="281" spans="2:12" ht="20" customHeight="1" x14ac:dyDescent="0.2">
      <c r="F281" s="8" t="str">
        <f>IF(ISBLANK(input_cr_clean_room),"Value Missing",input_cr_clean_room)</f>
        <v>Value Missing</v>
      </c>
      <c r="H281" s="30" t="s">
        <v>333</v>
      </c>
      <c r="I281" s="8" t="str">
        <f>IF(ISBLANK(input_cluster_az2_host_overlay_uplink_profile_name),"Value Missing",input_cluster_az2_host_overlay_uplink_profile_name)</f>
        <v>Value Missing</v>
      </c>
      <c r="K281" s="4" t="s">
        <v>2108</v>
      </c>
      <c r="L281" s="8"/>
    </row>
    <row r="282" spans="2:12" ht="20" customHeight="1" x14ac:dyDescent="0.2">
      <c r="F282" s="8" t="str">
        <f>IF(ISBLANK(input_cr_wld_protect_vc_replication_user),"Value Missing",input_cr_wld_protect_vc_replication_user)</f>
        <v>Value Missing</v>
      </c>
      <c r="H282" s="30" t="s">
        <v>2109</v>
      </c>
      <c r="I282" s="8" t="str">
        <f>IF(ISBLANK(input_cluster_az2_host_overlay_vlan),"Value Missing",input_cluster_az2_host_overlay_vlan)</f>
        <v>Value Missing</v>
      </c>
      <c r="K282" s="4" t="s">
        <v>2110</v>
      </c>
      <c r="L282" s="8"/>
    </row>
    <row r="283" spans="2:12" ht="20" customHeight="1" x14ac:dyDescent="0.2">
      <c r="H283" s="30" t="s">
        <v>183</v>
      </c>
      <c r="I283" s="8" t="str">
        <f>IF(ISBLANK(input_cluster_az2_host_overlay_cidr),"Value Missing",input_cluster_az2_host_overlay_cidr)</f>
        <v>Value Missing</v>
      </c>
      <c r="K283" s="4" t="s">
        <v>2111</v>
      </c>
      <c r="L283" s="8"/>
    </row>
    <row r="284" spans="2:12" ht="20" customHeight="1" x14ac:dyDescent="0.2">
      <c r="H284" s="30" t="s">
        <v>247</v>
      </c>
      <c r="I284" s="8" t="str">
        <f>IF(ISBLANK(input_cluster_az2_host_overlay_gateway_ip),"Value Missing",input_cluster_az2_host_overlay_gateway_ip)</f>
        <v>Value Missing</v>
      </c>
      <c r="K284" s="4" t="s">
        <v>2112</v>
      </c>
      <c r="L284" s="8"/>
    </row>
    <row r="285" spans="2:12" ht="20" customHeight="1" x14ac:dyDescent="0.2">
      <c r="H285" s="30" t="s">
        <v>248</v>
      </c>
      <c r="I285" s="8" t="str">
        <f>IF(ISBLANK(input_cluster_az2_host_overlay_pool_start_ip),"Value Missing",input_cluster_az2_host_overlay_pool_start_ip)</f>
        <v>Value Missing</v>
      </c>
    </row>
    <row r="286" spans="2:12" ht="20" customHeight="1" x14ac:dyDescent="0.2">
      <c r="H286" s="30" t="s">
        <v>249</v>
      </c>
      <c r="I286" s="8" t="str">
        <f>IF(ISBLANK(input_cluster_az2_host_overlay_pool_end_ip),"Value Missing",input_cluster_az2_host_overlay_pool_end_ip)</f>
        <v>Value Missing</v>
      </c>
      <c r="K286" s="218" t="s">
        <v>2130</v>
      </c>
      <c r="L286" s="218"/>
    </row>
    <row r="287" spans="2:12" ht="20" customHeight="1" x14ac:dyDescent="0.2">
      <c r="H287" s="30" t="s">
        <v>343</v>
      </c>
      <c r="I287" s="8" t="str">
        <f>IF(ISBLANK(input_cluster_cluster_sddc_id),"Value Missing",input_cluster_cluster_sddc_id)</f>
        <v>Value Missing</v>
      </c>
      <c r="K287" s="223" t="s">
        <v>254</v>
      </c>
      <c r="L287" s="224" t="s">
        <v>20</v>
      </c>
    </row>
    <row r="288" spans="2:12" ht="20" customHeight="1" x14ac:dyDescent="0.2">
      <c r="H288" s="30" t="s">
        <v>347</v>
      </c>
      <c r="I288" s="8" t="str">
        <f>IF(ISBLANK(input_cluster_nsxt_vip_fqdn),"Value Missing",input_cluster_nsxt_vip_fqdn)</f>
        <v>Value Missing</v>
      </c>
      <c r="K288" s="4" t="s">
        <v>536</v>
      </c>
      <c r="L288" s="8" t="str">
        <f>IF(ISBLANK(vcf_automation_type_chosen),"Value Missing",vcf_automation_type_chosen)</f>
        <v>New</v>
      </c>
    </row>
    <row r="289" spans="8:12" ht="20" customHeight="1" x14ac:dyDescent="0.2">
      <c r="H289" s="30" t="s">
        <v>2113</v>
      </c>
      <c r="I289" s="8" t="str">
        <f>IF(ISBLANK(input_cluster_az2_host1_fqdn),"Value Missing",input_cluster_az2_host1_fqdn)</f>
        <v>Value Missing</v>
      </c>
      <c r="K289" s="4" t="s">
        <v>189</v>
      </c>
      <c r="L289" s="8" t="str">
        <f>IF(ISBLANK(input_vcf_automation_version),"Value Missing",input_vcf_automation_version)</f>
        <v>Value Missing</v>
      </c>
    </row>
    <row r="290" spans="8:12" ht="20" customHeight="1" x14ac:dyDescent="0.2">
      <c r="H290" s="30" t="s">
        <v>2114</v>
      </c>
      <c r="I290" s="8" t="str">
        <f>IF(ISBLANK(input_cluster_az2_host2_fqdn),"Value Missing",input_cluster_az2_host2_fqdn)</f>
        <v>Value Missing</v>
      </c>
      <c r="K290" s="4" t="s">
        <v>524</v>
      </c>
      <c r="L290" s="8" t="str">
        <f>IF(ISBLANK(vcf_automation_size_chosen),"Value Missing",vcf_automation_size_chosen)</f>
        <v>Small</v>
      </c>
    </row>
    <row r="291" spans="8:12" ht="20" customHeight="1" x14ac:dyDescent="0.2">
      <c r="H291" s="30" t="s">
        <v>2115</v>
      </c>
      <c r="I291" s="8" t="str">
        <f>IF(ISBLANK(input_cluster_az2_host3_fqdn),"Value Missing",input_cluster_az2_host3_fqdn)</f>
        <v>Value Missing</v>
      </c>
      <c r="K291" s="4" t="s">
        <v>541</v>
      </c>
      <c r="L291" s="8" t="str">
        <f>IF(ISBLANK(vcf_automation_cert_type_chosen),"Value Missing",vcf_automation_cert_type_chosen)</f>
        <v>Generate Certificate</v>
      </c>
    </row>
    <row r="292" spans="8:12" ht="20" customHeight="1" x14ac:dyDescent="0.2">
      <c r="H292" s="30" t="s">
        <v>2116</v>
      </c>
      <c r="I292" s="8" t="str">
        <f>IF(ISBLANK(input_cluster_az2_host4_fqdn),"Value Missing",input_cluster_az2_host4_fqdn)</f>
        <v>Value Missing</v>
      </c>
      <c r="K292" s="4" t="s">
        <v>543</v>
      </c>
      <c r="L292" s="8" t="str">
        <f>IF(ISBLANK(input_vcf_automation_cert_alias),"Value Missing",input_vcf_automation_cert_alias)</f>
        <v>Value Missing</v>
      </c>
    </row>
    <row r="293" spans="8:12" ht="20" customHeight="1" x14ac:dyDescent="0.2">
      <c r="H293" s="30" t="s">
        <v>2117</v>
      </c>
      <c r="I293" s="8" t="str">
        <f>IF(ISBLANK(input_cluster_az2_host5_fqdn),"Value Missing",input_cluster_az2_host5_fqdn)</f>
        <v>Value Missing</v>
      </c>
      <c r="K293" s="4" t="s">
        <v>544</v>
      </c>
      <c r="L293" s="8" t="str">
        <f>IF(ISBLANK(input_vcf_automation_cert_file),"Value Missing",input_vcf_automation_cert_file)</f>
        <v>Value Missing</v>
      </c>
    </row>
    <row r="294" spans="8:12" ht="20" customHeight="1" x14ac:dyDescent="0.2">
      <c r="H294" s="30" t="s">
        <v>2118</v>
      </c>
      <c r="I294" s="8" t="str">
        <f>IF(ISBLANK(input_cluster_az2_host6_fqdn),"Value Missing",input_cluster_az2_host6_fqdn)</f>
        <v>Value Missing</v>
      </c>
      <c r="K294" s="4" t="s">
        <v>545</v>
      </c>
      <c r="L294" s="8" t="str">
        <f>IF(ISBLANK(input_vcf_automation_cert_common_name),"Value Missing",input_vcf_automation_cert_common_name)</f>
        <v>Value Missing</v>
      </c>
    </row>
    <row r="295" spans="8:12" ht="20" customHeight="1" x14ac:dyDescent="0.2">
      <c r="H295" s="30" t="s">
        <v>2119</v>
      </c>
      <c r="I295" s="8" t="str">
        <f>IF(ISBLANK(input_cluster_az2_host7_fqdn),"Value Missing",input_cluster_az2_host7_fqdn)</f>
        <v>Value Missing</v>
      </c>
      <c r="K295" s="4" t="s">
        <v>546</v>
      </c>
      <c r="L295" s="8" t="str">
        <f>IF(ISBLANK(input_vcf_automation_cert_organisation),"Value Missing",input_vcf_automation_cert_organisation)</f>
        <v>Value Missing</v>
      </c>
    </row>
    <row r="296" spans="8:12" ht="20" customHeight="1" x14ac:dyDescent="0.2">
      <c r="H296" s="30" t="s">
        <v>2120</v>
      </c>
      <c r="I296" s="8" t="str">
        <f>IF(ISBLANK(input_cluster_az2_host8_fqdn),"Value Missing",input_cluster_az2_host8_fqdn)</f>
        <v>Value Missing</v>
      </c>
      <c r="K296" s="4" t="s">
        <v>547</v>
      </c>
      <c r="L296" s="8" t="str">
        <f>IF(ISBLANK(input_vcf_automation_ou_cert),"Value Missing",input_vcf_automation_ou_cert)</f>
        <v>Value Missing</v>
      </c>
    </row>
    <row r="297" spans="8:12" ht="20" customHeight="1" x14ac:dyDescent="0.2">
      <c r="H297" s="30" t="s">
        <v>2121</v>
      </c>
      <c r="I297" s="8" t="str">
        <f>IF(ISBLANK(input_cluster_az2_host9_fqdn),"Value Missing",input_cluster_az2_host9_fqdn)</f>
        <v>Value Missing</v>
      </c>
      <c r="K297" s="4" t="s">
        <v>548</v>
      </c>
      <c r="L297" s="8" t="str">
        <f>IF(ISBLANK(input_vcf_automation_cert_country_code),"Value Missing",input_vcf_automation_cert_country_code)</f>
        <v>Value Missing</v>
      </c>
    </row>
    <row r="298" spans="8:12" ht="20" customHeight="1" x14ac:dyDescent="0.2">
      <c r="H298" s="30" t="s">
        <v>2122</v>
      </c>
      <c r="I298" s="8" t="str">
        <f>IF(ISBLANK(input_cluster_az2_host10_fqdn),"Value Missing",input_cluster_az2_host10_fqdn)</f>
        <v>Value Missing</v>
      </c>
      <c r="K298" s="4" t="s">
        <v>549</v>
      </c>
      <c r="L298" s="8" t="str">
        <f>IF(ISBLANK(input_vcf_automation_cert_locality),"Value Missing",input_vcf_automation_cert_locality)</f>
        <v>Value Missing</v>
      </c>
    </row>
    <row r="299" spans="8:12" ht="20" customHeight="1" x14ac:dyDescent="0.2">
      <c r="H299" s="30" t="s">
        <v>2123</v>
      </c>
      <c r="I299" s="8" t="str">
        <f>IF(ISBLANK(input_cluster_az2_host11_fqdn),"Value Missing",input_cluster_az2_host11_fqdn)</f>
        <v>Value Missing</v>
      </c>
      <c r="K299" s="4" t="s">
        <v>550</v>
      </c>
      <c r="L299" s="8" t="str">
        <f>IF(ISBLANK(input_vcf_automation_cert_state),"Value Missing",input_vcf_automation_cert_state)</f>
        <v>Value Missing</v>
      </c>
    </row>
    <row r="300" spans="8:12" ht="20" customHeight="1" x14ac:dyDescent="0.2">
      <c r="H300" s="30" t="s">
        <v>2124</v>
      </c>
      <c r="I300" s="8" t="str">
        <f>IF(ISBLANK(input_cluster_az2_host12_fqdn),"Value Missing",input_cluster_az2_host12_fqdn)</f>
        <v>Value Missing</v>
      </c>
      <c r="K300" s="4" t="s">
        <v>551</v>
      </c>
      <c r="L300" s="8" t="str">
        <f>IF(ISBLANK(vcf_automation_cert_key_length_chosen),"Value Missing",vcf_automation_cert_key_length_chosen)</f>
        <v>4096</v>
      </c>
    </row>
    <row r="301" spans="8:12" ht="20" customHeight="1" x14ac:dyDescent="0.2">
      <c r="H301" s="30" t="s">
        <v>2125</v>
      </c>
      <c r="I301" s="8" t="str">
        <f>IF(ISBLANK(input_cluster_az2_host13_fqdn),"Value Missing",input_cluster_az2_host13_fqdn)</f>
        <v>Value Missing</v>
      </c>
      <c r="K301" s="4" t="s">
        <v>553</v>
      </c>
      <c r="L301" s="8" t="str">
        <f>IF(ISBLANK(input_vcf_automation_vip_fqdn),"Value Missing",input_vcf_automation_vip_fqdn)</f>
        <v>Value Missing</v>
      </c>
    </row>
    <row r="302" spans="8:12" ht="20" customHeight="1" x14ac:dyDescent="0.2">
      <c r="H302" s="30" t="s">
        <v>2126</v>
      </c>
      <c r="I302" s="8" t="str">
        <f>IF(ISBLANK(input_cluster_az2_host14_fqdn),"Value Missing",input_cluster_az2_host14_fqdn)</f>
        <v>Value Missing</v>
      </c>
      <c r="K302" s="4" t="s">
        <v>3730</v>
      </c>
      <c r="L302" s="8" t="str">
        <f>IF(ISBLANK(input_vcf_automation_sr_fqdn),"Value Missing",input_vcf_automation_sr_fqdn)</f>
        <v>Value Missing</v>
      </c>
    </row>
    <row r="303" spans="8:12" ht="20" customHeight="1" x14ac:dyDescent="0.2">
      <c r="H303" s="30" t="s">
        <v>2127</v>
      </c>
      <c r="I303" s="8" t="str">
        <f>IF(ISBLANK(input_cluster_az2_host15_fqdn),"Value Missing",input_cluster_az2_host15_fqdn)</f>
        <v>Value Missing</v>
      </c>
      <c r="K303" s="23" t="s">
        <v>3943</v>
      </c>
      <c r="L303" s="8" t="str">
        <f>IF(ISBLANK(input_vcf_automation_vip_ip),"Value Missing",input_vcf_automation_vip_ip)</f>
        <v>Value Missing</v>
      </c>
    </row>
    <row r="304" spans="8:12" ht="20" customHeight="1" x14ac:dyDescent="0.2">
      <c r="H304" s="30" t="s">
        <v>2128</v>
      </c>
      <c r="I304" s="8" t="str">
        <f>IF(ISBLANK(input_cluster_az2_host16_fqdn),"Value Missing",input_cluster_az2_host16_fqdn)</f>
        <v>Value Missing</v>
      </c>
      <c r="K304" s="30" t="s">
        <v>3944</v>
      </c>
      <c r="L304" s="8" t="str" cm="1">
        <f t="array" ref="L304">IF(ISBLANK(input_vcf_automation_sr_ip),"Value Missing",input_vcf_automation_sr_ip)</f>
        <v>Value Missing</v>
      </c>
    </row>
    <row r="305" spans="8:12" ht="20" customHeight="1" x14ac:dyDescent="0.2">
      <c r="H305" s="30" t="s">
        <v>352</v>
      </c>
      <c r="I305" s="8" t="str">
        <f>IF(ISBLANK(input_cluster_az2_tor1_peer_asn),"Value Missing",input_cluster_az2_tor1_peer_asn)</f>
        <v>Value Missing</v>
      </c>
      <c r="K305" s="30" t="s">
        <v>530</v>
      </c>
      <c r="L305" s="8" t="str">
        <f>IF(ISBLANK(input_vcf_automation_nodea_ip),"Value Missing",input_vcf_automation_nodea_ip)</f>
        <v>Value Missing</v>
      </c>
    </row>
    <row r="306" spans="8:12" ht="20" customHeight="1" x14ac:dyDescent="0.2">
      <c r="H306" s="30" t="s">
        <v>356</v>
      </c>
      <c r="I306" s="8" t="str">
        <f>IF(ISBLANK(input_cluster_az2_tor1_peer_ip),"Value Missing",input_cluster_az2_tor1_peer_ip)</f>
        <v>Value Missing</v>
      </c>
      <c r="K306" s="30" t="s">
        <v>531</v>
      </c>
      <c r="L306" s="8" t="str">
        <f>IF(ISBLANK(input_vcf_automation_nodeb_ip),"Value Missing",input_vcf_automation_nodeb_ip)</f>
        <v>Value Missing</v>
      </c>
    </row>
    <row r="307" spans="8:12" ht="20" customHeight="1" x14ac:dyDescent="0.2">
      <c r="H307" s="30" t="s">
        <v>357</v>
      </c>
      <c r="I307" s="8" t="str">
        <f>IF(ISBLANK(input_cluster_az2_tor2_peer_asn),"Value Missing",input_cluster_az2_tor2_peer_asn)</f>
        <v>Value Missing</v>
      </c>
      <c r="K307" s="30" t="s">
        <v>532</v>
      </c>
      <c r="L307" s="8" t="str">
        <f>IF(ISBLANK(input_vcf_automation_nodec_ip),"Value Missing",input_vcf_automation_nodec_ip)</f>
        <v>Value Missing</v>
      </c>
    </row>
    <row r="308" spans="8:12" ht="20" customHeight="1" x14ac:dyDescent="0.2">
      <c r="I308" s="8" t="str">
        <f>IF(ISBLANK(input_cluster_az2_tor2_peer_ip),"Value Missing",input_cluster_az2_tor2_peer_ip)</f>
        <v>Value Missing</v>
      </c>
      <c r="K308" s="30" t="s">
        <v>533</v>
      </c>
      <c r="L308" s="8" t="str">
        <f>IF(ISBLANK(input_vcf_automation_noded_ip),"Value Missing",input_vcf_automation_noded_ip)</f>
        <v>Value Missing</v>
      </c>
    </row>
    <row r="309" spans="8:12" ht="20" customHeight="1" x14ac:dyDescent="0.2">
      <c r="I309" s="8" t="str">
        <f>IF(ISBLANK(input_cluster_host_overlay_transportzone),"Value Missing",input_cluster_host_overlay_transportzone)</f>
        <v>Value Missing</v>
      </c>
      <c r="K309" s="4" t="s">
        <v>558</v>
      </c>
      <c r="L309" s="8" t="str">
        <f>IF(ISBLANK(input_vcf_automation_folder),"Value Missing",input_vcf_automation_folder)</f>
        <v>Value Missing</v>
      </c>
    </row>
    <row r="310" spans="8:12" ht="20" customHeight="1" x14ac:dyDescent="0.2">
      <c r="K310" s="4" t="s">
        <v>560</v>
      </c>
      <c r="L310" s="8" t="str">
        <f>IF(ISBLANK(input_vcf_automation_resource_pool),"Value Missing",input_vcf_automation_resource_pool)</f>
        <v>Value Missing</v>
      </c>
    </row>
    <row r="311" spans="8:12" ht="20" customHeight="1" x14ac:dyDescent="0.2">
      <c r="K311" s="4" t="s">
        <v>2131</v>
      </c>
      <c r="L311" s="8" t="str">
        <f>IF(ISBLANK(input_vcf_automation_mask),"Value Missing",input_vcf_automation_mask)</f>
        <v>Value Missing</v>
      </c>
    </row>
    <row r="312" spans="8:12" ht="20" customHeight="1" x14ac:dyDescent="0.2">
      <c r="K312" s="4" t="s">
        <v>2034</v>
      </c>
      <c r="L312" s="8" t="str">
        <f>IF(ISBLANK(input_vcf_automation_gateway_ip),"Value Missing",input_vcf_automation_gateway_ip)</f>
        <v>Value Missing</v>
      </c>
    </row>
    <row r="313" spans="8:12" ht="20" customHeight="1" x14ac:dyDescent="0.2">
      <c r="K313" s="4" t="s">
        <v>2132</v>
      </c>
      <c r="L313" s="8" t="str">
        <f>IF(ISBLANK(input_vcf_automation_portgroup),"Value Missing",input_vcf_automation_portgroup)</f>
        <v>Value Missing</v>
      </c>
    </row>
    <row r="314" spans="8:12" ht="20" customHeight="1" x14ac:dyDescent="0.2">
      <c r="K314" s="23" t="s">
        <v>638</v>
      </c>
      <c r="L314" s="8" t="str">
        <f>IF(ISBLANK(input_vcf_automation_admin_password_alias),"Value Missing",input_vcf_automation_admin_password_alias)</f>
        <v>Value Missing</v>
      </c>
    </row>
    <row r="315" spans="8:12" ht="20" customHeight="1" x14ac:dyDescent="0.2">
      <c r="K315" s="30" t="s">
        <v>193</v>
      </c>
      <c r="L315" s="8" t="str">
        <f>IF(ISBLANK(input_vcf_automation_admin_password),"Value Missing",input_vcf_automation_admin_password)</f>
        <v>Value Missing</v>
      </c>
    </row>
    <row r="316" spans="8:12" ht="20" customHeight="1" x14ac:dyDescent="0.2">
      <c r="K316" s="30" t="s">
        <v>639</v>
      </c>
      <c r="L316" s="8" t="str">
        <f>IF(ISBLANK(input_vcf_automation_admin_password_description),"Value Missing",input_vcf_automation_admin_password_description)</f>
        <v>Value Missing</v>
      </c>
    </row>
    <row r="317" spans="8:12" ht="20" customHeight="1" x14ac:dyDescent="0.2">
      <c r="K317" s="30" t="s">
        <v>640</v>
      </c>
      <c r="L317" s="8" t="str">
        <f>IF(ISBLANK(input_vcf_automation_admin_username),"Value Missing",input_vcf_automation_admin_username)</f>
        <v>Value Missing</v>
      </c>
    </row>
    <row r="318" spans="8:12" ht="20" customHeight="1" x14ac:dyDescent="0.2">
      <c r="K318" s="4" t="s">
        <v>2133</v>
      </c>
      <c r="L318" s="8" t="str">
        <f>IF(ISBLANK(input_vcf_automation_root_password_alias),"Value Missing",input_vcf_automation_root_password_alias)</f>
        <v>Value Missing</v>
      </c>
    </row>
    <row r="319" spans="8:12" ht="20" customHeight="1" x14ac:dyDescent="0.2">
      <c r="K319" s="4" t="s">
        <v>30</v>
      </c>
      <c r="L319" s="8" t="str">
        <f>IF(ISBLANK(input_vcf_automation_root_password),"Value Missing",input_vcf_automation_root_password)</f>
        <v>Value Missing</v>
      </c>
    </row>
    <row r="320" spans="8:12" ht="20" customHeight="1" x14ac:dyDescent="0.2">
      <c r="K320" s="4" t="s">
        <v>2134</v>
      </c>
      <c r="L320" s="8" t="str">
        <f>IF(ISBLANK(input_vcf_automation_root_password_description),"Value Missing",input_vcf_automation_root_password_description)</f>
        <v>Value Missing</v>
      </c>
    </row>
    <row r="321" spans="11:12" ht="20" customHeight="1" x14ac:dyDescent="0.2">
      <c r="K321" s="4" t="s">
        <v>28</v>
      </c>
      <c r="L321" s="8" t="str">
        <f>IF(ISBLANK(input_vcf_automation_root_username),"Value Missing",input_vcf_automation_root_username)</f>
        <v>Value Missing</v>
      </c>
    </row>
    <row r="322" spans="11:12" ht="20" customHeight="1" x14ac:dyDescent="0.2">
      <c r="K322" s="30" t="s">
        <v>581</v>
      </c>
      <c r="L322" s="8" t="str">
        <f>IF(ISBLANK(vcf_automation_lb_type_chosen),"Value Missing",vcf_automation_lb_type_chosen)</f>
        <v>Internal Load Balancer</v>
      </c>
    </row>
    <row r="323" spans="11:12" ht="20" customHeight="1" x14ac:dyDescent="0.2">
      <c r="K323" s="30" t="s">
        <v>528</v>
      </c>
      <c r="L323" s="8" t="str">
        <f>IF(ISBLANK(vcf_automation_node_prefix_chosen),"Value Missing",vcf_automation_node_prefix_chosen)</f>
        <v>flt-auto</v>
      </c>
    </row>
    <row r="324" spans="11:12" ht="20" customHeight="1" x14ac:dyDescent="0.2">
      <c r="K324" s="30" t="s">
        <v>585</v>
      </c>
      <c r="L324" s="8" t="str">
        <f>IF(ISBLANK(vcf_automation_internal_cidr_chosen),"Value Missing",vcf_automation_internal_cidr_chosen)</f>
        <v>192.18.0.0/15</v>
      </c>
    </row>
    <row r="325" spans="11:12" ht="20" customHeight="1" x14ac:dyDescent="0.2">
      <c r="K325" s="30" t="s">
        <v>587</v>
      </c>
      <c r="L325" s="8" t="str">
        <f>IF(ISBLANK(input_vcf_automation_additional_vips),"Value Missing",input_vcf_automation_additional_vips)</f>
        <v>Value Missing</v>
      </c>
    </row>
    <row r="326" spans="11:12" ht="20" customHeight="1" x14ac:dyDescent="0.2">
      <c r="K326" s="30" t="s">
        <v>3942</v>
      </c>
      <c r="L326" s="8" t="str">
        <f>IF(ISBLANK(input_vcf_automation_runtime_cidr),"Value Missing",input_vcf_automation_runtime_cidr)</f>
        <v>Value Missing</v>
      </c>
    </row>
    <row r="327" spans="11:12" ht="20" customHeight="1" x14ac:dyDescent="0.2">
      <c r="K327" s="30" t="s">
        <v>3722</v>
      </c>
      <c r="L327" s="8" t="str">
        <f>IF(ISBLANK(input_vcf_automation_node_pool_start_ip),"Value Missing",input_vcf_automation_node_pool_start_ip)</f>
        <v>Value Missing</v>
      </c>
    </row>
    <row r="328" spans="11:12" ht="20" customHeight="1" x14ac:dyDescent="0.2">
      <c r="K328" s="30" t="s">
        <v>3723</v>
      </c>
      <c r="L328" s="8" t="str">
        <f>IF(ISBLANK(input_vcf_automation_node_pool_end_ip),"Value Missing",input_vcf_automation_node_pool_end_ip)</f>
        <v>Value Missing</v>
      </c>
    </row>
  </sheetData>
  <sheetProtection algorithmName="SHA-512" hashValue="wqU6BJbRzmEX2DLhnGuhoY1QBZO8kU6U1wVP0N4aIrhkpaCOfU0SXAVm0SFNnGhY9yzwXymFhVy8M8n+X/XgSg==" saltValue="9O1kLxOXHpfzOi4f08FnQg==" spinCount="100000" sheet="1" objects="1" scenarios="1"/>
  <mergeCells count="47">
    <mergeCell ref="H228:I228"/>
    <mergeCell ref="H219:I219"/>
    <mergeCell ref="T186:U186"/>
    <mergeCell ref="T121:U121"/>
    <mergeCell ref="T151:U151"/>
    <mergeCell ref="V2:Z2"/>
    <mergeCell ref="Q3:Z3"/>
    <mergeCell ref="K6:L6"/>
    <mergeCell ref="Q2:R2"/>
    <mergeCell ref="Q26:R26"/>
    <mergeCell ref="B35:C35"/>
    <mergeCell ref="E43:F43"/>
    <mergeCell ref="H56:I56"/>
    <mergeCell ref="B90:C90"/>
    <mergeCell ref="B118:C118"/>
    <mergeCell ref="B81:C81"/>
    <mergeCell ref="H46:I46"/>
    <mergeCell ref="H36:I36"/>
    <mergeCell ref="H245:I245"/>
    <mergeCell ref="H237:I237"/>
    <mergeCell ref="AC6:AE6"/>
    <mergeCell ref="E30:F30"/>
    <mergeCell ref="Z17:AA17"/>
    <mergeCell ref="Z6:AA6"/>
    <mergeCell ref="T6:U6"/>
    <mergeCell ref="Q29:R29"/>
    <mergeCell ref="Q14:R14"/>
    <mergeCell ref="Q10:R10"/>
    <mergeCell ref="Q6:R6"/>
    <mergeCell ref="T46:U46"/>
    <mergeCell ref="H16:I16"/>
    <mergeCell ref="H26:I26"/>
    <mergeCell ref="T38:U38"/>
    <mergeCell ref="Q43:R43"/>
    <mergeCell ref="Q73:R73"/>
    <mergeCell ref="Q81:R81"/>
    <mergeCell ref="K109:L109"/>
    <mergeCell ref="Q89:R89"/>
    <mergeCell ref="K166:L166"/>
    <mergeCell ref="K162:L162"/>
    <mergeCell ref="N91:O91"/>
    <mergeCell ref="Q47:R47"/>
    <mergeCell ref="Q32:R32"/>
    <mergeCell ref="Q23:R23"/>
    <mergeCell ref="H11:I11"/>
    <mergeCell ref="E70:F70"/>
    <mergeCell ref="K64:L64"/>
  </mergeCells>
  <phoneticPr fontId="9" type="noConversion"/>
  <conditionalFormatting sqref="C7:C10 L39:L40">
    <cfRule type="expression" dxfId="1166" priority="448">
      <formula>mgmt_domain_existing_vcf_operations_chosen="Selected"</formula>
    </cfRule>
    <cfRule type="notContainsBlanks" dxfId="1164" priority="450">
      <formula>LEN(TRIM(C7))&gt;0</formula>
    </cfRule>
    <cfRule type="containsBlanks" dxfId="1163" priority="451">
      <formula>LEN(TRIM(C7))=0</formula>
    </cfRule>
    <cfRule type="expression" dxfId="1162" priority="452">
      <formula>(VROPS_Result="Excluded")</formula>
    </cfRule>
  </conditionalFormatting>
  <conditionalFormatting sqref="C14:C33 I75:I124 O92:O129 C94:C99 C101:C106 C108:C113 C120:C126 C130:C137 I175:I194 L183:L224 I198:I218 I220:I227 I229:I236 I238:I244">
    <cfRule type="containsBlanks" dxfId="1160" priority="987">
      <formula>LEN(TRIM(C14))=0</formula>
    </cfRule>
  </conditionalFormatting>
  <conditionalFormatting sqref="C37:C48 C83:C87">
    <cfRule type="expression" dxfId="1158" priority="980">
      <formula>AND((VRLI_Result="Excluded"),(VROPS_Result="Excluded"),(VRA_Result="Excluded"))</formula>
    </cfRule>
  </conditionalFormatting>
  <conditionalFormatting sqref="C37:C52 L167:L179">
    <cfRule type="notContainsBlanks" dxfId="1155" priority="674">
      <formula>LEN(TRIM(C37))&gt;0</formula>
    </cfRule>
    <cfRule type="containsBlanks" dxfId="1154" priority="675">
      <formula>LEN(TRIM(C37))=0</formula>
    </cfRule>
    <cfRule type="expression" dxfId="1153" priority="676">
      <formula>(VROPS_Result="Excluded")</formula>
    </cfRule>
  </conditionalFormatting>
  <conditionalFormatting sqref="C56:C70 C140:C145">
    <cfRule type="notContainsBlanks" dxfId="1150" priority="960">
      <formula>LEN(TRIM(C56))&gt;0</formula>
    </cfRule>
    <cfRule type="containsBlanks" dxfId="1149" priority="961">
      <formula>LEN(TRIM(C56))=0</formula>
    </cfRule>
    <cfRule type="expression" dxfId="1148" priority="962">
      <formula>(VROPS_Result="Excluded")</formula>
    </cfRule>
    <cfRule type="expression" dxfId="1143" priority="967">
      <formula>AND((VRLI_Result="Excluded"),(VROPS_Result="Excluded"),(VRA_Result="Excluded"))</formula>
    </cfRule>
  </conditionalFormatting>
  <conditionalFormatting sqref="C56:C73 C140:C145 C149:C171">
    <cfRule type="expression" dxfId="1140" priority="48">
      <formula>mgmt_domain_existing_vcf_operations_chosen="Selected"</formula>
    </cfRule>
  </conditionalFormatting>
  <conditionalFormatting sqref="C71:C73">
    <cfRule type="expression" dxfId="1139" priority="45">
      <formula>mgmt_domain_ops_automation_later_chosen="Selected"</formula>
    </cfRule>
    <cfRule type="expression" dxfId="1138" priority="46">
      <formula>mgmt_domain_deployment_type_chosen="VMware vSphere Foundation"</formula>
    </cfRule>
    <cfRule type="expression" dxfId="1137" priority="47">
      <formula>vcf_granular_option_chosen="Deploy a VCF Instance in an existing VCF Fleet"</formula>
    </cfRule>
    <cfRule type="notContainsBlanks" dxfId="1135" priority="50">
      <formula>LEN(TRIM(C71))&gt;0</formula>
    </cfRule>
    <cfRule type="containsBlanks" dxfId="1134" priority="51">
      <formula>LEN(TRIM(C71))=0</formula>
    </cfRule>
  </conditionalFormatting>
  <conditionalFormatting sqref="C78:C79 C205:C212 C245:C260 L288:L328">
    <cfRule type="expression" dxfId="1133" priority="917">
      <formula>mgmt_domain_existing_vcf_operations_chosen="Selected"</formula>
    </cfRule>
    <cfRule type="notContainsBlanks" dxfId="1131" priority="919">
      <formula>LEN(TRIM(C78))&gt;0</formula>
    </cfRule>
    <cfRule type="containsBlanks" dxfId="1130" priority="920">
      <formula>LEN(TRIM(C78))=0</formula>
    </cfRule>
  </conditionalFormatting>
  <conditionalFormatting sqref="C78:C79 F129:F130">
    <cfRule type="expression" dxfId="1125" priority="926">
      <formula>AND((VRLI_Result="Excluded"),(VROPS_Result="Excluded"),(VRA_Result="Excluded"))</formula>
    </cfRule>
  </conditionalFormatting>
  <conditionalFormatting sqref="C83:C88">
    <cfRule type="expression" dxfId="1123" priority="780">
      <formula>mgmt_domain_existing_vcf_operations_chosen="Selected"</formula>
    </cfRule>
    <cfRule type="notContainsBlanks" dxfId="1121" priority="782">
      <formula>LEN(TRIM(C83))&gt;0</formula>
    </cfRule>
    <cfRule type="containsBlanks" dxfId="1120" priority="783">
      <formula>LEN(TRIM(C83))=0</formula>
    </cfRule>
    <cfRule type="expression" dxfId="1119" priority="784">
      <formula>(VROPS_Result="Excluded")</formula>
    </cfRule>
  </conditionalFormatting>
  <conditionalFormatting sqref="C92 F100:F106 C116">
    <cfRule type="expression" dxfId="1115" priority="756">
      <formula>mgmt_domain_existing_vcf_operations_chosen="Selected"</formula>
    </cfRule>
    <cfRule type="notContainsBlanks" dxfId="1113" priority="758">
      <formula>LEN(TRIM(C92))&gt;0</formula>
    </cfRule>
    <cfRule type="containsBlanks" dxfId="1112" priority="759">
      <formula>LEN(TRIM(C92))=0</formula>
    </cfRule>
    <cfRule type="expression" dxfId="1111" priority="760">
      <formula>(VROPS_Result="Excluded")</formula>
    </cfRule>
  </conditionalFormatting>
  <conditionalFormatting sqref="C138:C139">
    <cfRule type="expression" dxfId="1108" priority="792">
      <formula>vcf_granular_option_chosen&lt;&gt;"Full Instance"</formula>
    </cfRule>
    <cfRule type="expression" dxfId="1107" priority="793">
      <formula>(vcf_version_result="Excluded")</formula>
    </cfRule>
    <cfRule type="expression" dxfId="1106" priority="794">
      <formula>(mgmt_dpg_reuse_chosen="Exclude")</formula>
    </cfRule>
    <cfRule type="expression" dxfId="1105" priority="795">
      <formula>(mgmt_dpg_reuse_result="Included")</formula>
    </cfRule>
    <cfRule type="expression" dxfId="1104" priority="796">
      <formula>(mgmt_dpg_reuse_result="Excluded")</formula>
    </cfRule>
  </conditionalFormatting>
  <conditionalFormatting sqref="C140:C145">
    <cfRule type="notContainsBlanks" dxfId="1100" priority="558">
      <formula>LEN(TRIM(C140))&gt;0</formula>
    </cfRule>
  </conditionalFormatting>
  <conditionalFormatting sqref="C180:C185">
    <cfRule type="expression" dxfId="1098" priority="881">
      <formula>mgmt_domain_existing_vcf_operations_chosen="Selected"</formula>
    </cfRule>
    <cfRule type="notContainsBlanks" dxfId="1096" priority="883">
      <formula>LEN(TRIM(C180))&gt;0</formula>
    </cfRule>
    <cfRule type="containsBlanks" dxfId="1095" priority="884">
      <formula>LEN(TRIM(C180))=0</formula>
    </cfRule>
    <cfRule type="expression" dxfId="1094" priority="885">
      <formula>(VROPS_Result="Excluded")</formula>
    </cfRule>
    <cfRule type="expression" dxfId="1089" priority="890">
      <formula>AND((VRLI_Result="Excluded"),(VROPS_Result="Excluded"),(VRA_Result="Excluded"))</formula>
    </cfRule>
  </conditionalFormatting>
  <conditionalFormatting sqref="C198:C201">
    <cfRule type="expression" dxfId="1081" priority="237">
      <formula>mgmt_domain_existing_vcf_operations_chosen="Selected"</formula>
    </cfRule>
    <cfRule type="notContainsBlanks" dxfId="1079" priority="239">
      <formula>LEN(TRIM(C198))&gt;0</formula>
    </cfRule>
    <cfRule type="containsBlanks" dxfId="1078" priority="240">
      <formula>LEN(TRIM(C198))=0</formula>
    </cfRule>
    <cfRule type="expression" dxfId="1077" priority="241">
      <formula>(VROPS_Result="Excluded")</formula>
    </cfRule>
    <cfRule type="expression" dxfId="1076" priority="246">
      <formula>AND((VRLI_Result="Excluded"),(VROPS_Result="Excluded"),(VRA_Result="Excluded"))</formula>
    </cfRule>
  </conditionalFormatting>
  <conditionalFormatting sqref="C263:C280">
    <cfRule type="expression" dxfId="1075" priority="21">
      <formula>mgmt_domain_existing_vcf_operations_chosen="Selected"</formula>
    </cfRule>
    <cfRule type="notContainsBlanks" dxfId="1073" priority="23">
      <formula>LEN(TRIM(C263))&gt;0</formula>
    </cfRule>
    <cfRule type="containsBlanks" dxfId="1072" priority="24">
      <formula>LEN(TRIM(C263))=0</formula>
    </cfRule>
  </conditionalFormatting>
  <conditionalFormatting sqref="E10:F10">
    <cfRule type="expression" dxfId="1071" priority="392">
      <formula>AND((wld_multirack_calc="Include"),(wld_multirack_result="Excluded"))</formula>
    </cfRule>
    <cfRule type="expression" dxfId="1070" priority="393">
      <formula>(vcf_version_result="Excluded")</formula>
    </cfRule>
    <cfRule type="expression" dxfId="1069" priority="394">
      <formula>wld_multirack_result="Excluded"</formula>
    </cfRule>
    <cfRule type="expression" dxfId="1068" priority="395">
      <formula>(vcf_version_chosen&lt;&gt;"Exclude")</formula>
    </cfRule>
  </conditionalFormatting>
  <conditionalFormatting sqref="F7:F9">
    <cfRule type="expression" dxfId="1067" priority="357">
      <formula>mgmt_domain_existing_vcf_operations_chosen="Selected"</formula>
    </cfRule>
    <cfRule type="notContainsBlanks" dxfId="1065" priority="359">
      <formula>LEN(TRIM(F7))&gt;0</formula>
    </cfRule>
    <cfRule type="containsBlanks" dxfId="1064" priority="360">
      <formula>LEN(TRIM(F7))=0</formula>
    </cfRule>
    <cfRule type="expression" dxfId="1063" priority="361">
      <formula>(VROPS_Result="Excluded")</formula>
    </cfRule>
    <cfRule type="expression" dxfId="1058" priority="366">
      <formula>AND((VRLI_Result="Excluded"),(VROPS_Result="Excluded"),(VRA_Result="Excluded"))</formula>
    </cfRule>
  </conditionalFormatting>
  <conditionalFormatting sqref="F14:F22">
    <cfRule type="expression" dxfId="1053" priority="854">
      <formula>AND((VRLI_Result="Excluded"),(VROPS_Result="Excluded"),(VRA_Result="Excluded"))</formula>
    </cfRule>
  </conditionalFormatting>
  <conditionalFormatting sqref="F14:F26">
    <cfRule type="expression" dxfId="1050" priority="801">
      <formula>(VROPS_Result="Excluded")</formula>
    </cfRule>
  </conditionalFormatting>
  <conditionalFormatting sqref="F14:F28">
    <cfRule type="expression" dxfId="1047" priority="797">
      <formula>mgmt_domain_existing_vcf_operations_chosen="Selected"</formula>
    </cfRule>
    <cfRule type="notContainsBlanks" dxfId="1045" priority="799">
      <formula>LEN(TRIM(F14))&gt;0</formula>
    </cfRule>
    <cfRule type="containsBlanks" dxfId="1044" priority="800">
      <formula>LEN(TRIM(F14))=0</formula>
    </cfRule>
  </conditionalFormatting>
  <conditionalFormatting sqref="F23:F26">
    <cfRule type="expression" dxfId="1039" priority="806">
      <formula>AND((VRLI_Result="Excluded"),(VROPS_Result="Excluded"),(VRA_Result="Excluded"))</formula>
    </cfRule>
  </conditionalFormatting>
  <conditionalFormatting sqref="F32:F41">
    <cfRule type="expression" dxfId="1038" priority="809">
      <formula>mgmt_domain_existing_vcf_operations_chosen="Selected"</formula>
    </cfRule>
    <cfRule type="notContainsBlanks" dxfId="1036" priority="811">
      <formula>LEN(TRIM(F32))&gt;0</formula>
    </cfRule>
    <cfRule type="containsBlanks" dxfId="1035" priority="812">
      <formula>LEN(TRIM(F32))=0</formula>
    </cfRule>
    <cfRule type="expression" dxfId="1034" priority="813">
      <formula>(VROPS_Result="Excluded")</formula>
    </cfRule>
    <cfRule type="expression" dxfId="1029" priority="878">
      <formula>AND((VRLI_Result="Excluded"),(VROPS_Result="Excluded"),(VRA_Result="Excluded"))</formula>
    </cfRule>
  </conditionalFormatting>
  <conditionalFormatting sqref="F45:F49">
    <cfRule type="expression" dxfId="1024" priority="866">
      <formula>AND((VRLI_Result="Excluded"),(VROPS_Result="Excluded"),(VRA_Result="Excluded"))</formula>
    </cfRule>
  </conditionalFormatting>
  <conditionalFormatting sqref="F45:F56">
    <cfRule type="expression" dxfId="1021" priority="825">
      <formula>(VROPS_Result="Excluded")</formula>
    </cfRule>
  </conditionalFormatting>
  <conditionalFormatting sqref="F45:F58">
    <cfRule type="expression" dxfId="1018" priority="821">
      <formula>mgmt_domain_existing_vcf_operations_chosen="Selected"</formula>
    </cfRule>
    <cfRule type="notContainsBlanks" dxfId="1016" priority="823">
      <formula>LEN(TRIM(F45))&gt;0</formula>
    </cfRule>
    <cfRule type="containsBlanks" dxfId="1015" priority="824">
      <formula>LEN(TRIM(F45))=0</formula>
    </cfRule>
  </conditionalFormatting>
  <conditionalFormatting sqref="F50:F56">
    <cfRule type="expression" dxfId="1010" priority="842">
      <formula>AND((VRLI_Result="Excluded"),(VROPS_Result="Excluded"),(VRA_Result="Excluded"))</formula>
    </cfRule>
  </conditionalFormatting>
  <conditionalFormatting sqref="F62">
    <cfRule type="expression" dxfId="1005" priority="693">
      <formula>AND((VRLI_Result="Excluded"),(VROPS_Result="Excluded"),(VRA_Result="Excluded"))</formula>
    </cfRule>
  </conditionalFormatting>
  <conditionalFormatting sqref="F62:F63">
    <cfRule type="expression" dxfId="1004" priority="684">
      <formula>mgmt_domain_existing_vcf_operations_chosen="Selected"</formula>
    </cfRule>
    <cfRule type="notContainsBlanks" dxfId="1002" priority="686">
      <formula>LEN(TRIM(F62))&gt;0</formula>
    </cfRule>
    <cfRule type="containsBlanks" dxfId="1001" priority="687">
      <formula>LEN(TRIM(F62))=0</formula>
    </cfRule>
    <cfRule type="expression" dxfId="1000" priority="688">
      <formula>(VROPS_Result="Excluded")</formula>
    </cfRule>
  </conditionalFormatting>
  <conditionalFormatting sqref="F63">
    <cfRule type="expression" dxfId="995" priority="705">
      <formula>AND((VRLI_Result="Excluded"),(VROPS_Result="Excluded"),(VRA_Result="Excluded"))</formula>
    </cfRule>
  </conditionalFormatting>
  <conditionalFormatting sqref="F67:F68">
    <cfRule type="expression" dxfId="992" priority="345">
      <formula>mgmt_domain_existing_vcf_operations_chosen="Selected"</formula>
    </cfRule>
    <cfRule type="notContainsBlanks" dxfId="990" priority="347">
      <formula>LEN(TRIM(F67))&gt;0</formula>
    </cfRule>
    <cfRule type="containsBlanks" dxfId="989" priority="348">
      <formula>LEN(TRIM(F67))=0</formula>
    </cfRule>
    <cfRule type="expression" dxfId="988" priority="349">
      <formula>(VROPS_Result="Excluded")</formula>
    </cfRule>
    <cfRule type="expression" dxfId="983" priority="354">
      <formula>AND((VRLI_Result="Excluded"),(VROPS_Result="Excluded"),(VRA_Result="Excluded"))</formula>
    </cfRule>
  </conditionalFormatting>
  <conditionalFormatting sqref="F72">
    <cfRule type="expression" dxfId="980" priority="309">
      <formula>mgmt_domain_existing_vcf_operations_chosen="Selected"</formula>
    </cfRule>
    <cfRule type="notContainsBlanks" dxfId="978" priority="311">
      <formula>LEN(TRIM(F72))&gt;0</formula>
    </cfRule>
    <cfRule type="containsBlanks" dxfId="977" priority="312">
      <formula>LEN(TRIM(F72))=0</formula>
    </cfRule>
    <cfRule type="expression" dxfId="976" priority="313">
      <formula>(VROPS_Result="Excluded")</formula>
    </cfRule>
    <cfRule type="expression" dxfId="971" priority="318">
      <formula>AND((VRLI_Result="Excluded"),(VROPS_Result="Excluded"),(VRA_Result="Excluded"))</formula>
    </cfRule>
  </conditionalFormatting>
  <conditionalFormatting sqref="F74:F79">
    <cfRule type="expression" dxfId="964" priority="306">
      <formula>AND((VRLI_Result="Excluded"),(VROPS_Result="Excluded"),(VRA_Result="Excluded"))</formula>
    </cfRule>
  </conditionalFormatting>
  <conditionalFormatting sqref="F74:F80">
    <cfRule type="expression" dxfId="963" priority="297">
      <formula>mgmt_domain_existing_vcf_operations_chosen="Selected"</formula>
    </cfRule>
    <cfRule type="notContainsBlanks" dxfId="961" priority="299">
      <formula>LEN(TRIM(F74))&gt;0</formula>
    </cfRule>
    <cfRule type="containsBlanks" dxfId="960" priority="300">
      <formula>LEN(TRIM(F74))=0</formula>
    </cfRule>
    <cfRule type="expression" dxfId="959" priority="301">
      <formula>(VROPS_Result="Excluded")</formula>
    </cfRule>
  </conditionalFormatting>
  <conditionalFormatting sqref="F80 F88 C92 F96 F100:F106 C116">
    <cfRule type="expression" dxfId="955" priority="765">
      <formula>AND((VRLI_Result="Excluded"),(VROPS_Result="Excluded"),(VRA_Result="Excluded"))</formula>
    </cfRule>
  </conditionalFormatting>
  <conditionalFormatting sqref="F82:F87">
    <cfRule type="expression" dxfId="948" priority="294">
      <formula>AND((VRLI_Result="Excluded"),(VROPS_Result="Excluded"),(VRA_Result="Excluded"))</formula>
    </cfRule>
  </conditionalFormatting>
  <conditionalFormatting sqref="F82:F88">
    <cfRule type="expression" dxfId="947" priority="285">
      <formula>mgmt_domain_existing_vcf_operations_chosen="Selected"</formula>
    </cfRule>
    <cfRule type="notContainsBlanks" dxfId="945" priority="287">
      <formula>LEN(TRIM(F82))&gt;0</formula>
    </cfRule>
    <cfRule type="containsBlanks" dxfId="944" priority="288">
      <formula>LEN(TRIM(F82))=0</formula>
    </cfRule>
    <cfRule type="expression" dxfId="943" priority="289">
      <formula>(VROPS_Result="Excluded")</formula>
    </cfRule>
  </conditionalFormatting>
  <conditionalFormatting sqref="F90:F95">
    <cfRule type="expression" dxfId="936" priority="282">
      <formula>AND((VRLI_Result="Excluded"),(VROPS_Result="Excluded"),(VRA_Result="Excluded"))</formula>
    </cfRule>
  </conditionalFormatting>
  <conditionalFormatting sqref="F90:F96">
    <cfRule type="expression" dxfId="935" priority="273">
      <formula>mgmt_domain_existing_vcf_operations_chosen="Selected"</formula>
    </cfRule>
    <cfRule type="notContainsBlanks" dxfId="933" priority="275">
      <formula>LEN(TRIM(F90))&gt;0</formula>
    </cfRule>
    <cfRule type="containsBlanks" dxfId="932" priority="276">
      <formula>LEN(TRIM(F90))=0</formula>
    </cfRule>
    <cfRule type="expression" dxfId="931" priority="277">
      <formula>(VROPS_Result="Excluded")</formula>
    </cfRule>
  </conditionalFormatting>
  <conditionalFormatting sqref="F115:F120">
    <cfRule type="expression" dxfId="926" priority="905">
      <formula>mgmt_domain_existing_vcf_operations_chosen="Selected"</formula>
    </cfRule>
    <cfRule type="notContainsBlanks" dxfId="924" priority="907">
      <formula>LEN(TRIM(F115))&gt;0</formula>
    </cfRule>
    <cfRule type="containsBlanks" dxfId="923" priority="908">
      <formula>LEN(TRIM(F115))=0</formula>
    </cfRule>
    <cfRule type="expression" dxfId="922" priority="909">
      <formula>(VROPS_Result="Excluded")</formula>
    </cfRule>
    <cfRule type="expression" dxfId="917" priority="914">
      <formula>AND((VRLI_Result="Excluded"),(VROPS_Result="Excluded"),(VRA_Result="Excluded"))</formula>
    </cfRule>
  </conditionalFormatting>
  <conditionalFormatting sqref="F126:F128">
    <cfRule type="expression" dxfId="908" priority="258">
      <formula>AND((VRLI_Result="Excluded"),(VROPS_Result="Excluded"),(VRA_Result="Excluded"))</formula>
    </cfRule>
  </conditionalFormatting>
  <conditionalFormatting sqref="F126:F130">
    <cfRule type="expression" dxfId="907" priority="249">
      <formula>mgmt_domain_existing_vcf_operations_chosen="Selected"</formula>
    </cfRule>
    <cfRule type="notContainsBlanks" dxfId="905" priority="251">
      <formula>LEN(TRIM(F126))&gt;0</formula>
    </cfRule>
    <cfRule type="containsBlanks" dxfId="904" priority="252">
      <formula>LEN(TRIM(F126))=0</formula>
    </cfRule>
    <cfRule type="expression" dxfId="903" priority="253">
      <formula>(VROPS_Result="Excluded")</formula>
    </cfRule>
  </conditionalFormatting>
  <conditionalFormatting sqref="F136:F141">
    <cfRule type="expression" dxfId="900" priority="575">
      <formula>(VROPS_Result="Excluded")</formula>
    </cfRule>
    <cfRule type="expression" dxfId="895" priority="580">
      <formula>AND((VRLI_Result="Excluded"),(VROPS_Result="Excluded"),(VRA_Result="Excluded"))</formula>
    </cfRule>
  </conditionalFormatting>
  <conditionalFormatting sqref="F136:F144 C214:C224 C226:C233 L254:L262">
    <cfRule type="expression" dxfId="894" priority="229">
      <formula>mgmt_domain_existing_vcf_operations_chosen="Selected"</formula>
    </cfRule>
    <cfRule type="notContainsBlanks" dxfId="892" priority="231">
      <formula>LEN(TRIM(C136))&gt;0</formula>
    </cfRule>
    <cfRule type="containsBlanks" dxfId="891" priority="232">
      <formula>LEN(TRIM(C136))=0</formula>
    </cfRule>
  </conditionalFormatting>
  <conditionalFormatting sqref="F148:F150">
    <cfRule type="expression" dxfId="887" priority="902">
      <formula>AND((VRLI_Result="Excluded"),(VROPS_Result="Excluded"),(VRA_Result="Excluded"))</formula>
    </cfRule>
  </conditionalFormatting>
  <conditionalFormatting sqref="F148:F162">
    <cfRule type="expression" dxfId="882" priority="559">
      <formula>mgmt_domain_existing_vcf_operations_chosen="Selected"</formula>
    </cfRule>
    <cfRule type="notContainsBlanks" dxfId="880" priority="561">
      <formula>LEN(TRIM(F148))&gt;0</formula>
    </cfRule>
    <cfRule type="containsBlanks" dxfId="879" priority="562">
      <formula>LEN(TRIM(F148))=0</formula>
    </cfRule>
    <cfRule type="expression" dxfId="878" priority="563">
      <formula>(VROPS_Result="Excluded")</formula>
    </cfRule>
  </conditionalFormatting>
  <conditionalFormatting sqref="F151">
    <cfRule type="expression" dxfId="873" priority="568">
      <formula>AND((VRLI_Result="Excluded"),(VROPS_Result="Excluded"),(VRA_Result="Excluded"))</formula>
    </cfRule>
  </conditionalFormatting>
  <conditionalFormatting sqref="F152:F156">
    <cfRule type="expression" dxfId="870" priority="592">
      <formula>AND((VRLI_Result="Excluded"),(VROPS_Result="Excluded"),(VRA_Result="Excluded"))</formula>
    </cfRule>
  </conditionalFormatting>
  <conditionalFormatting sqref="F164:F196 C235:C242">
    <cfRule type="expression" dxfId="867" priority="221">
      <formula>mgmt_domain_existing_vcf_operations_chosen="Selected"</formula>
    </cfRule>
    <cfRule type="notContainsBlanks" dxfId="865" priority="223">
      <formula>LEN(TRIM(C164))&gt;0</formula>
    </cfRule>
    <cfRule type="containsBlanks" dxfId="864" priority="224">
      <formula>LEN(TRIM(C164))=0</formula>
    </cfRule>
  </conditionalFormatting>
  <conditionalFormatting sqref="F176:F196">
    <cfRule type="expression" dxfId="863" priority="201">
      <formula>(VROPS_Result="Excluded")</formula>
    </cfRule>
  </conditionalFormatting>
  <conditionalFormatting sqref="F195:F196">
    <cfRule type="expression" dxfId="858" priority="206">
      <formula>AND((VRLI_Result="Excluded"),(VROPS_Result="Excluded"),(VRA_Result="Excluded"))</formula>
    </cfRule>
  </conditionalFormatting>
  <conditionalFormatting sqref="F200:F217">
    <cfRule type="expression" dxfId="855" priority="25">
      <formula>mgmt_domain_existing_vcf_operations_chosen="Selected"</formula>
    </cfRule>
    <cfRule type="notContainsBlanks" dxfId="853" priority="27">
      <formula>LEN(TRIM(F200))&gt;0</formula>
    </cfRule>
    <cfRule type="containsBlanks" dxfId="852" priority="28">
      <formula>LEN(TRIM(F200))=0</formula>
    </cfRule>
  </conditionalFormatting>
  <conditionalFormatting sqref="F220:F237">
    <cfRule type="expression" dxfId="851" priority="17">
      <formula>mgmt_domain_existing_vcf_operations_chosen="Selected"</formula>
    </cfRule>
    <cfRule type="notContainsBlanks" dxfId="849" priority="19">
      <formula>LEN(TRIM(F220))&gt;0</formula>
    </cfRule>
    <cfRule type="containsBlanks" dxfId="848" priority="20">
      <formula>LEN(TRIM(F220))=0</formula>
    </cfRule>
  </conditionalFormatting>
  <conditionalFormatting sqref="F242:F272">
    <cfRule type="expression" dxfId="847" priority="1">
      <formula>mgmt_domain_existing_vcf_operations_chosen="Selected"</formula>
    </cfRule>
    <cfRule type="notContainsBlanks" dxfId="845" priority="3">
      <formula>LEN(TRIM(F242))&gt;0</formula>
    </cfRule>
    <cfRule type="containsBlanks" dxfId="844" priority="4">
      <formula>LEN(TRIM(F242))=0</formula>
    </cfRule>
  </conditionalFormatting>
  <conditionalFormatting sqref="F275:F282">
    <cfRule type="expression" dxfId="843" priority="9">
      <formula>mgmt_domain_existing_vcf_operations_chosen="Selected"</formula>
    </cfRule>
    <cfRule type="notContainsBlanks" dxfId="841" priority="11">
      <formula>LEN(TRIM(F275))&gt;0</formula>
    </cfRule>
    <cfRule type="containsBlanks" dxfId="840" priority="12">
      <formula>LEN(TRIM(F275))=0</formula>
    </cfRule>
  </conditionalFormatting>
  <conditionalFormatting sqref="I8:I10 I12:I15 I17:I25 I27:I35 I37:I45 I57:I73 C149:C171">
    <cfRule type="notContainsBlanks" dxfId="839" priority="534">
      <formula>LEN(TRIM(C8))&gt;0</formula>
    </cfRule>
    <cfRule type="containsBlanks" dxfId="838" priority="535">
      <formula>LEN(TRIM(C8))=0</formula>
    </cfRule>
  </conditionalFormatting>
  <conditionalFormatting sqref="I8:I10 I12:I15 I57:I73">
    <cfRule type="expression" dxfId="836" priority="532">
      <formula>mgmt_domain_existing_vcf_operations_chosen="Selected"</formula>
    </cfRule>
  </conditionalFormatting>
  <conditionalFormatting sqref="I17:I25 I27:I35 I37:I45">
    <cfRule type="expression" dxfId="835" priority="544">
      <formula>mgmt_domain_existing_vcf_operations_chosen="Selected"</formula>
    </cfRule>
    <cfRule type="notContainsBlanks" dxfId="833" priority="546">
      <formula>LEN(TRIM(I17))&gt;0</formula>
    </cfRule>
    <cfRule type="containsBlanks" dxfId="832" priority="547">
      <formula>LEN(TRIM(I17))=0</formula>
    </cfRule>
  </conditionalFormatting>
  <conditionalFormatting sqref="I47:I55">
    <cfRule type="expression" dxfId="831" priority="79">
      <formula>mgmt_domain_existing_vcf_operations_chosen="Selected"</formula>
    </cfRule>
    <cfRule type="notContainsBlanks" dxfId="829" priority="81">
      <formula>LEN(TRIM(I47))&gt;0</formula>
    </cfRule>
    <cfRule type="containsBlanks" dxfId="828" priority="82">
      <formula>LEN(TRIM(I47))=0</formula>
    </cfRule>
    <cfRule type="expression" dxfId="827" priority="83">
      <formula>mgmt_domain_existing_vcf_operations_chosen="Selected"</formula>
    </cfRule>
    <cfRule type="notContainsBlanks" dxfId="825" priority="85">
      <formula>LEN(TRIM(I47))&gt;0</formula>
    </cfRule>
    <cfRule type="containsBlanks" dxfId="824" priority="86">
      <formula>LEN(TRIM(I47))=0</formula>
    </cfRule>
  </conditionalFormatting>
  <conditionalFormatting sqref="I75:I124 C14:C33 I17:I25 I27:I35 I37:I45 C37:C52 C94:C99 C101:C106 C108:C113 C120:C126 I175:I194 L183:L224">
    <cfRule type="expression" dxfId="823" priority="459">
      <formula>mgmt_domain_existing_vcf_operations_chosen="Selected"</formula>
    </cfRule>
  </conditionalFormatting>
  <conditionalFormatting sqref="I126:I129 I131:I134 I136:I139 I104:I124">
    <cfRule type="expression" dxfId="822" priority="516">
      <formula>AND((VRLI_Result="Excluded"),(VROPS_Result="Excluded"),(VRA_Result="Excluded"))</formula>
    </cfRule>
  </conditionalFormatting>
  <conditionalFormatting sqref="I126:I129 I131:I134 I136:I139">
    <cfRule type="expression" dxfId="821" priority="508">
      <formula>mgmt_domain_existing_vcf_operations_chosen="Selected"</formula>
    </cfRule>
    <cfRule type="notContainsBlanks" dxfId="819" priority="510">
      <formula>LEN(TRIM(I126))&gt;0</formula>
    </cfRule>
    <cfRule type="containsBlanks" dxfId="818" priority="511">
      <formula>LEN(TRIM(I126))=0</formula>
    </cfRule>
    <cfRule type="expression" dxfId="817" priority="512">
      <formula>(VROPS_Result="Excluded")</formula>
    </cfRule>
  </conditionalFormatting>
  <conditionalFormatting sqref="I141:I144 I146:I149">
    <cfRule type="expression" dxfId="814" priority="496">
      <formula>mgmt_domain_existing_vcf_operations_chosen="Selected"</formula>
    </cfRule>
    <cfRule type="notContainsBlanks" dxfId="812" priority="498">
      <formula>LEN(TRIM(I141))&gt;0</formula>
    </cfRule>
    <cfRule type="containsBlanks" dxfId="811" priority="499">
      <formula>LEN(TRIM(I141))=0</formula>
    </cfRule>
    <cfRule type="expression" dxfId="810" priority="500">
      <formula>(VROPS_Result="Excluded")</formula>
    </cfRule>
    <cfRule type="expression" dxfId="807" priority="504">
      <formula>AND((VRLI_Result="Excluded"),(VROPS_Result="Excluded"),(VRA_Result="Excluded"))</formula>
    </cfRule>
  </conditionalFormatting>
  <conditionalFormatting sqref="I151:I152">
    <cfRule type="expression" dxfId="803" priority="472">
      <formula>mgmt_domain_existing_vcf_operations_chosen="Selected"</formula>
    </cfRule>
    <cfRule type="notContainsBlanks" dxfId="801" priority="474">
      <formula>LEN(TRIM(I151))&gt;0</formula>
    </cfRule>
    <cfRule type="containsBlanks" dxfId="800" priority="475">
      <formula>LEN(TRIM(I151))=0</formula>
    </cfRule>
    <cfRule type="expression" dxfId="799" priority="476">
      <formula>(VROPS_Result="Excluded")</formula>
    </cfRule>
    <cfRule type="expression" dxfId="796" priority="480">
      <formula>AND((VRLI_Result="Excluded"),(VROPS_Result="Excluded"),(VRA_Result="Excluded"))</formula>
    </cfRule>
  </conditionalFormatting>
  <conditionalFormatting sqref="I154:I157">
    <cfRule type="expression" dxfId="790" priority="468">
      <formula>AND((VRLI_Result="Excluded"),(VROPS_Result="Excluded"),(VRA_Result="Excluded"))</formula>
    </cfRule>
  </conditionalFormatting>
  <conditionalFormatting sqref="I154:I171">
    <cfRule type="expression" dxfId="788" priority="460">
      <formula>mgmt_domain_existing_vcf_operations_chosen="Selected"</formula>
    </cfRule>
    <cfRule type="notContainsBlanks" dxfId="786" priority="462">
      <formula>LEN(TRIM(I154))&gt;0</formula>
    </cfRule>
    <cfRule type="containsBlanks" dxfId="785" priority="463">
      <formula>LEN(TRIM(I154))=0</formula>
    </cfRule>
  </conditionalFormatting>
  <conditionalFormatting sqref="I158:I171">
    <cfRule type="expression" dxfId="783" priority="492">
      <formula>AND((VRLI_Result="Excluded"),(VROPS_Result="Excluded"),(VRA_Result="Excluded"))</formula>
    </cfRule>
  </conditionalFormatting>
  <conditionalFormatting sqref="I246:I253">
    <cfRule type="expression" dxfId="779" priority="71">
      <formula>mgmt_domain_existing_vcf_operations_chosen="Selected"</formula>
    </cfRule>
    <cfRule type="notContainsBlanks" dxfId="777" priority="73">
      <formula>LEN(TRIM(I246))&gt;0</formula>
    </cfRule>
    <cfRule type="containsBlanks" dxfId="776" priority="74">
      <formula>LEN(TRIM(I246))=0</formula>
    </cfRule>
  </conditionalFormatting>
  <conditionalFormatting sqref="I246:I309">
    <cfRule type="expression" dxfId="775" priority="75">
      <formula>mgmt_domain_existing_vcf_operations_chosen="Selected"</formula>
    </cfRule>
    <cfRule type="notContainsBlanks" dxfId="773" priority="77">
      <formula>LEN(TRIM(I246))&gt;0</formula>
    </cfRule>
    <cfRule type="containsBlanks" dxfId="772" priority="78">
      <formula>LEN(TRIM(I246))=0</formula>
    </cfRule>
  </conditionalFormatting>
  <conditionalFormatting sqref="L39">
    <cfRule type="expression" dxfId="768" priority="669">
      <formula>AND((VRLI_Result="Excluded"),(VROPS_Result="Excluded"),(VRA_Result="Excluded"))</formula>
    </cfRule>
  </conditionalFormatting>
  <conditionalFormatting sqref="L60:L62">
    <cfRule type="expression" dxfId="765" priority="5417">
      <formula>AND(VVD_Result="Excluded",ISBLANK(#REF!))</formula>
    </cfRule>
  </conditionalFormatting>
  <conditionalFormatting sqref="L66:L67">
    <cfRule type="expression" dxfId="762" priority="2745">
      <formula>AND(VVD_Result="Excluded",ISBLANK(#REF!))</formula>
    </cfRule>
  </conditionalFormatting>
  <conditionalFormatting sqref="L68">
    <cfRule type="expression" dxfId="759" priority="5402">
      <formula>AND(VVD_Result="Excluded",ISBLANK(#REF!))</formula>
    </cfRule>
  </conditionalFormatting>
  <conditionalFormatting sqref="L97:L98 L111:L122">
    <cfRule type="expression" dxfId="748" priority="1583">
      <formula>(VVD_Result="Excluded")</formula>
    </cfRule>
  </conditionalFormatting>
  <conditionalFormatting sqref="L100">
    <cfRule type="expression" dxfId="745" priority="2080">
      <formula>OR((VROPS_Result="Excluded"),(VRA_Result="Excluded"))</formula>
    </cfRule>
  </conditionalFormatting>
  <conditionalFormatting sqref="L101">
    <cfRule type="expression" dxfId="744" priority="2079">
      <formula>(VRLI_Result="Excluded")</formula>
    </cfRule>
  </conditionalFormatting>
  <conditionalFormatting sqref="L102">
    <cfRule type="expression" dxfId="743" priority="2078">
      <formula>OR((VRLI_Result="Excluded"),(VROPS_Result="Excluded"))</formula>
    </cfRule>
  </conditionalFormatting>
  <conditionalFormatting sqref="L107">
    <cfRule type="expression" dxfId="738" priority="2076">
      <formula>OR((VROPS_Result="Excluded"),(VRA_Result="Excluded"))</formula>
    </cfRule>
  </conditionalFormatting>
  <conditionalFormatting sqref="L126:L127">
    <cfRule type="expression" dxfId="736" priority="2327">
      <formula>(VVD_Result="Excluded")</formula>
    </cfRule>
  </conditionalFormatting>
  <conditionalFormatting sqref="L131:L132">
    <cfRule type="expression" dxfId="735" priority="2135">
      <formula>OR((VVD_Result="Excluded"),(tanzu_result="Excluded"))</formula>
    </cfRule>
  </conditionalFormatting>
  <conditionalFormatting sqref="L145:L151 L103:L106">
    <cfRule type="expression" dxfId="732" priority="2073">
      <formula>(VRA_Result="Excluded")</formula>
    </cfRule>
  </conditionalFormatting>
  <conditionalFormatting sqref="L164">
    <cfRule type="expression" dxfId="731" priority="1580">
      <formula>(VVD_Result="Excluded")</formula>
    </cfRule>
  </conditionalFormatting>
  <conditionalFormatting sqref="L167:L179">
    <cfRule type="expression" dxfId="727" priority="672">
      <formula>mgmt_domain_existing_vcf_operations_chosen="Selected"</formula>
    </cfRule>
  </conditionalFormatting>
  <conditionalFormatting sqref="L179">
    <cfRule type="expression" dxfId="725" priority="633">
      <formula>AND((VRLI_Result="Excluded"),(VROPS_Result="Excluded"),(VRA_Result="Excluded"))</formula>
    </cfRule>
  </conditionalFormatting>
  <conditionalFormatting sqref="L229">
    <cfRule type="expression" dxfId="724" priority="147">
      <formula>mgmt_domain_existing_vcf_operations_chosen="Selected"</formula>
    </cfRule>
    <cfRule type="notContainsBlanks" dxfId="722" priority="149">
      <formula>LEN(TRIM(L229))&gt;0</formula>
    </cfRule>
    <cfRule type="containsBlanks" dxfId="721" priority="150">
      <formula>LEN(TRIM(L229))=0</formula>
    </cfRule>
    <cfRule type="expression" dxfId="720" priority="151">
      <formula>(VROPS_Result="Excluded")</formula>
    </cfRule>
  </conditionalFormatting>
  <conditionalFormatting sqref="L234:L252">
    <cfRule type="expression" dxfId="718" priority="153">
      <formula>mgmt_domain_existing_vcf_operations_chosen="Selected"</formula>
    </cfRule>
    <cfRule type="notContainsBlanks" dxfId="716" priority="155">
      <formula>LEN(TRIM(L234))&gt;0</formula>
    </cfRule>
    <cfRule type="containsBlanks" dxfId="715" priority="156">
      <formula>LEN(TRIM(L234))=0</formula>
    </cfRule>
    <cfRule type="expression" dxfId="714" priority="157">
      <formula>(VROPS_Result="Excluded")</formula>
    </cfRule>
  </conditionalFormatting>
  <conditionalFormatting sqref="L269:L272">
    <cfRule type="expression" dxfId="712" priority="129">
      <formula>mgmt_domain_existing_vcf_operations_chosen="Selected"</formula>
    </cfRule>
    <cfRule type="notContainsBlanks" dxfId="710" priority="131">
      <formula>LEN(TRIM(L269))&gt;0</formula>
    </cfRule>
    <cfRule type="containsBlanks" dxfId="709" priority="132">
      <formula>LEN(TRIM(L269))=0</formula>
    </cfRule>
    <cfRule type="expression" dxfId="708" priority="133">
      <formula>(VROPS_Result="Excluded")</formula>
    </cfRule>
  </conditionalFormatting>
  <conditionalFormatting sqref="L274:L284">
    <cfRule type="expression" dxfId="706" priority="123">
      <formula>mgmt_domain_existing_vcf_operations_chosen="Selected"</formula>
    </cfRule>
    <cfRule type="notContainsBlanks" dxfId="704" priority="125">
      <formula>LEN(TRIM(L274))&gt;0</formula>
    </cfRule>
    <cfRule type="containsBlanks" dxfId="703" priority="126">
      <formula>LEN(TRIM(L274))=0</formula>
    </cfRule>
    <cfRule type="expression" dxfId="702" priority="127">
      <formula>(VROPS_Result="Excluded")</formula>
    </cfRule>
  </conditionalFormatting>
  <conditionalFormatting sqref="O8:O59">
    <cfRule type="expression" dxfId="700" priority="33">
      <formula>mgmt_domain_existing_vcf_operations_chosen="Selected"</formula>
    </cfRule>
    <cfRule type="notContainsBlanks" dxfId="698" priority="35">
      <formula>LEN(TRIM(O8))&gt;0</formula>
    </cfRule>
    <cfRule type="containsBlanks" dxfId="697" priority="36">
      <formula>LEN(TRIM(O8))=0</formula>
    </cfRule>
    <cfRule type="expression" dxfId="696" priority="37">
      <formula>(VROPS_Result="Excluded")</formula>
    </cfRule>
    <cfRule type="expression" dxfId="691" priority="42">
      <formula>AND((VRLI_Result="Excluded"),(VROPS_Result="Excluded"),(VRA_Result="Excluded"))</formula>
    </cfRule>
  </conditionalFormatting>
  <conditionalFormatting sqref="O92:O129 C94:C99 C101:C106 C108:C113 C120:C126 C130:C137 I175:I194 L183:L224 I198:I218 I220:I227 I229:I236 I238:I244 C14:C33 I75:I124">
    <cfRule type="notContainsBlanks" dxfId="688" priority="986">
      <formula>LEN(TRIM(C14))&gt;0</formula>
    </cfRule>
  </conditionalFormatting>
  <conditionalFormatting sqref="O92:O129 C130:C137 I198:I218 I220:I227 I229:I236 I238:I244">
    <cfRule type="expression" dxfId="686" priority="958">
      <formula>mgmt_domain_existing_vcf_operations_chosen="Selected"</formula>
    </cfRule>
  </conditionalFormatting>
  <conditionalFormatting sqref="Q97">
    <cfRule type="expression" dxfId="685" priority="1509">
      <formula>AND((VRLI_Result="Excluded"),(VROPS_Result="Excluded"),(VRA_Result="Excluded"))</formula>
    </cfRule>
  </conditionalFormatting>
  <conditionalFormatting sqref="Q104">
    <cfRule type="expression" dxfId="684" priority="1502">
      <formula>AND((VRLI_Result="Excluded"),(VROPS_Result="Excluded"),(VRA_Result="Excluded"))</formula>
    </cfRule>
  </conditionalFormatting>
  <conditionalFormatting sqref="Q110">
    <cfRule type="expression" dxfId="683" priority="1493">
      <formula>AND((VRLI_Result="Excluded"),(VROPS_Result="Excluded"),(VRA_Result="Excluded"))</formula>
    </cfRule>
  </conditionalFormatting>
  <conditionalFormatting sqref="Q115">
    <cfRule type="expression" dxfId="682" priority="1492">
      <formula>AND((VRLI_Result="Excluded"),(VROPS_Result="Excluded"),(VRA_Result="Excluded"))</formula>
    </cfRule>
  </conditionalFormatting>
  <conditionalFormatting sqref="Q120">
    <cfRule type="expression" dxfId="681" priority="1495">
      <formula>AND((VRLI_Result="Excluded"),(VROPS_Result="Excluded"),(VRA_Result="Excluded"))</formula>
    </cfRule>
  </conditionalFormatting>
  <conditionalFormatting sqref="Q125">
    <cfRule type="expression" dxfId="680" priority="1494">
      <formula>AND((VRLI_Result="Excluded"),(VROPS_Result="Excluded"),(VRA_Result="Excluded"))</formula>
    </cfRule>
  </conditionalFormatting>
  <conditionalFormatting sqref="R8 L152:L160 R16 R12 T6 K13">
    <cfRule type="expression" dxfId="679" priority="2027">
      <formula>AND((VRLI_Result="Excluded"),(VROPS_Result="Excluded"),(VRA_Result="Excluded"))</formula>
    </cfRule>
  </conditionalFormatting>
  <conditionalFormatting sqref="R8">
    <cfRule type="expression" dxfId="677" priority="1068">
      <formula>mgmt_domain_existing_vcf_operations_chosen="Selected"</formula>
    </cfRule>
    <cfRule type="notContainsBlanks" dxfId="675" priority="1070">
      <formula>LEN(TRIM(R8))&gt;0</formula>
    </cfRule>
    <cfRule type="containsBlanks" dxfId="674" priority="1071">
      <formula>LEN(TRIM(R8))=0</formula>
    </cfRule>
    <cfRule type="expression" dxfId="673" priority="1072">
      <formula>(VROPS_Result="Excluded")</formula>
    </cfRule>
  </conditionalFormatting>
  <conditionalFormatting sqref="R12">
    <cfRule type="expression" dxfId="669" priority="1042">
      <formula>mgmt_domain_existing_vcf_operations_chosen="Selected"</formula>
    </cfRule>
    <cfRule type="notContainsBlanks" dxfId="667" priority="1044">
      <formula>LEN(TRIM(R12))&gt;0</formula>
    </cfRule>
    <cfRule type="containsBlanks" dxfId="666" priority="1045">
      <formula>LEN(TRIM(R12))=0</formula>
    </cfRule>
    <cfRule type="expression" dxfId="665" priority="1046">
      <formula>(VROPS_Result="Excluded")</formula>
    </cfRule>
  </conditionalFormatting>
  <conditionalFormatting sqref="R16">
    <cfRule type="expression" dxfId="656" priority="1056">
      <formula>mgmt_domain_existing_vcf_operations_chosen="Selected"</formula>
    </cfRule>
    <cfRule type="notContainsBlanks" dxfId="654" priority="1058">
      <formula>LEN(TRIM(R16))&gt;0</formula>
    </cfRule>
    <cfRule type="containsBlanks" dxfId="653" priority="1059">
      <formula>LEN(TRIM(R16))=0</formula>
    </cfRule>
    <cfRule type="expression" dxfId="652" priority="1060">
      <formula>(VROPS_Result="Excluded")</formula>
    </cfRule>
  </conditionalFormatting>
  <conditionalFormatting sqref="R34:R41">
    <cfRule type="expression" dxfId="637" priority="1027">
      <formula>mgmt_domain_existing_vcf_operations_chosen="Selected"</formula>
    </cfRule>
    <cfRule type="notContainsBlanks" dxfId="635" priority="1029">
      <formula>LEN(TRIM(R34))&gt;0</formula>
    </cfRule>
    <cfRule type="containsBlanks" dxfId="634" priority="1030">
      <formula>LEN(TRIM(R34))=0</formula>
    </cfRule>
    <cfRule type="expression" dxfId="633" priority="1031">
      <formula>(VROPS_Result="Excluded")</formula>
    </cfRule>
    <cfRule type="expression" dxfId="624" priority="1041">
      <formula>AND((VRLI_Result="Excluded"),(VROPS_Result="Excluded"),(VRA_Result="Excluded"))</formula>
    </cfRule>
  </conditionalFormatting>
  <conditionalFormatting sqref="R45">
    <cfRule type="expression" dxfId="623" priority="1012">
      <formula>mgmt_domain_existing_vcf_operations_chosen="Selected"</formula>
    </cfRule>
    <cfRule type="notContainsBlanks" dxfId="621" priority="1014">
      <formula>LEN(TRIM(R45))&gt;0</formula>
    </cfRule>
    <cfRule type="containsBlanks" dxfId="620" priority="1015">
      <formula>LEN(TRIM(R45))=0</formula>
    </cfRule>
    <cfRule type="expression" dxfId="619" priority="1016">
      <formula>(VROPS_Result="Excluded")</formula>
    </cfRule>
    <cfRule type="expression" dxfId="610" priority="1026">
      <formula>AND((VRLI_Result="Excluded"),(VROPS_Result="Excluded"),(VRA_Result="Excluded"))</formula>
    </cfRule>
  </conditionalFormatting>
  <conditionalFormatting sqref="R49:R50">
    <cfRule type="expression" dxfId="609" priority="997">
      <formula>mgmt_domain_existing_vcf_operations_chosen="Selected"</formula>
    </cfRule>
    <cfRule type="notContainsBlanks" dxfId="607" priority="999">
      <formula>LEN(TRIM(R49))&gt;0</formula>
    </cfRule>
    <cfRule type="containsBlanks" dxfId="606" priority="1000">
      <formula>LEN(TRIM(R49))=0</formula>
    </cfRule>
    <cfRule type="expression" dxfId="605" priority="1001">
      <formula>(VROPS_Result="Excluded")</formula>
    </cfRule>
    <cfRule type="expression" dxfId="596" priority="1011">
      <formula>AND((VRLI_Result="Excluded"),(VROPS_Result="Excluded"),(VRA_Result="Excluded"))</formula>
    </cfRule>
  </conditionalFormatting>
  <conditionalFormatting sqref="R54:R57">
    <cfRule type="expression" dxfId="594" priority="2104">
      <formula>(VRLI_Result="Excluded")</formula>
    </cfRule>
  </conditionalFormatting>
  <conditionalFormatting sqref="R61:R64">
    <cfRule type="expression" dxfId="592" priority="2116">
      <formula>(VRLI_Result="Excluded")</formula>
    </cfRule>
  </conditionalFormatting>
  <conditionalFormatting sqref="R68:R71">
    <cfRule type="expression" dxfId="591" priority="2090">
      <formula>(VRLI_Result="Excluded")</formula>
    </cfRule>
  </conditionalFormatting>
  <conditionalFormatting sqref="R83:R86 L99">
    <cfRule type="expression" dxfId="589" priority="2117">
      <formula>(VROPS_Result="Excluded")</formula>
    </cfRule>
  </conditionalFormatting>
  <conditionalFormatting sqref="R83:R87">
    <cfRule type="expression" dxfId="587" priority="1080">
      <formula>mgmt_domain_existing_vcf_operations_chosen="Selected"</formula>
    </cfRule>
    <cfRule type="notContainsBlanks" dxfId="585" priority="1082">
      <formula>LEN(TRIM(R83))&gt;0</formula>
    </cfRule>
    <cfRule type="containsBlanks" dxfId="584" priority="1083">
      <formula>LEN(TRIM(R83))=0</formula>
    </cfRule>
  </conditionalFormatting>
  <conditionalFormatting sqref="R91:R95">
    <cfRule type="expression" dxfId="583" priority="1076">
      <formula>mgmt_domain_existing_vcf_operations_chosen="Selected"</formula>
    </cfRule>
    <cfRule type="notContainsBlanks" dxfId="581" priority="1078">
      <formula>LEN(TRIM(R91))&gt;0</formula>
    </cfRule>
    <cfRule type="containsBlanks" dxfId="580" priority="1079">
      <formula>LEN(TRIM(R91))=0</formula>
    </cfRule>
  </conditionalFormatting>
  <conditionalFormatting sqref="R132:R133">
    <cfRule type="expression" dxfId="569" priority="1191">
      <formula>(VROPS_Result="Excluded")</formula>
    </cfRule>
  </conditionalFormatting>
  <conditionalFormatting sqref="R137:R138">
    <cfRule type="expression" dxfId="564" priority="1196">
      <formula>(VRLI_Result="Excluded")</formula>
    </cfRule>
  </conditionalFormatting>
  <conditionalFormatting sqref="T38">
    <cfRule type="expression" dxfId="559" priority="1105">
      <formula>AND((VRLI_Result="Excluded"),(VROPS_Result="Excluded"),(VRA_Result="Excluded"))</formula>
    </cfRule>
  </conditionalFormatting>
  <conditionalFormatting sqref="T46">
    <cfRule type="expression" dxfId="558" priority="1481">
      <formula>AND((VRLI_Result="Excluded"),(VROPS_Result="Excluded"),(VRA_Result="Excluded"))</formula>
    </cfRule>
  </conditionalFormatting>
  <conditionalFormatting sqref="T121">
    <cfRule type="expression" dxfId="557" priority="1212">
      <formula>AND((VRLI_Result="Excluded"),(VROPS_Result="Excluded"),(VRA_Result="Excluded"))</formula>
    </cfRule>
  </conditionalFormatting>
  <conditionalFormatting sqref="T151">
    <cfRule type="expression" dxfId="556" priority="1275">
      <formula>AND((VRLI_Result="Excluded"),(VROPS_Result="Excluded"),(VRA_Result="Excluded"))</formula>
    </cfRule>
  </conditionalFormatting>
  <conditionalFormatting sqref="T186">
    <cfRule type="expression" dxfId="555" priority="116">
      <formula>AND((VRLI_Result="Excluded"),(VROPS_Result="Excluded"),(VRA_Result="Excluded"))</formula>
    </cfRule>
  </conditionalFormatting>
  <conditionalFormatting sqref="T58:U58">
    <cfRule type="expression" dxfId="554" priority="1517">
      <formula>AND((VRLI_Result="Excluded"),(VROPS_Result="Excluded"),(VRA_Result="Excluded"))</formula>
    </cfRule>
  </conditionalFormatting>
  <conditionalFormatting sqref="T97:U97">
    <cfRule type="expression" dxfId="553" priority="1513">
      <formula>AND((VRLI_Result="Excluded"),(VROPS_Result="Excluded"),(VRA_Result="Excluded"))</formula>
    </cfRule>
  </conditionalFormatting>
  <conditionalFormatting sqref="U48:U56">
    <cfRule type="expression" dxfId="548" priority="1478">
      <formula>(VROPS_Result="Excluded")</formula>
    </cfRule>
  </conditionalFormatting>
  <conditionalFormatting sqref="U51:U56">
    <cfRule type="expression" dxfId="545" priority="1378">
      <formula>(VROPS_Result="Excluded")</formula>
    </cfRule>
  </conditionalFormatting>
  <conditionalFormatting sqref="U60">
    <cfRule type="expression" dxfId="542" priority="1423">
      <formula>(VROPS_Result="Excluded")</formula>
    </cfRule>
  </conditionalFormatting>
  <conditionalFormatting sqref="U60:U94 U99:U118 R75:R79">
    <cfRule type="expression" dxfId="539" priority="2105">
      <formula>(VROPS_Result="Excluded")</formula>
    </cfRule>
  </conditionalFormatting>
  <conditionalFormatting sqref="U67:U68">
    <cfRule type="expression" dxfId="536" priority="1467">
      <formula>(VROPS_Result="Excluded")</formula>
    </cfRule>
  </conditionalFormatting>
  <conditionalFormatting sqref="U75">
    <cfRule type="expression" dxfId="535" priority="1464">
      <formula>(VROPS_Result="Excluded")</formula>
    </cfRule>
  </conditionalFormatting>
  <conditionalFormatting sqref="U76 L139:L141">
    <cfRule type="expression" dxfId="532" priority="2043">
      <formula>(VROPS_Result="Excluded")</formula>
    </cfRule>
  </conditionalFormatting>
  <conditionalFormatting sqref="U87:U95">
    <cfRule type="expression" dxfId="529" priority="1431">
      <formula>(VROPS_Result="Excluded")</formula>
    </cfRule>
  </conditionalFormatting>
  <conditionalFormatting sqref="U187:U207">
    <cfRule type="expression" dxfId="523" priority="225">
      <formula>mgmt_domain_existing_vcf_operations_chosen="Selected"</formula>
    </cfRule>
    <cfRule type="notContainsBlanks" dxfId="521" priority="227">
      <formula>LEN(TRIM(U187))&gt;0</formula>
    </cfRule>
    <cfRule type="containsBlanks" dxfId="520" priority="228">
      <formula>LEN(TRIM(U187))=0</formula>
    </cfRule>
  </conditionalFormatting>
  <conditionalFormatting sqref="U208">
    <cfRule type="expression" dxfId="519" priority="93">
      <formula>mgmt_vns_result="Excluded"</formula>
    </cfRule>
    <cfRule type="expression" dxfId="518" priority="94">
      <formula>mgmt_tier0_skip_chosen="Selected"</formula>
    </cfRule>
    <cfRule type="notContainsBlanks" dxfId="516" priority="96">
      <formula>LEN(TRIM(U208))&gt;0</formula>
    </cfRule>
    <cfRule type="containsBlanks" dxfId="515" priority="97">
      <formula>LEN(TRIM(U208))=0</formula>
    </cfRule>
  </conditionalFormatting>
  <conditionalFormatting sqref="AA48:AA60 L133:L138">
    <cfRule type="expression" dxfId="487" priority="2049">
      <formula>AND((VRLI_Result="Excluded"),(VROPS_Result="Excluded"),(VRA_Result="Excluded"))</formula>
    </cfRule>
  </conditionalFormatting>
  <conditionalFormatting sqref="AA61">
    <cfRule type="expression" dxfId="484" priority="1084">
      <formula>(mgmt_consolidated_chosen="Exclude")</formula>
    </cfRule>
    <cfRule type="expression" dxfId="483" priority="1085">
      <formula>(mgmt_consolidated_chosen="Include")</formula>
    </cfRule>
  </conditionalFormatting>
  <dataValidations disablePrompts="1" count="3">
    <dataValidation type="list" allowBlank="1" showInputMessage="1" showErrorMessage="1" sqref="F7" xr:uid="{194CA598-9407-7142-8497-35512093F2E4}">
      <formula1>"1,2,3"</formula1>
    </dataValidation>
    <dataValidation type="list" allowBlank="1" showInputMessage="1" showErrorMessage="1" sqref="I8" xr:uid="{D2200846-EA42-B04B-A4CE-965659BACEF2}">
      <formula1>"Workload Domain, MGMT Workload Domain"</formula1>
    </dataValidation>
    <dataValidation type="list" allowBlank="1" showInputMessage="1" showErrorMessage="1" sqref="E10" xr:uid="{C69FA742-5038-9D45-BD6D-BB0D8DB6294F}">
      <formula1>"Include,Exclude"</formula1>
    </dataValidation>
  </dataValidations>
  <hyperlinks>
    <hyperlink ref="O52" r:id="rId1" xr:uid="{00000000-0004-0000-0B00-000000000000}"/>
    <hyperlink ref="O53" r:id="rId2" display="mailto:administrator@vsphere.local" xr:uid="{00000000-0004-0000-0B00-000001000000}"/>
    <hyperlink ref="L97" r:id="rId3" xr:uid="{00000000-0004-0000-0B00-000002000000}"/>
    <hyperlink ref="L98" r:id="rId4" xr:uid="{00000000-0004-0000-0B00-000003000000}"/>
  </hyperlinks>
  <pageMargins left="0.7" right="0.7" top="0.75" bottom="0.75" header="0.3" footer="0.3"/>
  <pageSetup paperSize="9" orientation="portrait" horizontalDpi="0" verticalDpi="0"/>
  <drawing r:id="rId5"/>
  <extLst>
    <ext xmlns:x14="http://schemas.microsoft.com/office/spreadsheetml/2009/9/main" uri="{78C0D931-6437-407d-A8EE-F0AAD7539E65}">
      <x14:conditionalFormattings>
        <x14:conditionalFormatting xmlns:xm="http://schemas.microsoft.com/office/excel/2006/main">
          <x14:cfRule type="notContainsText" priority="453" operator="notContains" id="{F0B3571E-5508-6A4B-BD78-633DFB98A3FE}">
            <xm:f>ISERROR(SEARCH("Value Missing",C7))</xm:f>
            <xm:f>"Value Missing"</xm:f>
            <x14:dxf>
              <font>
                <color rgb="FF006100"/>
              </font>
              <fill>
                <patternFill>
                  <bgColor rgb="FFC6EFCE"/>
                </patternFill>
              </fill>
            </x14:dxf>
          </x14:cfRule>
          <xm:sqref>C7:C10 L39:L40 F176:F194 U8:U36 AA9:AA15 AA19:AA43 I104:I124</xm:sqref>
        </x14:conditionalFormatting>
        <x14:conditionalFormatting xmlns:xm="http://schemas.microsoft.com/office/excel/2006/main">
          <x14:cfRule type="containsText" priority="449" stopIfTrue="1" operator="containsText" id="{EB336388-A87C-EF47-B38F-189FF961830B}">
            <xm:f>NOT(ISERROR(SEARCH("Value Missing",C7)))</xm:f>
            <xm:f>"Value Missing"</xm:f>
            <x14:dxf>
              <font>
                <color rgb="FF0E223A"/>
              </font>
              <fill>
                <patternFill>
                  <bgColor rgb="FFFFBE29"/>
                </patternFill>
              </fill>
            </x14:dxf>
          </x14:cfRule>
          <xm:sqref>C7:C10 L39:L40</xm:sqref>
        </x14:conditionalFormatting>
        <x14:conditionalFormatting xmlns:xm="http://schemas.microsoft.com/office/excel/2006/main">
          <x14:cfRule type="containsText" priority="990" operator="containsText" id="{E524FA7C-CED1-8647-A6E3-8D506528CA50}">
            <xm:f>NOT(ISERROR(SEARCH("Value Missing",C13)))</xm:f>
            <xm:f>"Value Missing"</xm:f>
            <x14:dxf>
              <font>
                <color rgb="FF9C0006"/>
              </font>
              <fill>
                <patternFill>
                  <bgColor rgb="FFFFC7CE"/>
                </patternFill>
              </fill>
            </x14:dxf>
          </x14:cfRule>
          <xm:sqref>C14:C33 C94:C99 C101:C106 C108:C113 C120:C126 I175:I194 AA13:AA15 AA19:AA43 R20:R21 O63:O89</xm:sqref>
        </x14:conditionalFormatting>
        <x14:conditionalFormatting xmlns:xm="http://schemas.microsoft.com/office/excel/2006/main">
          <x14:cfRule type="containsText" priority="979" operator="containsText" id="{C2571DBD-159C-7242-A4C7-BD315C1D589C}">
            <xm:f>NOT(ISERROR(SEARCH("Value Missing",C37)))</xm:f>
            <xm:f>"Value Missing"</xm:f>
            <x14:dxf>
              <font>
                <color rgb="FF9C0006"/>
              </font>
              <fill>
                <patternFill>
                  <bgColor rgb="FFFFC7CE"/>
                </patternFill>
              </fill>
            </x14:dxf>
          </x14:cfRule>
          <x14:cfRule type="notContainsText" priority="981" operator="notContains" id="{FB0FF2DD-F9F9-A34A-AB81-FC659E87B849}">
            <xm:f>ISERROR(SEARCH("Value Missing",C37))</xm:f>
            <xm:f>"Value Missing"</xm:f>
            <x14:dxf>
              <font>
                <color rgb="FF006100"/>
              </font>
              <fill>
                <patternFill>
                  <bgColor rgb="FFC6EFCE"/>
                </patternFill>
              </fill>
            </x14:dxf>
          </x14:cfRule>
          <x14:cfRule type="containsText" priority="983" operator="containsText" id="{9AD82AD7-2B5B-5946-9059-AD5CD2572680}">
            <xm:f>NOT(ISERROR(SEARCH("Value Missing",C37)))</xm:f>
            <xm:f>"Value Missing"</xm:f>
            <x14:dxf>
              <font>
                <color rgb="FF9C0006"/>
              </font>
              <fill>
                <patternFill>
                  <bgColor rgb="FFFFC7CE"/>
                </patternFill>
              </fill>
            </x14:dxf>
          </x14:cfRule>
          <xm:sqref>C37:C48 C83:C87</xm:sqref>
        </x14:conditionalFormatting>
        <x14:conditionalFormatting xmlns:xm="http://schemas.microsoft.com/office/excel/2006/main">
          <x14:cfRule type="notContainsText" priority="682" operator="notContains" id="{3F626B30-2739-4949-A2CF-049038D959E0}">
            <xm:f>ISERROR(SEARCH("Value Missing",C37))</xm:f>
            <xm:f>"Value Missing"</xm:f>
            <x14:dxf>
              <font>
                <color rgb="FF006100"/>
              </font>
              <fill>
                <patternFill>
                  <bgColor rgb="FFC6EFCE"/>
                </patternFill>
              </fill>
            </x14:dxf>
          </x14:cfRule>
          <x14:cfRule type="containsText" priority="683" operator="containsText" id="{45654649-EFE1-A540-A197-6FEA8676699E}">
            <xm:f>NOT(ISERROR(SEARCH("Value Missing",C37)))</xm:f>
            <xm:f>"Value Missing"</xm:f>
            <x14:dxf>
              <font>
                <color rgb="FF9C0006"/>
              </font>
              <fill>
                <patternFill>
                  <bgColor rgb="FFFFC7CE"/>
                </patternFill>
              </fill>
            </x14:dxf>
          </x14:cfRule>
          <xm:sqref>C37:C52 L167:L179</xm:sqref>
        </x14:conditionalFormatting>
        <x14:conditionalFormatting xmlns:xm="http://schemas.microsoft.com/office/excel/2006/main">
          <x14:cfRule type="notContainsText" priority="963" operator="notContains" id="{3581BA2D-7B69-0C48-A599-4BACB18667C5}">
            <xm:f>ISERROR(SEARCH("Value Missing",C56))</xm:f>
            <xm:f>"Value Missing"</xm:f>
            <x14:dxf>
              <font>
                <color rgb="FF006100"/>
              </font>
              <fill>
                <patternFill>
                  <bgColor rgb="FFC6EFCE"/>
                </patternFill>
              </fill>
            </x14:dxf>
          </x14:cfRule>
          <x14:cfRule type="containsText" priority="964" operator="containsText" id="{926AAFEA-7FCA-994D-B946-53CE66D75EFD}">
            <xm:f>NOT(ISERROR(SEARCH("Value Missing",C56)))</xm:f>
            <xm:f>"Value Missing"</xm:f>
            <x14:dxf>
              <font>
                <color rgb="FF9C0006"/>
              </font>
              <fill>
                <patternFill>
                  <bgColor rgb="FFFFC7CE"/>
                </patternFill>
              </fill>
            </x14:dxf>
          </x14:cfRule>
          <x14:cfRule type="notContainsText" priority="965" operator="notContains" id="{C84BFA51-58E0-9842-8EDB-A1FA0B87770F}">
            <xm:f>ISERROR(SEARCH("Value Missing",C56))</xm:f>
            <xm:f>"Value Missing"</xm:f>
            <x14:dxf>
              <font>
                <color rgb="FF006100"/>
              </font>
              <fill>
                <patternFill>
                  <bgColor rgb="FFC6EFCE"/>
                </patternFill>
              </fill>
            </x14:dxf>
          </x14:cfRule>
          <x14:cfRule type="containsText" priority="966" operator="containsText" id="{99C03F4F-E090-9340-907F-EB88FA064F18}">
            <xm:f>NOT(ISERROR(SEARCH("Value Missing",C56)))</xm:f>
            <xm:f>"Value Missing"</xm:f>
            <x14:dxf>
              <font>
                <color rgb="FF9C0006"/>
              </font>
              <fill>
                <patternFill>
                  <bgColor rgb="FFFFC7CE"/>
                </patternFill>
              </fill>
            </x14:dxf>
          </x14:cfRule>
          <x14:cfRule type="notContainsText" priority="968" operator="notContains" id="{C4A54089-21F1-F844-BD66-E123ED304FD5}">
            <xm:f>ISERROR(SEARCH("Value Missing",C56))</xm:f>
            <xm:f>"Value Missing"</xm:f>
            <x14:dxf>
              <font>
                <color rgb="FF006100"/>
              </font>
              <fill>
                <patternFill>
                  <bgColor rgb="FFC6EFCE"/>
                </patternFill>
              </fill>
            </x14:dxf>
          </x14:cfRule>
          <x14:cfRule type="containsText" priority="970" operator="containsText" id="{7C98D947-6B64-4342-9332-B90A2434D9B7}">
            <xm:f>NOT(ISERROR(SEARCH("Value Missing",C56)))</xm:f>
            <xm:f>"Value Missing"</xm:f>
            <x14:dxf>
              <font>
                <color rgb="FF9C0006"/>
              </font>
              <fill>
                <patternFill>
                  <bgColor rgb="FFFFC7CE"/>
                </patternFill>
              </fill>
            </x14:dxf>
          </x14:cfRule>
          <xm:sqref>C56:C70 C140:C145</xm:sqref>
        </x14:conditionalFormatting>
        <x14:conditionalFormatting xmlns:xm="http://schemas.microsoft.com/office/excel/2006/main">
          <x14:cfRule type="containsText" priority="49" operator="containsText" id="{22BA53F0-C4C1-D843-8F0B-FFE4F1919DA3}">
            <xm:f>NOT(ISERROR(SEARCH("Value Missing",C71)))</xm:f>
            <xm:f>"Value Missing"</xm:f>
            <x14:dxf>
              <font>
                <color rgb="FF0E223A"/>
              </font>
              <fill>
                <patternFill>
                  <bgColor rgb="FFFFBE29"/>
                </patternFill>
              </fill>
            </x14:dxf>
          </x14:cfRule>
          <xm:sqref>C71:C73</xm:sqref>
        </x14:conditionalFormatting>
        <x14:conditionalFormatting xmlns:xm="http://schemas.microsoft.com/office/excel/2006/main">
          <x14:cfRule type="containsText" priority="918" stopIfTrue="1" operator="containsText" id="{AAD07D4C-68E8-0F44-BD3F-FF0FA10F7866}">
            <xm:f>NOT(ISERROR(SEARCH("Value Missing",C78)))</xm:f>
            <xm:f>"Value Missing"</xm:f>
            <x14:dxf>
              <font>
                <color rgb="FF0E223A"/>
              </font>
              <fill>
                <patternFill>
                  <bgColor rgb="FFFFBE29"/>
                </patternFill>
              </fill>
            </x14:dxf>
          </x14:cfRule>
          <xm:sqref>C78:C79 C205:C212 C245:C260 L288:L328</xm:sqref>
        </x14:conditionalFormatting>
        <x14:conditionalFormatting xmlns:xm="http://schemas.microsoft.com/office/excel/2006/main">
          <x14:cfRule type="containsText" priority="928" operator="containsText" id="{D97B9514-B4D5-004D-9C54-BB724F4063D6}">
            <xm:f>NOT(ISERROR(SEARCH("Value Missing",C78)))</xm:f>
            <xm:f>"Value Missing"</xm:f>
            <x14:dxf>
              <font>
                <color rgb="FF9C0006"/>
              </font>
              <fill>
                <patternFill>
                  <bgColor rgb="FFFFC7CE"/>
                </patternFill>
              </fill>
            </x14:dxf>
          </x14:cfRule>
          <xm:sqref>C78:C79 F129:F130 C200:C201 F176:F194</xm:sqref>
        </x14:conditionalFormatting>
        <x14:conditionalFormatting xmlns:xm="http://schemas.microsoft.com/office/excel/2006/main">
          <x14:cfRule type="notContainsText" priority="927" operator="notContains" id="{79AFC560-D2D4-A14E-A8FC-EED793E3FE0A}">
            <xm:f>ISERROR(SEARCH("Value Missing",C78))</xm:f>
            <xm:f>"Value Missing"</xm:f>
            <x14:dxf>
              <font>
                <color rgb="FF006100"/>
              </font>
              <fill>
                <patternFill>
                  <bgColor rgb="FFC6EFCE"/>
                </patternFill>
              </fill>
            </x14:dxf>
          </x14:cfRule>
          <xm:sqref>C78:C79 F129:F130 C200:C201</xm:sqref>
        </x14:conditionalFormatting>
        <x14:conditionalFormatting xmlns:xm="http://schemas.microsoft.com/office/excel/2006/main">
          <x14:cfRule type="notContainsText" priority="924" operator="notContains" id="{B90AA90A-F22C-9142-B488-C285EDBC0C8D}">
            <xm:f>ISERROR(SEARCH("Value Missing",C78))</xm:f>
            <xm:f>"Value Missing"</xm:f>
            <x14:dxf>
              <font>
                <color rgb="FF006100"/>
              </font>
              <fill>
                <patternFill>
                  <bgColor rgb="FFC6EFCE"/>
                </patternFill>
              </fill>
            </x14:dxf>
          </x14:cfRule>
          <x14:cfRule type="containsText" priority="925" operator="containsText" id="{42430647-ECE9-7145-89A7-D69739395044}">
            <xm:f>NOT(ISERROR(SEARCH("Value Missing",C78)))</xm:f>
            <xm:f>"Value Missing"</xm:f>
            <x14:dxf>
              <font>
                <color rgb="FF9C0006"/>
              </font>
              <fill>
                <patternFill>
                  <bgColor rgb="FFFFC7CE"/>
                </patternFill>
              </fill>
            </x14:dxf>
          </x14:cfRule>
          <xm:sqref>C78:C79 F129:F130</xm:sqref>
        </x14:conditionalFormatting>
        <x14:conditionalFormatting xmlns:xm="http://schemas.microsoft.com/office/excel/2006/main">
          <x14:cfRule type="notContainsText" priority="978" operator="notContains" id="{AEC38A09-2177-5941-B78F-6304A9E73AAD}">
            <xm:f>ISERROR(SEARCH("Value Missing",C37))</xm:f>
            <xm:f>"Value Missing"</xm:f>
            <x14:dxf>
              <font>
                <color rgb="FF006100"/>
              </font>
              <fill>
                <patternFill>
                  <bgColor rgb="FFC6EFCE"/>
                </patternFill>
              </fill>
            </x14:dxf>
          </x14:cfRule>
          <xm:sqref>C83:C87 C37:C48</xm:sqref>
        </x14:conditionalFormatting>
        <x14:conditionalFormatting xmlns:xm="http://schemas.microsoft.com/office/excel/2006/main">
          <x14:cfRule type="containsText" priority="781" stopIfTrue="1" operator="containsText" id="{0E05923D-6B83-244F-BFB2-4896DDCFF4ED}">
            <xm:f>NOT(ISERROR(SEARCH("Value Missing",C83)))</xm:f>
            <xm:f>"Value Missing"</xm:f>
            <x14:dxf>
              <font>
                <color rgb="FF0E223A"/>
              </font>
              <fill>
                <patternFill>
                  <bgColor rgb="FFFFBE29"/>
                </patternFill>
              </fill>
            </x14:dxf>
          </x14:cfRule>
          <x14:cfRule type="notContainsText" priority="790" operator="notContains" id="{7105B604-3591-9E4D-B0C5-52282E4EBF37}">
            <xm:f>ISERROR(SEARCH("Value Missing",C83))</xm:f>
            <xm:f>"Value Missing"</xm:f>
            <x14:dxf>
              <font>
                <color rgb="FF006100"/>
              </font>
              <fill>
                <patternFill>
                  <bgColor rgb="FFC6EFCE"/>
                </patternFill>
              </fill>
            </x14:dxf>
          </x14:cfRule>
          <x14:cfRule type="containsText" priority="791" operator="containsText" id="{A8E1A3D0-401E-5A41-8700-6960D5A1FC10}">
            <xm:f>NOT(ISERROR(SEARCH("Value Missing",C83)))</xm:f>
            <xm:f>"Value Missing"</xm:f>
            <x14:dxf>
              <font>
                <color rgb="FF9C0006"/>
              </font>
              <fill>
                <patternFill>
                  <bgColor rgb="FFFFC7CE"/>
                </patternFill>
              </fill>
            </x14:dxf>
          </x14:cfRule>
          <xm:sqref>C83:C88</xm:sqref>
        </x14:conditionalFormatting>
        <x14:conditionalFormatting xmlns:xm="http://schemas.microsoft.com/office/excel/2006/main">
          <x14:cfRule type="notContainsText" priority="763" operator="notContains" id="{4EB59D7F-93B0-8646-91E7-0FBB95F1117B}">
            <xm:f>ISERROR(SEARCH("Value Missing",C80))</xm:f>
            <xm:f>"Value Missing"</xm:f>
            <x14:dxf>
              <font>
                <color rgb="FF006100"/>
              </font>
              <fill>
                <patternFill>
                  <bgColor rgb="FFC6EFCE"/>
                </patternFill>
              </fill>
            </x14:dxf>
          </x14:cfRule>
          <xm:sqref>C92 F100:F106 C116 F80 F88 F96</xm:sqref>
        </x14:conditionalFormatting>
        <x14:conditionalFormatting xmlns:xm="http://schemas.microsoft.com/office/excel/2006/main">
          <x14:cfRule type="containsText" priority="757" stopIfTrue="1" operator="containsText" id="{570B5BAF-613F-754C-B95A-DADE1FA8278E}">
            <xm:f>NOT(ISERROR(SEARCH("Value Missing",C92)))</xm:f>
            <xm:f>"Value Missing"</xm:f>
            <x14:dxf>
              <font>
                <color rgb="FF0E223A"/>
              </font>
              <fill>
                <patternFill>
                  <bgColor rgb="FFFFBE29"/>
                </patternFill>
              </fill>
            </x14:dxf>
          </x14:cfRule>
          <x14:cfRule type="notContainsText" priority="761" operator="notContains" id="{59CD631A-2E73-2148-8332-6717E5A6BCCF}">
            <xm:f>ISERROR(SEARCH("Value Missing",C92))</xm:f>
            <xm:f>"Value Missing"</xm:f>
            <x14:dxf>
              <font>
                <color rgb="FF006100"/>
              </font>
              <fill>
                <patternFill>
                  <bgColor rgb="FFC6EFCE"/>
                </patternFill>
              </fill>
            </x14:dxf>
          </x14:cfRule>
          <x14:cfRule type="containsText" priority="762" operator="containsText" id="{1E36EB2C-4AB3-8045-9B05-501F426AB83A}">
            <xm:f>NOT(ISERROR(SEARCH("Value Missing",C92)))</xm:f>
            <xm:f>"Value Missing"</xm:f>
            <x14:dxf>
              <font>
                <color rgb="FF9C0006"/>
              </font>
              <fill>
                <patternFill>
                  <bgColor rgb="FFFFC7CE"/>
                </patternFill>
              </fill>
            </x14:dxf>
          </x14:cfRule>
          <xm:sqref>C92 F100:F106 C116</xm:sqref>
        </x14:conditionalFormatting>
        <x14:conditionalFormatting xmlns:xm="http://schemas.microsoft.com/office/excel/2006/main">
          <x14:cfRule type="containsText" priority="959" stopIfTrue="1" operator="containsText" id="{196DA387-4BB6-CF4F-B80D-AD3FB0D0A3B0}">
            <xm:f>NOT(ISERROR(SEARCH("Value Missing",C14)))</xm:f>
            <xm:f>"Value Missing"</xm:f>
            <x14:dxf>
              <font>
                <color rgb="FF0E223A"/>
              </font>
              <fill>
                <patternFill>
                  <bgColor rgb="FFFFBE29"/>
                </patternFill>
              </fill>
            </x14:dxf>
          </x14:cfRule>
          <xm:sqref>C140:C145 C149:C171 I75:I124 C14:C33 C56:C70</xm:sqref>
        </x14:conditionalFormatting>
        <x14:conditionalFormatting xmlns:xm="http://schemas.microsoft.com/office/excel/2006/main">
          <x14:cfRule type="containsText" priority="556" operator="containsText" id="{7956EDE0-2BB6-F346-A2E3-3567D656FB65}">
            <xm:f>NOT(ISERROR(SEARCH("Value Missing",C140)))</xm:f>
            <xm:f>"Value Missing"</xm:f>
            <x14:dxf>
              <font>
                <color theme="1"/>
              </font>
              <fill>
                <patternFill>
                  <bgColor rgb="FFFFBE29"/>
                </patternFill>
              </fill>
            </x14:dxf>
          </x14:cfRule>
          <x14:cfRule type="containsText" priority="557" operator="containsText" id="{B8544281-BAF2-BA48-A545-8DD1DE0A408F}">
            <xm:f>NOT(ISERROR(SEARCH("Not Required",C140)))</xm:f>
            <xm:f>"Not Required"</xm:f>
            <x14:dxf>
              <font>
                <color theme="0"/>
              </font>
              <fill>
                <patternFill>
                  <bgColor rgb="FF4F5F69"/>
                </patternFill>
              </fill>
            </x14:dxf>
          </x14:cfRule>
          <xm:sqref>C140:C145</xm:sqref>
        </x14:conditionalFormatting>
        <x14:conditionalFormatting xmlns:xm="http://schemas.microsoft.com/office/excel/2006/main">
          <x14:cfRule type="containsText" priority="2218" operator="containsText" id="{3C982F0C-8AB8-8C4D-AA00-BD6BA6595FAE}">
            <xm:f>NOT(ISERROR(SEARCH("Value Missing",C175)))</xm:f>
            <xm:f>"Value Missing"</xm:f>
            <x14:dxf>
              <font>
                <color rgb="FF9C0006"/>
              </font>
              <fill>
                <patternFill>
                  <bgColor rgb="FFFFC7CE"/>
                </patternFill>
              </fill>
            </x14:dxf>
          </x14:cfRule>
          <xm:sqref>C175:C176</xm:sqref>
        </x14:conditionalFormatting>
        <x14:conditionalFormatting xmlns:xm="http://schemas.microsoft.com/office/excel/2006/main">
          <x14:cfRule type="containsText" priority="882" stopIfTrue="1" operator="containsText" id="{D391F2F4-7E4D-8647-98B9-1F0269C8F1BF}">
            <xm:f>NOT(ISERROR(SEARCH("Value Missing",C180)))</xm:f>
            <xm:f>"Value Missing"</xm:f>
            <x14:dxf>
              <font>
                <color rgb="FF0E223A"/>
              </font>
              <fill>
                <patternFill>
                  <bgColor rgb="FFFFBE29"/>
                </patternFill>
              </fill>
            </x14:dxf>
          </x14:cfRule>
          <x14:cfRule type="notContainsText" priority="886" operator="notContains" id="{E762F261-B482-6D46-8323-FEB8B6636848}">
            <xm:f>ISERROR(SEARCH("Value Missing",C180))</xm:f>
            <xm:f>"Value Missing"</xm:f>
            <x14:dxf>
              <font>
                <color rgb="FF006100"/>
              </font>
              <fill>
                <patternFill>
                  <bgColor rgb="FFC6EFCE"/>
                </patternFill>
              </fill>
            </x14:dxf>
          </x14:cfRule>
          <x14:cfRule type="containsText" priority="887" operator="containsText" id="{8D5FC990-D1EB-6B42-A90B-A3E6DC24BD4E}">
            <xm:f>NOT(ISERROR(SEARCH("Value Missing",C180)))</xm:f>
            <xm:f>"Value Missing"</xm:f>
            <x14:dxf>
              <font>
                <color rgb="FF9C0006"/>
              </font>
              <fill>
                <patternFill>
                  <bgColor rgb="FFFFC7CE"/>
                </patternFill>
              </fill>
            </x14:dxf>
          </x14:cfRule>
          <x14:cfRule type="notContainsText" priority="888" operator="notContains" id="{58E0AF9F-8D1B-D14D-B42D-83C752E1E382}">
            <xm:f>ISERROR(SEARCH("Value Missing",C180))</xm:f>
            <xm:f>"Value Missing"</xm:f>
            <x14:dxf>
              <font>
                <color rgb="FF006100"/>
              </font>
              <fill>
                <patternFill>
                  <bgColor rgb="FFC6EFCE"/>
                </patternFill>
              </fill>
            </x14:dxf>
          </x14:cfRule>
          <x14:cfRule type="containsText" priority="889" operator="containsText" id="{6552ADF1-1F8F-394C-94E1-4953748E8DCC}">
            <xm:f>NOT(ISERROR(SEARCH("Value Missing",C180)))</xm:f>
            <xm:f>"Value Missing"</xm:f>
            <x14:dxf>
              <font>
                <color rgb="FF9C0006"/>
              </font>
              <fill>
                <patternFill>
                  <bgColor rgb="FFFFC7CE"/>
                </patternFill>
              </fill>
            </x14:dxf>
          </x14:cfRule>
          <x14:cfRule type="notContainsText" priority="891" operator="notContains" id="{D93929A9-AF2D-A149-A030-6B18FC5A9959}">
            <xm:f>ISERROR(SEARCH("Value Missing",C180))</xm:f>
            <xm:f>"Value Missing"</xm:f>
            <x14:dxf>
              <font>
                <color rgb="FF006100"/>
              </font>
              <fill>
                <patternFill>
                  <bgColor rgb="FFC6EFCE"/>
                </patternFill>
              </fill>
            </x14:dxf>
          </x14:cfRule>
          <x14:cfRule type="containsText" priority="892" operator="containsText" id="{4BECE36B-CEA4-7C44-B78A-E738B7ACC849}">
            <xm:f>NOT(ISERROR(SEARCH("Value Missing",C180)))</xm:f>
            <xm:f>"Value Missing"</xm:f>
            <x14:dxf>
              <font>
                <color rgb="FF9C0006"/>
              </font>
              <fill>
                <patternFill>
                  <bgColor rgb="FFFFC7CE"/>
                </patternFill>
              </fill>
            </x14:dxf>
          </x14:cfRule>
          <xm:sqref>C180:C185</xm:sqref>
        </x14:conditionalFormatting>
        <x14:conditionalFormatting xmlns:xm="http://schemas.microsoft.com/office/excel/2006/main">
          <x14:cfRule type="notContainsText" priority="2177" operator="notContains" id="{DD5398D3-EA12-B243-BCD6-A23EFF664D3C}">
            <xm:f>ISERROR(SEARCH("Value Missing",C189))</xm:f>
            <xm:f>"Value Missing"</xm:f>
            <x14:dxf>
              <font>
                <color rgb="FF006100"/>
              </font>
              <fill>
                <patternFill>
                  <bgColor rgb="FFC6EFCE"/>
                </patternFill>
              </fill>
            </x14:dxf>
          </x14:cfRule>
          <x14:cfRule type="containsText" priority="2178" operator="containsText" id="{DF52A004-968D-844F-8C87-105273187820}">
            <xm:f>NOT(ISERROR(SEARCH("Value Missing",C189)))</xm:f>
            <xm:f>"Value Missing"</xm:f>
            <x14:dxf>
              <font>
                <color rgb="FF9C0006"/>
              </font>
              <fill>
                <patternFill>
                  <bgColor rgb="FFFFC7CE"/>
                </patternFill>
              </fill>
            </x14:dxf>
          </x14:cfRule>
          <xm:sqref>C189:C192</xm:sqref>
        </x14:conditionalFormatting>
        <x14:conditionalFormatting xmlns:xm="http://schemas.microsoft.com/office/excel/2006/main">
          <x14:cfRule type="notContainsText" priority="244" operator="notContains" id="{39A0F161-6FE3-1945-9E37-D1335634B6DE}">
            <xm:f>ISERROR(SEARCH("Value Missing",C140))</xm:f>
            <xm:f>"Value Missing"</xm:f>
            <x14:dxf>
              <font>
                <color rgb="FF006100"/>
              </font>
              <fill>
                <patternFill>
                  <bgColor rgb="FFC6EFCE"/>
                </patternFill>
              </fill>
            </x14:dxf>
          </x14:cfRule>
          <xm:sqref>C196:C201 F140:F141</xm:sqref>
        </x14:conditionalFormatting>
        <x14:conditionalFormatting xmlns:xm="http://schemas.microsoft.com/office/excel/2006/main">
          <x14:cfRule type="notContainsText" priority="242" operator="notContains" id="{FA7AE440-5247-9B4D-949A-C149C97646D8}">
            <xm:f>ISERROR(SEARCH("Value Missing",C198))</xm:f>
            <xm:f>"Value Missing"</xm:f>
            <x14:dxf>
              <font>
                <color rgb="FF006100"/>
              </font>
              <fill>
                <patternFill>
                  <bgColor rgb="FFC6EFCE"/>
                </patternFill>
              </fill>
            </x14:dxf>
          </x14:cfRule>
          <x14:cfRule type="containsText" priority="243" operator="containsText" id="{B15241BF-1597-354E-9C79-A31098E6FA6A}">
            <xm:f>NOT(ISERROR(SEARCH("Value Missing",C198)))</xm:f>
            <xm:f>"Value Missing"</xm:f>
            <x14:dxf>
              <font>
                <color rgb="FF9C0006"/>
              </font>
              <fill>
                <patternFill>
                  <bgColor rgb="FFFFC7CE"/>
                </patternFill>
              </fill>
            </x14:dxf>
          </x14:cfRule>
          <xm:sqref>C198:C199</xm:sqref>
        </x14:conditionalFormatting>
        <x14:conditionalFormatting xmlns:xm="http://schemas.microsoft.com/office/excel/2006/main">
          <x14:cfRule type="containsText" priority="238" stopIfTrue="1" operator="containsText" id="{6B22C62C-7BCD-6342-B033-FFA489954237}">
            <xm:f>NOT(ISERROR(SEARCH("Value Missing",C198)))</xm:f>
            <xm:f>"Value Missing"</xm:f>
            <x14:dxf>
              <font>
                <color rgb="FF0E223A"/>
              </font>
              <fill>
                <patternFill>
                  <bgColor rgb="FFFFBE29"/>
                </patternFill>
              </fill>
            </x14:dxf>
          </x14:cfRule>
          <xm:sqref>C198:C201</xm:sqref>
        </x14:conditionalFormatting>
        <x14:conditionalFormatting xmlns:xm="http://schemas.microsoft.com/office/excel/2006/main">
          <x14:cfRule type="containsText" priority="22" stopIfTrue="1" operator="containsText" id="{B17E4C43-23A3-4B46-A356-8BA565757BA6}">
            <xm:f>NOT(ISERROR(SEARCH("Value Missing",C263)))</xm:f>
            <xm:f>"Value Missing"</xm:f>
            <x14:dxf>
              <font>
                <color rgb="FF0E223A"/>
              </font>
              <fill>
                <patternFill>
                  <bgColor rgb="FFFFBE29"/>
                </patternFill>
              </fill>
            </x14:dxf>
          </x14:cfRule>
          <xm:sqref>C263:C280</xm:sqref>
        </x14:conditionalFormatting>
        <x14:conditionalFormatting xmlns:xm="http://schemas.microsoft.com/office/excel/2006/main">
          <x14:cfRule type="containsText" priority="358" stopIfTrue="1" operator="containsText" id="{4E21B07E-7D15-D042-92EF-AFF187178399}">
            <xm:f>NOT(ISERROR(SEARCH("Value Missing",F7)))</xm:f>
            <xm:f>"Value Missing"</xm:f>
            <x14:dxf>
              <font>
                <color rgb="FF0E223A"/>
              </font>
              <fill>
                <patternFill>
                  <bgColor rgb="FFFFBE29"/>
                </patternFill>
              </fill>
            </x14:dxf>
          </x14:cfRule>
          <x14:cfRule type="notContainsText" priority="362" operator="notContains" id="{C0FFE8DA-9F77-1541-BC32-A3BEE740433E}">
            <xm:f>ISERROR(SEARCH("Value Missing",F7))</xm:f>
            <xm:f>"Value Missing"</xm:f>
            <x14:dxf>
              <font>
                <color rgb="FF006100"/>
              </font>
              <fill>
                <patternFill>
                  <bgColor rgb="FFC6EFCE"/>
                </patternFill>
              </fill>
            </x14:dxf>
          </x14:cfRule>
          <x14:cfRule type="containsText" priority="363" operator="containsText" id="{E0E43101-017D-B549-86E6-BF9DC08C89C7}">
            <xm:f>NOT(ISERROR(SEARCH("Value Missing",F7)))</xm:f>
            <xm:f>"Value Missing"</xm:f>
            <x14:dxf>
              <font>
                <color rgb="FF9C0006"/>
              </font>
              <fill>
                <patternFill>
                  <bgColor rgb="FFFFC7CE"/>
                </patternFill>
              </fill>
            </x14:dxf>
          </x14:cfRule>
          <x14:cfRule type="notContainsText" priority="364" operator="notContains" id="{14F9C6DA-7200-CE46-BE31-1EE25008687D}">
            <xm:f>ISERROR(SEARCH("Value Missing",F7))</xm:f>
            <xm:f>"Value Missing"</xm:f>
            <x14:dxf>
              <font>
                <color rgb="FF006100"/>
              </font>
              <fill>
                <patternFill>
                  <bgColor rgb="FFC6EFCE"/>
                </patternFill>
              </fill>
            </x14:dxf>
          </x14:cfRule>
          <x14:cfRule type="containsText" priority="365" operator="containsText" id="{FF97526F-6F7D-8340-9FC5-4051A528C909}">
            <xm:f>NOT(ISERROR(SEARCH("Value Missing",F7)))</xm:f>
            <xm:f>"Value Missing"</xm:f>
            <x14:dxf>
              <font>
                <color rgb="FF9C0006"/>
              </font>
              <fill>
                <patternFill>
                  <bgColor rgb="FFFFC7CE"/>
                </patternFill>
              </fill>
            </x14:dxf>
          </x14:cfRule>
          <x14:cfRule type="notContainsText" priority="367" operator="notContains" id="{968D150F-81E8-2449-8AEB-6930E17413BE}">
            <xm:f>ISERROR(SEARCH("Value Missing",F7))</xm:f>
            <xm:f>"Value Missing"</xm:f>
            <x14:dxf>
              <font>
                <color rgb="FF006100"/>
              </font>
              <fill>
                <patternFill>
                  <bgColor rgb="FFC6EFCE"/>
                </patternFill>
              </fill>
            </x14:dxf>
          </x14:cfRule>
          <x14:cfRule type="containsText" priority="368" operator="containsText" id="{CB5AC008-0440-C94D-8D94-226FD0686EAA}">
            <xm:f>NOT(ISERROR(SEARCH("Value Missing",F7)))</xm:f>
            <xm:f>"Value Missing"</xm:f>
            <x14:dxf>
              <font>
                <color rgb="FF9C0006"/>
              </font>
              <fill>
                <patternFill>
                  <bgColor rgb="FFFFC7CE"/>
                </patternFill>
              </fill>
            </x14:dxf>
          </x14:cfRule>
          <xm:sqref>F7:F9</xm:sqref>
        </x14:conditionalFormatting>
        <x14:conditionalFormatting xmlns:xm="http://schemas.microsoft.com/office/excel/2006/main">
          <x14:cfRule type="notContainsText" priority="852" operator="notContains" id="{42C51EFE-39D3-DE46-B2EB-323B8E5790C5}">
            <xm:f>ISERROR(SEARCH("Value Missing",F14))</xm:f>
            <xm:f>"Value Missing"</xm:f>
            <x14:dxf>
              <font>
                <color rgb="FF006100"/>
              </font>
              <fill>
                <patternFill>
                  <bgColor rgb="FFC6EFCE"/>
                </patternFill>
              </fill>
            </x14:dxf>
          </x14:cfRule>
          <x14:cfRule type="containsText" priority="853" operator="containsText" id="{E506C10D-59F6-804F-9E3D-DBAE8662DF0A}">
            <xm:f>NOT(ISERROR(SEARCH("Value Missing",F14)))</xm:f>
            <xm:f>"Value Missing"</xm:f>
            <x14:dxf>
              <font>
                <color rgb="FF9C0006"/>
              </font>
              <fill>
                <patternFill>
                  <bgColor rgb="FFFFC7CE"/>
                </patternFill>
              </fill>
            </x14:dxf>
          </x14:cfRule>
          <x14:cfRule type="notContainsText" priority="855" operator="notContains" id="{C78C2299-FD0A-6342-ADAE-C35645A19501}">
            <xm:f>ISERROR(SEARCH("Value Missing",F14))</xm:f>
            <xm:f>"Value Missing"</xm:f>
            <x14:dxf>
              <font>
                <color rgb="FF006100"/>
              </font>
              <fill>
                <patternFill>
                  <bgColor rgb="FFC6EFCE"/>
                </patternFill>
              </fill>
            </x14:dxf>
          </x14:cfRule>
          <x14:cfRule type="containsText" priority="856" operator="containsText" id="{C95749B3-56CC-C24E-9A39-2943D867168A}">
            <xm:f>NOT(ISERROR(SEARCH("Value Missing",F14)))</xm:f>
            <xm:f>"Value Missing"</xm:f>
            <x14:dxf>
              <font>
                <color rgb="FF9C0006"/>
              </font>
              <fill>
                <patternFill>
                  <bgColor rgb="FFFFC7CE"/>
                </patternFill>
              </fill>
            </x14:dxf>
          </x14:cfRule>
          <xm:sqref>F14:F22</xm:sqref>
        </x14:conditionalFormatting>
        <x14:conditionalFormatting xmlns:xm="http://schemas.microsoft.com/office/excel/2006/main">
          <x14:cfRule type="notContainsText" priority="807" operator="notContains" id="{E67E8BA7-387C-0C4B-B0AE-0F42B59B29F1}">
            <xm:f>ISERROR(SEARCH("Value Missing",F14))</xm:f>
            <xm:f>"Value Missing"</xm:f>
            <x14:dxf>
              <font>
                <color rgb="FF006100"/>
              </font>
              <fill>
                <patternFill>
                  <bgColor rgb="FFC6EFCE"/>
                </patternFill>
              </fill>
            </x14:dxf>
          </x14:cfRule>
          <x14:cfRule type="containsText" priority="808" operator="containsText" id="{0772AFB2-406C-7541-BF9E-ACBA0BFAA989}">
            <xm:f>NOT(ISERROR(SEARCH("Value Missing",F14)))</xm:f>
            <xm:f>"Value Missing"</xm:f>
            <x14:dxf>
              <font>
                <color rgb="FF9C0006"/>
              </font>
              <fill>
                <patternFill>
                  <bgColor rgb="FFFFC7CE"/>
                </patternFill>
              </fill>
            </x14:dxf>
          </x14:cfRule>
          <xm:sqref>F14:F26</xm:sqref>
        </x14:conditionalFormatting>
        <x14:conditionalFormatting xmlns:xm="http://schemas.microsoft.com/office/excel/2006/main">
          <x14:cfRule type="containsText" priority="798" stopIfTrue="1" operator="containsText" id="{EC9A5627-3971-E347-B376-9120302F676D}">
            <xm:f>NOT(ISERROR(SEARCH("Value Missing",F14)))</xm:f>
            <xm:f>"Value Missing"</xm:f>
            <x14:dxf>
              <font>
                <color rgb="FF0E223A"/>
              </font>
              <fill>
                <patternFill>
                  <bgColor rgb="FFFFBE29"/>
                </patternFill>
              </fill>
            </x14:dxf>
          </x14:cfRule>
          <xm:sqref>F14:F28</xm:sqref>
        </x14:conditionalFormatting>
        <x14:conditionalFormatting xmlns:xm="http://schemas.microsoft.com/office/excel/2006/main">
          <x14:cfRule type="notContainsText" priority="802" operator="notContains" id="{74FBF562-78D8-D442-AE85-621F4A4C9E28}">
            <xm:f>ISERROR(SEARCH("Value Missing",F23))</xm:f>
            <xm:f>"Value Missing"</xm:f>
            <x14:dxf>
              <font>
                <color rgb="FF006100"/>
              </font>
              <fill>
                <patternFill>
                  <bgColor rgb="FFC6EFCE"/>
                </patternFill>
              </fill>
            </x14:dxf>
          </x14:cfRule>
          <x14:cfRule type="containsText" priority="803" operator="containsText" id="{83D43112-E9C0-1642-919A-4DBDAFF593B6}">
            <xm:f>NOT(ISERROR(SEARCH("Value Missing",F23)))</xm:f>
            <xm:f>"Value Missing"</xm:f>
            <x14:dxf>
              <font>
                <color rgb="FF9C0006"/>
              </font>
              <fill>
                <patternFill>
                  <bgColor rgb="FFFFC7CE"/>
                </patternFill>
              </fill>
            </x14:dxf>
          </x14:cfRule>
          <x14:cfRule type="notContainsText" priority="804" operator="notContains" id="{A5616C1D-439E-E24E-89A0-D8D42A7BB084}">
            <xm:f>ISERROR(SEARCH("Value Missing",F23))</xm:f>
            <xm:f>"Value Missing"</xm:f>
            <x14:dxf>
              <font>
                <color rgb="FF006100"/>
              </font>
              <fill>
                <patternFill>
                  <bgColor rgb="FFC6EFCE"/>
                </patternFill>
              </fill>
            </x14:dxf>
          </x14:cfRule>
          <x14:cfRule type="containsText" priority="805" operator="containsText" id="{DB5F6F4E-5082-944D-941E-A09994BA5EC5}">
            <xm:f>NOT(ISERROR(SEARCH("Value Missing",F23)))</xm:f>
            <xm:f>"Value Missing"</xm:f>
            <x14:dxf>
              <font>
                <color rgb="FF9C0006"/>
              </font>
              <fill>
                <patternFill>
                  <bgColor rgb="FFFFC7CE"/>
                </patternFill>
              </fill>
            </x14:dxf>
          </x14:cfRule>
          <xm:sqref>F23:F26</xm:sqref>
        </x14:conditionalFormatting>
        <x14:conditionalFormatting xmlns:xm="http://schemas.microsoft.com/office/excel/2006/main">
          <x14:cfRule type="containsText" priority="810" stopIfTrue="1" operator="containsText" id="{D5554595-3F99-2241-81C2-2A49DA46B8FF}">
            <xm:f>NOT(ISERROR(SEARCH("Value Missing",F32)))</xm:f>
            <xm:f>"Value Missing"</xm:f>
            <x14:dxf>
              <font>
                <color rgb="FF0E223A"/>
              </font>
              <fill>
                <patternFill>
                  <bgColor rgb="FFFFBE29"/>
                </patternFill>
              </fill>
            </x14:dxf>
          </x14:cfRule>
          <x14:cfRule type="notContainsText" priority="819" operator="notContains" id="{88573A82-EE49-ED45-80C5-380097257823}">
            <xm:f>ISERROR(SEARCH("Value Missing",F32))</xm:f>
            <xm:f>"Value Missing"</xm:f>
            <x14:dxf>
              <font>
                <color rgb="FF006100"/>
              </font>
              <fill>
                <patternFill>
                  <bgColor rgb="FFC6EFCE"/>
                </patternFill>
              </fill>
            </x14:dxf>
          </x14:cfRule>
          <x14:cfRule type="containsText" priority="820" operator="containsText" id="{74109180-CE81-574B-B64D-35E64CD32ED9}">
            <xm:f>NOT(ISERROR(SEARCH("Value Missing",F32)))</xm:f>
            <xm:f>"Value Missing"</xm:f>
            <x14:dxf>
              <font>
                <color rgb="FF9C0006"/>
              </font>
              <fill>
                <patternFill>
                  <bgColor rgb="FFFFC7CE"/>
                </patternFill>
              </fill>
            </x14:dxf>
          </x14:cfRule>
          <x14:cfRule type="notContainsText" priority="876" operator="notContains" id="{E5DBC4C5-00AA-B649-A28C-0870C92A66C0}">
            <xm:f>ISERROR(SEARCH("Value Missing",F32))</xm:f>
            <xm:f>"Value Missing"</xm:f>
            <x14:dxf>
              <font>
                <color rgb="FF006100"/>
              </font>
              <fill>
                <patternFill>
                  <bgColor rgb="FFC6EFCE"/>
                </patternFill>
              </fill>
            </x14:dxf>
          </x14:cfRule>
          <x14:cfRule type="containsText" priority="877" operator="containsText" id="{AC6DD4B5-BE77-8D4E-A58D-523533198F4F}">
            <xm:f>NOT(ISERROR(SEARCH("Value Missing",F32)))</xm:f>
            <xm:f>"Value Missing"</xm:f>
            <x14:dxf>
              <font>
                <color rgb="FF9C0006"/>
              </font>
              <fill>
                <patternFill>
                  <bgColor rgb="FFFFC7CE"/>
                </patternFill>
              </fill>
            </x14:dxf>
          </x14:cfRule>
          <x14:cfRule type="notContainsText" priority="879" operator="notContains" id="{0B8C9671-9DEC-5F4E-AB9C-CDEA3110C87B}">
            <xm:f>ISERROR(SEARCH("Value Missing",F32))</xm:f>
            <xm:f>"Value Missing"</xm:f>
            <x14:dxf>
              <font>
                <color rgb="FF006100"/>
              </font>
              <fill>
                <patternFill>
                  <bgColor rgb="FFC6EFCE"/>
                </patternFill>
              </fill>
            </x14:dxf>
          </x14:cfRule>
          <x14:cfRule type="containsText" priority="880" operator="containsText" id="{0B9AEB32-8111-E547-85CA-573C6398EBFA}">
            <xm:f>NOT(ISERROR(SEARCH("Value Missing",F32)))</xm:f>
            <xm:f>"Value Missing"</xm:f>
            <x14:dxf>
              <font>
                <color rgb="FF9C0006"/>
              </font>
              <fill>
                <patternFill>
                  <bgColor rgb="FFFFC7CE"/>
                </patternFill>
              </fill>
            </x14:dxf>
          </x14:cfRule>
          <xm:sqref>F32:F41</xm:sqref>
        </x14:conditionalFormatting>
        <x14:conditionalFormatting xmlns:xm="http://schemas.microsoft.com/office/excel/2006/main">
          <x14:cfRule type="notContainsText" priority="864" operator="notContains" id="{136DB6B7-52E5-EC44-B8DB-44315DBD6FB9}">
            <xm:f>ISERROR(SEARCH("Value Missing",F45))</xm:f>
            <xm:f>"Value Missing"</xm:f>
            <x14:dxf>
              <font>
                <color rgb="FF006100"/>
              </font>
              <fill>
                <patternFill>
                  <bgColor rgb="FFC6EFCE"/>
                </patternFill>
              </fill>
            </x14:dxf>
          </x14:cfRule>
          <x14:cfRule type="containsText" priority="865" operator="containsText" id="{2006484F-A190-444A-B468-2826CE7F0A48}">
            <xm:f>NOT(ISERROR(SEARCH("Value Missing",F45)))</xm:f>
            <xm:f>"Value Missing"</xm:f>
            <x14:dxf>
              <font>
                <color rgb="FF9C0006"/>
              </font>
              <fill>
                <patternFill>
                  <bgColor rgb="FFFFC7CE"/>
                </patternFill>
              </fill>
            </x14:dxf>
          </x14:cfRule>
          <x14:cfRule type="notContainsText" priority="867" operator="notContains" id="{DAD5F391-609A-C04F-B39F-44B5DA2760CF}">
            <xm:f>ISERROR(SEARCH("Value Missing",F45))</xm:f>
            <xm:f>"Value Missing"</xm:f>
            <x14:dxf>
              <font>
                <color rgb="FF006100"/>
              </font>
              <fill>
                <patternFill>
                  <bgColor rgb="FFC6EFCE"/>
                </patternFill>
              </fill>
            </x14:dxf>
          </x14:cfRule>
          <x14:cfRule type="containsText" priority="868" operator="containsText" id="{315CB6B8-3CB0-8A46-9CCE-CD36E2ED48BB}">
            <xm:f>NOT(ISERROR(SEARCH("Value Missing",F45)))</xm:f>
            <xm:f>"Value Missing"</xm:f>
            <x14:dxf>
              <font>
                <color rgb="FF9C0006"/>
              </font>
              <fill>
                <patternFill>
                  <bgColor rgb="FFFFC7CE"/>
                </patternFill>
              </fill>
            </x14:dxf>
          </x14:cfRule>
          <xm:sqref>F45:F49</xm:sqref>
        </x14:conditionalFormatting>
        <x14:conditionalFormatting xmlns:xm="http://schemas.microsoft.com/office/excel/2006/main">
          <x14:cfRule type="notContainsText" priority="843" operator="notContains" id="{0FD8E007-A4C3-E745-A6FB-02C3ECF29367}">
            <xm:f>ISERROR(SEARCH("Value Missing",F45))</xm:f>
            <xm:f>"Value Missing"</xm:f>
            <x14:dxf>
              <font>
                <color rgb="FF006100"/>
              </font>
              <fill>
                <patternFill>
                  <bgColor rgb="FFC6EFCE"/>
                </patternFill>
              </fill>
            </x14:dxf>
          </x14:cfRule>
          <x14:cfRule type="containsText" priority="844" operator="containsText" id="{9FB6CFAF-041C-1045-8CD3-E628C26A330E}">
            <xm:f>NOT(ISERROR(SEARCH("Value Missing",F45)))</xm:f>
            <xm:f>"Value Missing"</xm:f>
            <x14:dxf>
              <font>
                <color rgb="FF9C0006"/>
              </font>
              <fill>
                <patternFill>
                  <bgColor rgb="FFFFC7CE"/>
                </patternFill>
              </fill>
            </x14:dxf>
          </x14:cfRule>
          <xm:sqref>F45:F56</xm:sqref>
        </x14:conditionalFormatting>
        <x14:conditionalFormatting xmlns:xm="http://schemas.microsoft.com/office/excel/2006/main">
          <x14:cfRule type="containsText" priority="822" stopIfTrue="1" operator="containsText" id="{1B21DC2B-871D-D24C-BE67-CBF19A3125C1}">
            <xm:f>NOT(ISERROR(SEARCH("Value Missing",F45)))</xm:f>
            <xm:f>"Value Missing"</xm:f>
            <x14:dxf>
              <font>
                <color rgb="FF0E223A"/>
              </font>
              <fill>
                <patternFill>
                  <bgColor rgb="FFFFBE29"/>
                </patternFill>
              </fill>
            </x14:dxf>
          </x14:cfRule>
          <xm:sqref>F45:F58</xm:sqref>
        </x14:conditionalFormatting>
        <x14:conditionalFormatting xmlns:xm="http://schemas.microsoft.com/office/excel/2006/main">
          <x14:cfRule type="notContainsText" priority="831" operator="notContains" id="{BD5945AF-7542-E042-9F70-2C6486995429}">
            <xm:f>ISERROR(SEARCH("Value Missing",F50))</xm:f>
            <xm:f>"Value Missing"</xm:f>
            <x14:dxf>
              <font>
                <color rgb="FF006100"/>
              </font>
              <fill>
                <patternFill>
                  <bgColor rgb="FFC6EFCE"/>
                </patternFill>
              </fill>
            </x14:dxf>
          </x14:cfRule>
          <x14:cfRule type="containsText" priority="832" operator="containsText" id="{6C55E7D3-6A19-7E47-B165-A77F8A917B60}">
            <xm:f>NOT(ISERROR(SEARCH("Value Missing",F50)))</xm:f>
            <xm:f>"Value Missing"</xm:f>
            <x14:dxf>
              <font>
                <color rgb="FF9C0006"/>
              </font>
              <fill>
                <patternFill>
                  <bgColor rgb="FFFFC7CE"/>
                </patternFill>
              </fill>
            </x14:dxf>
          </x14:cfRule>
          <x14:cfRule type="notContainsText" priority="840" operator="notContains" id="{EC35381F-A5B8-BE4D-9395-AE016BBA6C0E}">
            <xm:f>ISERROR(SEARCH("Value Missing",F50))</xm:f>
            <xm:f>"Value Missing"</xm:f>
            <x14:dxf>
              <font>
                <color rgb="FF006100"/>
              </font>
              <fill>
                <patternFill>
                  <bgColor rgb="FFC6EFCE"/>
                </patternFill>
              </fill>
            </x14:dxf>
          </x14:cfRule>
          <x14:cfRule type="containsText" priority="841" operator="containsText" id="{1BED8F98-7EEC-3042-8D32-973CFB065CFB}">
            <xm:f>NOT(ISERROR(SEARCH("Value Missing",F50)))</xm:f>
            <xm:f>"Value Missing"</xm:f>
            <x14:dxf>
              <font>
                <color rgb="FF9C0006"/>
              </font>
              <fill>
                <patternFill>
                  <bgColor rgb="FFFFC7CE"/>
                </patternFill>
              </fill>
            </x14:dxf>
          </x14:cfRule>
          <xm:sqref>F50:F56</xm:sqref>
        </x14:conditionalFormatting>
        <x14:conditionalFormatting xmlns:xm="http://schemas.microsoft.com/office/excel/2006/main">
          <x14:cfRule type="notContainsText" priority="689" operator="notContains" id="{3CEC03A8-1D80-AF46-AB21-EFAA3FC3A28C}">
            <xm:f>ISERROR(SEARCH("Value Missing",F62))</xm:f>
            <xm:f>"Value Missing"</xm:f>
            <x14:dxf>
              <font>
                <color rgb="FF006100"/>
              </font>
              <fill>
                <patternFill>
                  <bgColor rgb="FFC6EFCE"/>
                </patternFill>
              </fill>
            </x14:dxf>
          </x14:cfRule>
          <x14:cfRule type="containsText" priority="690" operator="containsText" id="{A88A29C9-00BC-7848-BE38-F5A3A4FB5A6A}">
            <xm:f>NOT(ISERROR(SEARCH("Value Missing",F62)))</xm:f>
            <xm:f>"Value Missing"</xm:f>
            <x14:dxf>
              <font>
                <color rgb="FF9C0006"/>
              </font>
              <fill>
                <patternFill>
                  <bgColor rgb="FFFFC7CE"/>
                </patternFill>
              </fill>
            </x14:dxf>
          </x14:cfRule>
          <x14:cfRule type="notContainsText" priority="691" operator="notContains" id="{61E62E14-CBA6-9B4C-95CE-056AC7F58B96}">
            <xm:f>ISERROR(SEARCH("Value Missing",F62))</xm:f>
            <xm:f>"Value Missing"</xm:f>
            <x14:dxf>
              <font>
                <color rgb="FF006100"/>
              </font>
              <fill>
                <patternFill>
                  <bgColor rgb="FFC6EFCE"/>
                </patternFill>
              </fill>
            </x14:dxf>
          </x14:cfRule>
          <x14:cfRule type="containsText" priority="692" operator="containsText" id="{473A590D-D2E3-AF4B-AB50-911859437B73}">
            <xm:f>NOT(ISERROR(SEARCH("Value Missing",F62)))</xm:f>
            <xm:f>"Value Missing"</xm:f>
            <x14:dxf>
              <font>
                <color rgb="FF9C0006"/>
              </font>
              <fill>
                <patternFill>
                  <bgColor rgb="FFFFC7CE"/>
                </patternFill>
              </fill>
            </x14:dxf>
          </x14:cfRule>
          <xm:sqref>F62</xm:sqref>
        </x14:conditionalFormatting>
        <x14:conditionalFormatting xmlns:xm="http://schemas.microsoft.com/office/excel/2006/main">
          <x14:cfRule type="containsText" priority="685" stopIfTrue="1" operator="containsText" id="{4A81713B-DF26-B64C-B561-0268F33945D4}">
            <xm:f>NOT(ISERROR(SEARCH("Value Missing",F62)))</xm:f>
            <xm:f>"Value Missing"</xm:f>
            <x14:dxf>
              <font>
                <color rgb="FF0E223A"/>
              </font>
              <fill>
                <patternFill>
                  <bgColor rgb="FFFFBE29"/>
                </patternFill>
              </fill>
            </x14:dxf>
          </x14:cfRule>
          <x14:cfRule type="notContainsText" priority="694" operator="notContains" id="{4DC0A6C7-BDF4-5F45-A1D0-53E691B9B47A}">
            <xm:f>ISERROR(SEARCH("Value Missing",F62))</xm:f>
            <xm:f>"Value Missing"</xm:f>
            <x14:dxf>
              <font>
                <color rgb="FF006100"/>
              </font>
              <fill>
                <patternFill>
                  <bgColor rgb="FFC6EFCE"/>
                </patternFill>
              </fill>
            </x14:dxf>
          </x14:cfRule>
          <x14:cfRule type="containsText" priority="695" operator="containsText" id="{A2FC2F74-DE7B-7941-86C0-F393025D0933}">
            <xm:f>NOT(ISERROR(SEARCH("Value Missing",F62)))</xm:f>
            <xm:f>"Value Missing"</xm:f>
            <x14:dxf>
              <font>
                <color rgb="FF9C0006"/>
              </font>
              <fill>
                <patternFill>
                  <bgColor rgb="FFFFC7CE"/>
                </patternFill>
              </fill>
            </x14:dxf>
          </x14:cfRule>
          <xm:sqref>F62:F63</xm:sqref>
        </x14:conditionalFormatting>
        <x14:conditionalFormatting xmlns:xm="http://schemas.microsoft.com/office/excel/2006/main">
          <x14:cfRule type="notContainsText" priority="703" operator="notContains" id="{AAAD6AE0-B21C-BE43-AC31-1DF6A85D4B69}">
            <xm:f>ISERROR(SEARCH("Value Missing",F63))</xm:f>
            <xm:f>"Value Missing"</xm:f>
            <x14:dxf>
              <font>
                <color rgb="FF006100"/>
              </font>
              <fill>
                <patternFill>
                  <bgColor rgb="FFC6EFCE"/>
                </patternFill>
              </fill>
            </x14:dxf>
          </x14:cfRule>
          <x14:cfRule type="containsText" priority="704" operator="containsText" id="{176F63A2-4834-B34F-B149-8EC727F22ED2}">
            <xm:f>NOT(ISERROR(SEARCH("Value Missing",F63)))</xm:f>
            <xm:f>"Value Missing"</xm:f>
            <x14:dxf>
              <font>
                <color rgb="FF9C0006"/>
              </font>
              <fill>
                <patternFill>
                  <bgColor rgb="FFFFC7CE"/>
                </patternFill>
              </fill>
            </x14:dxf>
          </x14:cfRule>
          <x14:cfRule type="notContainsText" priority="706" operator="notContains" id="{13EDBBDE-7781-A244-A073-99E4ED965385}">
            <xm:f>ISERROR(SEARCH("Value Missing",F63))</xm:f>
            <xm:f>"Value Missing"</xm:f>
            <x14:dxf>
              <font>
                <color rgb="FF006100"/>
              </font>
              <fill>
                <patternFill>
                  <bgColor rgb="FFC6EFCE"/>
                </patternFill>
              </fill>
            </x14:dxf>
          </x14:cfRule>
          <x14:cfRule type="containsText" priority="707" operator="containsText" id="{7A88FE85-0F69-D543-9360-E92DAE814A09}">
            <xm:f>NOT(ISERROR(SEARCH("Value Missing",F63)))</xm:f>
            <xm:f>"Value Missing"</xm:f>
            <x14:dxf>
              <font>
                <color rgb="FF9C0006"/>
              </font>
              <fill>
                <patternFill>
                  <bgColor rgb="FFFFC7CE"/>
                </patternFill>
              </fill>
            </x14:dxf>
          </x14:cfRule>
          <xm:sqref>F63</xm:sqref>
        </x14:conditionalFormatting>
        <x14:conditionalFormatting xmlns:xm="http://schemas.microsoft.com/office/excel/2006/main">
          <x14:cfRule type="containsText" priority="346" stopIfTrue="1" operator="containsText" id="{870E8A49-7D20-384D-8700-E54C8CE51CDD}">
            <xm:f>NOT(ISERROR(SEARCH("Value Missing",F67)))</xm:f>
            <xm:f>"Value Missing"</xm:f>
            <x14:dxf>
              <font>
                <color rgb="FF0E223A"/>
              </font>
              <fill>
                <patternFill>
                  <bgColor rgb="FFFFBE29"/>
                </patternFill>
              </fill>
            </x14:dxf>
          </x14:cfRule>
          <x14:cfRule type="notContainsText" priority="350" operator="notContains" id="{27C1761D-A317-954D-A2C0-BC416363DD98}">
            <xm:f>ISERROR(SEARCH("Value Missing",F67))</xm:f>
            <xm:f>"Value Missing"</xm:f>
            <x14:dxf>
              <font>
                <color rgb="FF006100"/>
              </font>
              <fill>
                <patternFill>
                  <bgColor rgb="FFC6EFCE"/>
                </patternFill>
              </fill>
            </x14:dxf>
          </x14:cfRule>
          <x14:cfRule type="containsText" priority="351" operator="containsText" id="{A1607C7F-5675-4D44-B088-293A208AA93A}">
            <xm:f>NOT(ISERROR(SEARCH("Value Missing",F67)))</xm:f>
            <xm:f>"Value Missing"</xm:f>
            <x14:dxf>
              <font>
                <color rgb="FF9C0006"/>
              </font>
              <fill>
                <patternFill>
                  <bgColor rgb="FFFFC7CE"/>
                </patternFill>
              </fill>
            </x14:dxf>
          </x14:cfRule>
          <x14:cfRule type="notContainsText" priority="352" operator="notContains" id="{67583196-EC67-CF47-8D59-707EC6651B79}">
            <xm:f>ISERROR(SEARCH("Value Missing",F67))</xm:f>
            <xm:f>"Value Missing"</xm:f>
            <x14:dxf>
              <font>
                <color rgb="FF006100"/>
              </font>
              <fill>
                <patternFill>
                  <bgColor rgb="FFC6EFCE"/>
                </patternFill>
              </fill>
            </x14:dxf>
          </x14:cfRule>
          <x14:cfRule type="containsText" priority="353" operator="containsText" id="{CCFF7EE0-69BB-AB43-8A26-46B1F17BB5AC}">
            <xm:f>NOT(ISERROR(SEARCH("Value Missing",F67)))</xm:f>
            <xm:f>"Value Missing"</xm:f>
            <x14:dxf>
              <font>
                <color rgb="FF9C0006"/>
              </font>
              <fill>
                <patternFill>
                  <bgColor rgb="FFFFC7CE"/>
                </patternFill>
              </fill>
            </x14:dxf>
          </x14:cfRule>
          <x14:cfRule type="notContainsText" priority="355" operator="notContains" id="{B12ACCC1-709E-394F-9B62-EF3E8D0548C1}">
            <xm:f>ISERROR(SEARCH("Value Missing",F67))</xm:f>
            <xm:f>"Value Missing"</xm:f>
            <x14:dxf>
              <font>
                <color rgb="FF006100"/>
              </font>
              <fill>
                <patternFill>
                  <bgColor rgb="FFC6EFCE"/>
                </patternFill>
              </fill>
            </x14:dxf>
          </x14:cfRule>
          <x14:cfRule type="containsText" priority="356" operator="containsText" id="{B1CBBD35-0659-2D42-8EF4-D24FEC10CFA1}">
            <xm:f>NOT(ISERROR(SEARCH("Value Missing",F67)))</xm:f>
            <xm:f>"Value Missing"</xm:f>
            <x14:dxf>
              <font>
                <color rgb="FF9C0006"/>
              </font>
              <fill>
                <patternFill>
                  <bgColor rgb="FFFFC7CE"/>
                </patternFill>
              </fill>
            </x14:dxf>
          </x14:cfRule>
          <xm:sqref>F67:F68</xm:sqref>
        </x14:conditionalFormatting>
        <x14:conditionalFormatting xmlns:xm="http://schemas.microsoft.com/office/excel/2006/main">
          <x14:cfRule type="containsText" priority="310" stopIfTrue="1" operator="containsText" id="{1809050F-1092-2F47-B7D6-C5D65903F406}">
            <xm:f>NOT(ISERROR(SEARCH("Value Missing",F72)))</xm:f>
            <xm:f>"Value Missing"</xm:f>
            <x14:dxf>
              <font>
                <color rgb="FF0E223A"/>
              </font>
              <fill>
                <patternFill>
                  <bgColor rgb="FFFFBE29"/>
                </patternFill>
              </fill>
            </x14:dxf>
          </x14:cfRule>
          <x14:cfRule type="notContainsText" priority="314" operator="notContains" id="{D13D7E3D-5AFB-994B-9F08-81379064B6E1}">
            <xm:f>ISERROR(SEARCH("Value Missing",F72))</xm:f>
            <xm:f>"Value Missing"</xm:f>
            <x14:dxf>
              <font>
                <color rgb="FF006100"/>
              </font>
              <fill>
                <patternFill>
                  <bgColor rgb="FFC6EFCE"/>
                </patternFill>
              </fill>
            </x14:dxf>
          </x14:cfRule>
          <x14:cfRule type="containsText" priority="315" operator="containsText" id="{D1934ED7-620A-9140-9D28-4500A1E21297}">
            <xm:f>NOT(ISERROR(SEARCH("Value Missing",F72)))</xm:f>
            <xm:f>"Value Missing"</xm:f>
            <x14:dxf>
              <font>
                <color rgb="FF9C0006"/>
              </font>
              <fill>
                <patternFill>
                  <bgColor rgb="FFFFC7CE"/>
                </patternFill>
              </fill>
            </x14:dxf>
          </x14:cfRule>
          <x14:cfRule type="notContainsText" priority="316" operator="notContains" id="{B7306FA1-5EEE-0844-A934-400A057E3757}">
            <xm:f>ISERROR(SEARCH("Value Missing",F72))</xm:f>
            <xm:f>"Value Missing"</xm:f>
            <x14:dxf>
              <font>
                <color rgb="FF006100"/>
              </font>
              <fill>
                <patternFill>
                  <bgColor rgb="FFC6EFCE"/>
                </patternFill>
              </fill>
            </x14:dxf>
          </x14:cfRule>
          <x14:cfRule type="containsText" priority="317" operator="containsText" id="{F2DA44A5-A822-554C-8444-17AEB93C5BED}">
            <xm:f>NOT(ISERROR(SEARCH("Value Missing",F72)))</xm:f>
            <xm:f>"Value Missing"</xm:f>
            <x14:dxf>
              <font>
                <color rgb="FF9C0006"/>
              </font>
              <fill>
                <patternFill>
                  <bgColor rgb="FFFFC7CE"/>
                </patternFill>
              </fill>
            </x14:dxf>
          </x14:cfRule>
          <x14:cfRule type="notContainsText" priority="319" operator="notContains" id="{D7EAFDC5-35C3-7C4D-A496-F141DD7DC69E}">
            <xm:f>ISERROR(SEARCH("Value Missing",F72))</xm:f>
            <xm:f>"Value Missing"</xm:f>
            <x14:dxf>
              <font>
                <color rgb="FF006100"/>
              </font>
              <fill>
                <patternFill>
                  <bgColor rgb="FFC6EFCE"/>
                </patternFill>
              </fill>
            </x14:dxf>
          </x14:cfRule>
          <x14:cfRule type="containsText" priority="320" operator="containsText" id="{F45A42B4-1C8A-F946-B151-397979B40698}">
            <xm:f>NOT(ISERROR(SEARCH("Value Missing",F72)))</xm:f>
            <xm:f>"Value Missing"</xm:f>
            <x14:dxf>
              <font>
                <color rgb="FF9C0006"/>
              </font>
              <fill>
                <patternFill>
                  <bgColor rgb="FFFFC7CE"/>
                </patternFill>
              </fill>
            </x14:dxf>
          </x14:cfRule>
          <xm:sqref>F72</xm:sqref>
        </x14:conditionalFormatting>
        <x14:conditionalFormatting xmlns:xm="http://schemas.microsoft.com/office/excel/2006/main">
          <x14:cfRule type="notContainsText" priority="302" operator="notContains" id="{B18A591B-B3CE-864D-84DC-7910560A0705}">
            <xm:f>ISERROR(SEARCH("Value Missing",F74))</xm:f>
            <xm:f>"Value Missing"</xm:f>
            <x14:dxf>
              <font>
                <color rgb="FF006100"/>
              </font>
              <fill>
                <patternFill>
                  <bgColor rgb="FFC6EFCE"/>
                </patternFill>
              </fill>
            </x14:dxf>
          </x14:cfRule>
          <x14:cfRule type="containsText" priority="303" operator="containsText" id="{25E2510B-B5A3-B340-B0F0-BFF4D1F85D3C}">
            <xm:f>NOT(ISERROR(SEARCH("Value Missing",F74)))</xm:f>
            <xm:f>"Value Missing"</xm:f>
            <x14:dxf>
              <font>
                <color rgb="FF9C0006"/>
              </font>
              <fill>
                <patternFill>
                  <bgColor rgb="FFFFC7CE"/>
                </patternFill>
              </fill>
            </x14:dxf>
          </x14:cfRule>
          <x14:cfRule type="notContainsText" priority="304" operator="notContains" id="{669CEAB7-33D3-5D4E-BDC7-5054463B398F}">
            <xm:f>ISERROR(SEARCH("Value Missing",F74))</xm:f>
            <xm:f>"Value Missing"</xm:f>
            <x14:dxf>
              <font>
                <color rgb="FF006100"/>
              </font>
              <fill>
                <patternFill>
                  <bgColor rgb="FFC6EFCE"/>
                </patternFill>
              </fill>
            </x14:dxf>
          </x14:cfRule>
          <x14:cfRule type="containsText" priority="305" operator="containsText" id="{0CAB5667-A35D-444F-B672-1DC5F05F5281}">
            <xm:f>NOT(ISERROR(SEARCH("Value Missing",F74)))</xm:f>
            <xm:f>"Value Missing"</xm:f>
            <x14:dxf>
              <font>
                <color rgb="FF9C0006"/>
              </font>
              <fill>
                <patternFill>
                  <bgColor rgb="FFFFC7CE"/>
                </patternFill>
              </fill>
            </x14:dxf>
          </x14:cfRule>
          <xm:sqref>F74:F79</xm:sqref>
        </x14:conditionalFormatting>
        <x14:conditionalFormatting xmlns:xm="http://schemas.microsoft.com/office/excel/2006/main">
          <x14:cfRule type="containsText" priority="298" stopIfTrue="1" operator="containsText" id="{C8D28008-C104-A14E-AF51-103FC3577CEF}">
            <xm:f>NOT(ISERROR(SEARCH("Value Missing",F74)))</xm:f>
            <xm:f>"Value Missing"</xm:f>
            <x14:dxf>
              <font>
                <color rgb="FF0E223A"/>
              </font>
              <fill>
                <patternFill>
                  <bgColor rgb="FFFFBE29"/>
                </patternFill>
              </fill>
            </x14:dxf>
          </x14:cfRule>
          <x14:cfRule type="notContainsText" priority="307" operator="notContains" id="{95D4EA8F-B238-A141-960C-3D99C2256876}">
            <xm:f>ISERROR(SEARCH("Value Missing",F74))</xm:f>
            <xm:f>"Value Missing"</xm:f>
            <x14:dxf>
              <font>
                <color rgb="FF006100"/>
              </font>
              <fill>
                <patternFill>
                  <bgColor rgb="FFC6EFCE"/>
                </patternFill>
              </fill>
            </x14:dxf>
          </x14:cfRule>
          <x14:cfRule type="containsText" priority="308" operator="containsText" id="{EC5839D8-9C7D-DE4E-A685-167169CC417A}">
            <xm:f>NOT(ISERROR(SEARCH("Value Missing",F74)))</xm:f>
            <xm:f>"Value Missing"</xm:f>
            <x14:dxf>
              <font>
                <color rgb="FF9C0006"/>
              </font>
              <fill>
                <patternFill>
                  <bgColor rgb="FFFFC7CE"/>
                </patternFill>
              </fill>
            </x14:dxf>
          </x14:cfRule>
          <xm:sqref>F74:F80</xm:sqref>
        </x14:conditionalFormatting>
        <x14:conditionalFormatting xmlns:xm="http://schemas.microsoft.com/office/excel/2006/main">
          <x14:cfRule type="containsText" priority="764" operator="containsText" id="{64296EDF-1AF9-774A-826F-854DF5952EF2}">
            <xm:f>NOT(ISERROR(SEARCH("Value Missing",C80)))</xm:f>
            <xm:f>"Value Missing"</xm:f>
            <x14:dxf>
              <font>
                <color rgb="FF9C0006"/>
              </font>
              <fill>
                <patternFill>
                  <bgColor rgb="FFFFC7CE"/>
                </patternFill>
              </fill>
            </x14:dxf>
          </x14:cfRule>
          <x14:cfRule type="notContainsText" priority="766" operator="notContains" id="{FC7181B3-A8EC-A34C-80A3-1F6B5F1A1CA6}">
            <xm:f>ISERROR(SEARCH("Value Missing",C80))</xm:f>
            <xm:f>"Value Missing"</xm:f>
            <x14:dxf>
              <font>
                <color rgb="FF006100"/>
              </font>
              <fill>
                <patternFill>
                  <bgColor rgb="FFC6EFCE"/>
                </patternFill>
              </fill>
            </x14:dxf>
          </x14:cfRule>
          <x14:cfRule type="containsText" priority="767" operator="containsText" id="{74BF2CE7-E850-6F4E-B7B9-3656A685D9E0}">
            <xm:f>NOT(ISERROR(SEARCH("Value Missing",C80)))</xm:f>
            <xm:f>"Value Missing"</xm:f>
            <x14:dxf>
              <font>
                <color rgb="FF9C0006"/>
              </font>
              <fill>
                <patternFill>
                  <bgColor rgb="FFFFC7CE"/>
                </patternFill>
              </fill>
            </x14:dxf>
          </x14:cfRule>
          <xm:sqref>F80 F88 C92 F96 F100:F106 C116</xm:sqref>
        </x14:conditionalFormatting>
        <x14:conditionalFormatting xmlns:xm="http://schemas.microsoft.com/office/excel/2006/main">
          <x14:cfRule type="notContainsText" priority="290" operator="notContains" id="{3C19ACE4-4316-1F40-920E-60F70B7F4759}">
            <xm:f>ISERROR(SEARCH("Value Missing",F82))</xm:f>
            <xm:f>"Value Missing"</xm:f>
            <x14:dxf>
              <font>
                <color rgb="FF006100"/>
              </font>
              <fill>
                <patternFill>
                  <bgColor rgb="FFC6EFCE"/>
                </patternFill>
              </fill>
            </x14:dxf>
          </x14:cfRule>
          <x14:cfRule type="containsText" priority="291" operator="containsText" id="{BAC16A6A-CCC3-9542-BE76-15BA178123B5}">
            <xm:f>NOT(ISERROR(SEARCH("Value Missing",F82)))</xm:f>
            <xm:f>"Value Missing"</xm:f>
            <x14:dxf>
              <font>
                <color rgb="FF9C0006"/>
              </font>
              <fill>
                <patternFill>
                  <bgColor rgb="FFFFC7CE"/>
                </patternFill>
              </fill>
            </x14:dxf>
          </x14:cfRule>
          <x14:cfRule type="notContainsText" priority="292" operator="notContains" id="{5CBB3D4D-3F19-7B40-BDE2-01CCF684348B}">
            <xm:f>ISERROR(SEARCH("Value Missing",F82))</xm:f>
            <xm:f>"Value Missing"</xm:f>
            <x14:dxf>
              <font>
                <color rgb="FF006100"/>
              </font>
              <fill>
                <patternFill>
                  <bgColor rgb="FFC6EFCE"/>
                </patternFill>
              </fill>
            </x14:dxf>
          </x14:cfRule>
          <x14:cfRule type="containsText" priority="293" operator="containsText" id="{9F56AC9E-B2F2-2D4B-81B2-5B26E05ACBDF}">
            <xm:f>NOT(ISERROR(SEARCH("Value Missing",F82)))</xm:f>
            <xm:f>"Value Missing"</xm:f>
            <x14:dxf>
              <font>
                <color rgb="FF9C0006"/>
              </font>
              <fill>
                <patternFill>
                  <bgColor rgb="FFFFC7CE"/>
                </patternFill>
              </fill>
            </x14:dxf>
          </x14:cfRule>
          <xm:sqref>F82:F87</xm:sqref>
        </x14:conditionalFormatting>
        <x14:conditionalFormatting xmlns:xm="http://schemas.microsoft.com/office/excel/2006/main">
          <x14:cfRule type="containsText" priority="286" stopIfTrue="1" operator="containsText" id="{95514913-BC10-AE49-8421-7F949D543B83}">
            <xm:f>NOT(ISERROR(SEARCH("Value Missing",F82)))</xm:f>
            <xm:f>"Value Missing"</xm:f>
            <x14:dxf>
              <font>
                <color rgb="FF0E223A"/>
              </font>
              <fill>
                <patternFill>
                  <bgColor rgb="FFFFBE29"/>
                </patternFill>
              </fill>
            </x14:dxf>
          </x14:cfRule>
          <x14:cfRule type="notContainsText" priority="295" operator="notContains" id="{C9F669C8-0F97-B94F-8320-681FC16ED25F}">
            <xm:f>ISERROR(SEARCH("Value Missing",F82))</xm:f>
            <xm:f>"Value Missing"</xm:f>
            <x14:dxf>
              <font>
                <color rgb="FF006100"/>
              </font>
              <fill>
                <patternFill>
                  <bgColor rgb="FFC6EFCE"/>
                </patternFill>
              </fill>
            </x14:dxf>
          </x14:cfRule>
          <x14:cfRule type="containsText" priority="296" operator="containsText" id="{70DA1400-61C7-EC43-8BC4-164C07915638}">
            <xm:f>NOT(ISERROR(SEARCH("Value Missing",F82)))</xm:f>
            <xm:f>"Value Missing"</xm:f>
            <x14:dxf>
              <font>
                <color rgb="FF9C0006"/>
              </font>
              <fill>
                <patternFill>
                  <bgColor rgb="FFFFC7CE"/>
                </patternFill>
              </fill>
            </x14:dxf>
          </x14:cfRule>
          <xm:sqref>F82:F88</xm:sqref>
        </x14:conditionalFormatting>
        <x14:conditionalFormatting xmlns:xm="http://schemas.microsoft.com/office/excel/2006/main">
          <x14:cfRule type="notContainsText" priority="278" operator="notContains" id="{EEC1DA16-DD6D-4D4F-ADDE-EA184686B355}">
            <xm:f>ISERROR(SEARCH("Value Missing",F90))</xm:f>
            <xm:f>"Value Missing"</xm:f>
            <x14:dxf>
              <font>
                <color rgb="FF006100"/>
              </font>
              <fill>
                <patternFill>
                  <bgColor rgb="FFC6EFCE"/>
                </patternFill>
              </fill>
            </x14:dxf>
          </x14:cfRule>
          <x14:cfRule type="containsText" priority="279" operator="containsText" id="{4C5966C5-4BB4-F74E-A8D3-B036F6542455}">
            <xm:f>NOT(ISERROR(SEARCH("Value Missing",F90)))</xm:f>
            <xm:f>"Value Missing"</xm:f>
            <x14:dxf>
              <font>
                <color rgb="FF9C0006"/>
              </font>
              <fill>
                <patternFill>
                  <bgColor rgb="FFFFC7CE"/>
                </patternFill>
              </fill>
            </x14:dxf>
          </x14:cfRule>
          <x14:cfRule type="notContainsText" priority="280" operator="notContains" id="{0FC6281C-048E-4542-B091-5FAB4609C1F0}">
            <xm:f>ISERROR(SEARCH("Value Missing",F90))</xm:f>
            <xm:f>"Value Missing"</xm:f>
            <x14:dxf>
              <font>
                <color rgb="FF006100"/>
              </font>
              <fill>
                <patternFill>
                  <bgColor rgb="FFC6EFCE"/>
                </patternFill>
              </fill>
            </x14:dxf>
          </x14:cfRule>
          <x14:cfRule type="containsText" priority="281" operator="containsText" id="{B360FADC-B8C9-FD4A-9277-CFA4A60D1F1D}">
            <xm:f>NOT(ISERROR(SEARCH("Value Missing",F90)))</xm:f>
            <xm:f>"Value Missing"</xm:f>
            <x14:dxf>
              <font>
                <color rgb="FF9C0006"/>
              </font>
              <fill>
                <patternFill>
                  <bgColor rgb="FFFFC7CE"/>
                </patternFill>
              </fill>
            </x14:dxf>
          </x14:cfRule>
          <xm:sqref>F90:F95</xm:sqref>
        </x14:conditionalFormatting>
        <x14:conditionalFormatting xmlns:xm="http://schemas.microsoft.com/office/excel/2006/main">
          <x14:cfRule type="containsText" priority="274" stopIfTrue="1" operator="containsText" id="{0831BD51-5711-C543-880C-EFF00DF61074}">
            <xm:f>NOT(ISERROR(SEARCH("Value Missing",F90)))</xm:f>
            <xm:f>"Value Missing"</xm:f>
            <x14:dxf>
              <font>
                <color rgb="FF0E223A"/>
              </font>
              <fill>
                <patternFill>
                  <bgColor rgb="FFFFBE29"/>
                </patternFill>
              </fill>
            </x14:dxf>
          </x14:cfRule>
          <x14:cfRule type="notContainsText" priority="283" operator="notContains" id="{B50294B2-1EAA-CF43-81A0-FDADDE41DC6A}">
            <xm:f>ISERROR(SEARCH("Value Missing",F90))</xm:f>
            <xm:f>"Value Missing"</xm:f>
            <x14:dxf>
              <font>
                <color rgb="FF006100"/>
              </font>
              <fill>
                <patternFill>
                  <bgColor rgb="FFC6EFCE"/>
                </patternFill>
              </fill>
            </x14:dxf>
          </x14:cfRule>
          <x14:cfRule type="containsText" priority="284" operator="containsText" id="{F9E2C018-8870-DF4C-81D7-3C375A8F3739}">
            <xm:f>NOT(ISERROR(SEARCH("Value Missing",F90)))</xm:f>
            <xm:f>"Value Missing"</xm:f>
            <x14:dxf>
              <font>
                <color rgb="FF9C0006"/>
              </font>
              <fill>
                <patternFill>
                  <bgColor rgb="FFFFC7CE"/>
                </patternFill>
              </fill>
            </x14:dxf>
          </x14:cfRule>
          <xm:sqref>F90:F96</xm:sqref>
        </x14:conditionalFormatting>
        <x14:conditionalFormatting xmlns:xm="http://schemas.microsoft.com/office/excel/2006/main">
          <x14:cfRule type="containsText" priority="2241" operator="containsText" id="{FC1C4826-F84D-4043-AB84-97E82518057E}">
            <xm:f>NOT(ISERROR(SEARCH("Value Missing",F61)))</xm:f>
            <xm:f>"Value Missing"</xm:f>
            <x14:dxf>
              <font>
                <color rgb="FF9C0006"/>
              </font>
              <fill>
                <patternFill>
                  <bgColor rgb="FFFFC7CE"/>
                </patternFill>
              </fill>
            </x14:dxf>
          </x14:cfRule>
          <xm:sqref>F110:F111 R61:R64 R83:R86 R112:R113 R117:R118</xm:sqref>
        </x14:conditionalFormatting>
        <x14:conditionalFormatting xmlns:xm="http://schemas.microsoft.com/office/excel/2006/main">
          <x14:cfRule type="containsText" priority="2223" operator="containsText" id="{72123F4B-709A-374A-9878-3CD45AC708BF}">
            <xm:f>NOT(ISERROR(SEARCH("Value Missing",F8)))</xm:f>
            <xm:f>"Value Missing"</xm:f>
            <x14:dxf>
              <font>
                <color rgb="FF9C0006"/>
              </font>
              <fill>
                <patternFill>
                  <bgColor rgb="FFFFC7CE"/>
                </patternFill>
              </fill>
            </x14:dxf>
          </x14:cfRule>
          <xm:sqref>F110:F111 U8:U36</xm:sqref>
        </x14:conditionalFormatting>
        <x14:conditionalFormatting xmlns:xm="http://schemas.microsoft.com/office/excel/2006/main">
          <x14:cfRule type="containsText" priority="906" stopIfTrue="1" operator="containsText" id="{4F5B644A-10A1-1D4F-84AD-0358D43C10AC}">
            <xm:f>NOT(ISERROR(SEARCH("Value Missing",F115)))</xm:f>
            <xm:f>"Value Missing"</xm:f>
            <x14:dxf>
              <font>
                <color rgb="FF0E223A"/>
              </font>
              <fill>
                <patternFill>
                  <bgColor rgb="FFFFBE29"/>
                </patternFill>
              </fill>
            </x14:dxf>
          </x14:cfRule>
          <x14:cfRule type="notContainsText" priority="910" operator="notContains" id="{296704CA-9B80-7D46-9173-B92F71A5C879}">
            <xm:f>ISERROR(SEARCH("Value Missing",F115))</xm:f>
            <xm:f>"Value Missing"</xm:f>
            <x14:dxf>
              <font>
                <color rgb="FF006100"/>
              </font>
              <fill>
                <patternFill>
                  <bgColor rgb="FFC6EFCE"/>
                </patternFill>
              </fill>
            </x14:dxf>
          </x14:cfRule>
          <x14:cfRule type="containsText" priority="911" operator="containsText" id="{E8D1464C-771D-DD49-8D18-5E048C9276C9}">
            <xm:f>NOT(ISERROR(SEARCH("Value Missing",F115)))</xm:f>
            <xm:f>"Value Missing"</xm:f>
            <x14:dxf>
              <font>
                <color rgb="FF9C0006"/>
              </font>
              <fill>
                <patternFill>
                  <bgColor rgb="FFFFC7CE"/>
                </patternFill>
              </fill>
            </x14:dxf>
          </x14:cfRule>
          <x14:cfRule type="notContainsText" priority="912" operator="notContains" id="{B4325B3F-1F20-7549-8A4A-FB519AE4BB8F}">
            <xm:f>ISERROR(SEARCH("Value Missing",F115))</xm:f>
            <xm:f>"Value Missing"</xm:f>
            <x14:dxf>
              <font>
                <color rgb="FF006100"/>
              </font>
              <fill>
                <patternFill>
                  <bgColor rgb="FFC6EFCE"/>
                </patternFill>
              </fill>
            </x14:dxf>
          </x14:cfRule>
          <x14:cfRule type="containsText" priority="913" operator="containsText" id="{84A97266-B750-E445-9B79-EC1D979CA189}">
            <xm:f>NOT(ISERROR(SEARCH("Value Missing",F115)))</xm:f>
            <xm:f>"Value Missing"</xm:f>
            <x14:dxf>
              <font>
                <color rgb="FF9C0006"/>
              </font>
              <fill>
                <patternFill>
                  <bgColor rgb="FFFFC7CE"/>
                </patternFill>
              </fill>
            </x14:dxf>
          </x14:cfRule>
          <x14:cfRule type="notContainsText" priority="915" operator="notContains" id="{65845B85-5B9D-FD4A-88E0-7966F754EC6E}">
            <xm:f>ISERROR(SEARCH("Value Missing",F115))</xm:f>
            <xm:f>"Value Missing"</xm:f>
            <x14:dxf>
              <font>
                <color rgb="FF006100"/>
              </font>
              <fill>
                <patternFill>
                  <bgColor rgb="FFC6EFCE"/>
                </patternFill>
              </fill>
            </x14:dxf>
          </x14:cfRule>
          <x14:cfRule type="containsText" priority="916" operator="containsText" id="{54FE884C-E5A9-794A-81A8-BCB5D53EC01A}">
            <xm:f>NOT(ISERROR(SEARCH("Value Missing",F115)))</xm:f>
            <xm:f>"Value Missing"</xm:f>
            <x14:dxf>
              <font>
                <color rgb="FF9C0006"/>
              </font>
              <fill>
                <patternFill>
                  <bgColor rgb="FFFFC7CE"/>
                </patternFill>
              </fill>
            </x14:dxf>
          </x14:cfRule>
          <xm:sqref>F115:F120</xm:sqref>
        </x14:conditionalFormatting>
        <x14:conditionalFormatting xmlns:xm="http://schemas.microsoft.com/office/excel/2006/main">
          <x14:cfRule type="notContainsText" priority="259" operator="notContains" id="{B99C792E-16A1-934D-A338-7FEBDAD12263}">
            <xm:f>ISERROR(SEARCH("Value Missing",F124))</xm:f>
            <xm:f>"Value Missing"</xm:f>
            <x14:dxf>
              <font>
                <color rgb="FF006100"/>
              </font>
              <fill>
                <patternFill>
                  <bgColor rgb="FFC6EFCE"/>
                </patternFill>
              </fill>
            </x14:dxf>
          </x14:cfRule>
          <x14:cfRule type="containsText" priority="260" operator="containsText" id="{EBB165B4-A6FB-5747-A631-E54187F7D898}">
            <xm:f>NOT(ISERROR(SEARCH("Value Missing",F124)))</xm:f>
            <xm:f>"Value Missing"</xm:f>
            <x14:dxf>
              <font>
                <color rgb="FF9C0006"/>
              </font>
              <fill>
                <patternFill>
                  <bgColor rgb="FFFFC7CE"/>
                </patternFill>
              </fill>
            </x14:dxf>
          </x14:cfRule>
          <xm:sqref>F124:F130</xm:sqref>
        </x14:conditionalFormatting>
        <x14:conditionalFormatting xmlns:xm="http://schemas.microsoft.com/office/excel/2006/main">
          <x14:cfRule type="notContainsText" priority="254" operator="notContains" id="{31E8D06A-E916-B84E-9084-78068BEA4092}">
            <xm:f>ISERROR(SEARCH("Value Missing",F126))</xm:f>
            <xm:f>"Value Missing"</xm:f>
            <x14:dxf>
              <font>
                <color rgb="FF006100"/>
              </font>
              <fill>
                <patternFill>
                  <bgColor rgb="FFC6EFCE"/>
                </patternFill>
              </fill>
            </x14:dxf>
          </x14:cfRule>
          <x14:cfRule type="containsText" priority="255" operator="containsText" id="{B82DDD2A-4725-BB45-8AB5-6731986C0A8D}">
            <xm:f>NOT(ISERROR(SEARCH("Value Missing",F126)))</xm:f>
            <xm:f>"Value Missing"</xm:f>
            <x14:dxf>
              <font>
                <color rgb="FF9C0006"/>
              </font>
              <fill>
                <patternFill>
                  <bgColor rgb="FFFFC7CE"/>
                </patternFill>
              </fill>
            </x14:dxf>
          </x14:cfRule>
          <x14:cfRule type="notContainsText" priority="256" operator="notContains" id="{22189B69-1E4E-D640-B7E8-46BD75875693}">
            <xm:f>ISERROR(SEARCH("Value Missing",F126))</xm:f>
            <xm:f>"Value Missing"</xm:f>
            <x14:dxf>
              <font>
                <color rgb="FF006100"/>
              </font>
              <fill>
                <patternFill>
                  <bgColor rgb="FFC6EFCE"/>
                </patternFill>
              </fill>
            </x14:dxf>
          </x14:cfRule>
          <x14:cfRule type="containsText" priority="257" operator="containsText" id="{DE8BD9DD-9B0C-1646-BAA7-4526A23D74EF}">
            <xm:f>NOT(ISERROR(SEARCH("Value Missing",F126)))</xm:f>
            <xm:f>"Value Missing"</xm:f>
            <x14:dxf>
              <font>
                <color rgb="FF9C0006"/>
              </font>
              <fill>
                <patternFill>
                  <bgColor rgb="FFFFC7CE"/>
                </patternFill>
              </fill>
            </x14:dxf>
          </x14:cfRule>
          <xm:sqref>F126:F128</xm:sqref>
        </x14:conditionalFormatting>
        <x14:conditionalFormatting xmlns:xm="http://schemas.microsoft.com/office/excel/2006/main">
          <x14:cfRule type="containsText" priority="250" stopIfTrue="1" operator="containsText" id="{552043C1-5FB6-7E43-96A8-7C25AC814931}">
            <xm:f>NOT(ISERROR(SEARCH("Value Missing",F126)))</xm:f>
            <xm:f>"Value Missing"</xm:f>
            <x14:dxf>
              <font>
                <color rgb="FF0E223A"/>
              </font>
              <fill>
                <patternFill>
                  <bgColor rgb="FFFFBE29"/>
                </patternFill>
              </fill>
            </x14:dxf>
          </x14:cfRule>
          <xm:sqref>F126:F130</xm:sqref>
        </x14:conditionalFormatting>
        <x14:conditionalFormatting xmlns:xm="http://schemas.microsoft.com/office/excel/2006/main">
          <x14:cfRule type="notContainsText" priority="581" operator="notContains" id="{FDEE7712-1B7F-E84D-BFB0-D15565043ABA}">
            <xm:f>ISERROR(SEARCH("Value Missing",F134))</xm:f>
            <xm:f>"Value Missing"</xm:f>
            <x14:dxf>
              <font>
                <color rgb="FF006100"/>
              </font>
              <fill>
                <patternFill>
                  <bgColor rgb="FFC6EFCE"/>
                </patternFill>
              </fill>
            </x14:dxf>
          </x14:cfRule>
          <x14:cfRule type="containsText" priority="582" operator="containsText" id="{C8BE7839-1B90-7842-B71E-1502F9D95B6C}">
            <xm:f>NOT(ISERROR(SEARCH("Value Missing",F134)))</xm:f>
            <xm:f>"Value Missing"</xm:f>
            <x14:dxf>
              <font>
                <color rgb="FF9C0006"/>
              </font>
              <fill>
                <patternFill>
                  <bgColor rgb="FFFFC7CE"/>
                </patternFill>
              </fill>
            </x14:dxf>
          </x14:cfRule>
          <xm:sqref>F134:F139</xm:sqref>
        </x14:conditionalFormatting>
        <x14:conditionalFormatting xmlns:xm="http://schemas.microsoft.com/office/excel/2006/main">
          <x14:cfRule type="notContainsText" priority="576" operator="notContains" id="{EEC65140-B91D-354F-BA82-9D88A22FD84B}">
            <xm:f>ISERROR(SEARCH("Value Missing",F136))</xm:f>
            <xm:f>"Value Missing"</xm:f>
            <x14:dxf>
              <font>
                <color rgb="FF006100"/>
              </font>
              <fill>
                <patternFill>
                  <bgColor rgb="FFC6EFCE"/>
                </patternFill>
              </fill>
            </x14:dxf>
          </x14:cfRule>
          <x14:cfRule type="containsText" priority="577" operator="containsText" id="{8931243A-09C6-2044-B7C4-A6618315635F}">
            <xm:f>NOT(ISERROR(SEARCH("Value Missing",F136)))</xm:f>
            <xm:f>"Value Missing"</xm:f>
            <x14:dxf>
              <font>
                <color rgb="FF9C0006"/>
              </font>
              <fill>
                <patternFill>
                  <bgColor rgb="FFFFC7CE"/>
                </patternFill>
              </fill>
            </x14:dxf>
          </x14:cfRule>
          <x14:cfRule type="notContainsText" priority="578" operator="notContains" id="{4FE517B1-0047-2245-ACB6-55A2DA6B0BF5}">
            <xm:f>ISERROR(SEARCH("Value Missing",F136))</xm:f>
            <xm:f>"Value Missing"</xm:f>
            <x14:dxf>
              <font>
                <color rgb="FF006100"/>
              </font>
              <fill>
                <patternFill>
                  <bgColor rgb="FFC6EFCE"/>
                </patternFill>
              </fill>
            </x14:dxf>
          </x14:cfRule>
          <x14:cfRule type="containsText" priority="579" operator="containsText" id="{2888012B-9C4E-5346-A49B-A7E828140017}">
            <xm:f>NOT(ISERROR(SEARCH("Value Missing",F136)))</xm:f>
            <xm:f>"Value Missing"</xm:f>
            <x14:dxf>
              <font>
                <color rgb="FF9C0006"/>
              </font>
              <fill>
                <patternFill>
                  <bgColor rgb="FFFFC7CE"/>
                </patternFill>
              </fill>
            </x14:dxf>
          </x14:cfRule>
          <xm:sqref>F136:F141</xm:sqref>
        </x14:conditionalFormatting>
        <x14:conditionalFormatting xmlns:xm="http://schemas.microsoft.com/office/excel/2006/main">
          <x14:cfRule type="containsText" priority="230" stopIfTrue="1" operator="containsText" id="{378A49C7-A79F-D445-96C7-4ACB2F1CE767}">
            <xm:f>NOT(ISERROR(SEARCH("Value Missing",C136)))</xm:f>
            <xm:f>"Value Missing"</xm:f>
            <x14:dxf>
              <font>
                <color rgb="FF0E223A"/>
              </font>
              <fill>
                <patternFill>
                  <bgColor rgb="FFFFBE29"/>
                </patternFill>
              </fill>
            </x14:dxf>
          </x14:cfRule>
          <xm:sqref>F136:F144 C214:C224 C226:C233 L254:L262</xm:sqref>
        </x14:conditionalFormatting>
        <x14:conditionalFormatting xmlns:xm="http://schemas.microsoft.com/office/excel/2006/main">
          <x14:cfRule type="containsText" priority="245" operator="containsText" id="{A01C0CFD-6D39-E144-8B18-669CE399AD51}">
            <xm:f>NOT(ISERROR(SEARCH("Value Missing",C140)))</xm:f>
            <xm:f>"Value Missing"</xm:f>
            <x14:dxf>
              <font>
                <color rgb="FF9C0006"/>
              </font>
              <fill>
                <patternFill>
                  <bgColor rgb="FFFFC7CE"/>
                </patternFill>
              </fill>
            </x14:dxf>
          </x14:cfRule>
          <xm:sqref>F140:F141 C196:C201</xm:sqref>
        </x14:conditionalFormatting>
        <x14:conditionalFormatting xmlns:xm="http://schemas.microsoft.com/office/excel/2006/main">
          <x14:cfRule type="notContainsText" priority="900" operator="notContains" id="{5CDC1DE4-3224-C14F-BC98-7CA9086C50F5}">
            <xm:f>ISERROR(SEARCH("Value Missing",F148))</xm:f>
            <xm:f>"Value Missing"</xm:f>
            <x14:dxf>
              <font>
                <color rgb="FF006100"/>
              </font>
              <fill>
                <patternFill>
                  <bgColor rgb="FFC6EFCE"/>
                </patternFill>
              </fill>
            </x14:dxf>
          </x14:cfRule>
          <x14:cfRule type="containsText" priority="901" operator="containsText" id="{6F505483-B797-E84A-B1C0-3EA1C7AB5DDA}">
            <xm:f>NOT(ISERROR(SEARCH("Value Missing",F148)))</xm:f>
            <xm:f>"Value Missing"</xm:f>
            <x14:dxf>
              <font>
                <color rgb="FF9C0006"/>
              </font>
              <fill>
                <patternFill>
                  <bgColor rgb="FFFFC7CE"/>
                </patternFill>
              </fill>
            </x14:dxf>
          </x14:cfRule>
          <x14:cfRule type="notContainsText" priority="903" operator="notContains" id="{EB100480-97AC-4649-AE2D-7AD127E9F904}">
            <xm:f>ISERROR(SEARCH("Value Missing",F148))</xm:f>
            <xm:f>"Value Missing"</xm:f>
            <x14:dxf>
              <font>
                <color rgb="FF006100"/>
              </font>
              <fill>
                <patternFill>
                  <bgColor rgb="FFC6EFCE"/>
                </patternFill>
              </fill>
            </x14:dxf>
          </x14:cfRule>
          <x14:cfRule type="containsText" priority="904" operator="containsText" id="{D0CCDC81-55F3-A24C-BBC3-82AD64C9691F}">
            <xm:f>NOT(ISERROR(SEARCH("Value Missing",F148)))</xm:f>
            <xm:f>"Value Missing"</xm:f>
            <x14:dxf>
              <font>
                <color rgb="FF9C0006"/>
              </font>
              <fill>
                <patternFill>
                  <bgColor rgb="FFFFC7CE"/>
                </patternFill>
              </fill>
            </x14:dxf>
          </x14:cfRule>
          <xm:sqref>F148:F150</xm:sqref>
        </x14:conditionalFormatting>
        <x14:conditionalFormatting xmlns:xm="http://schemas.microsoft.com/office/excel/2006/main">
          <x14:cfRule type="notContainsText" priority="569" operator="notContains" id="{B5D7AAEF-EA09-214C-9209-41E16B51867F}">
            <xm:f>ISERROR(SEARCH("Value Missing",F148))</xm:f>
            <xm:f>"Value Missing"</xm:f>
            <x14:dxf>
              <font>
                <color rgb="FF006100"/>
              </font>
              <fill>
                <patternFill>
                  <bgColor rgb="FFC6EFCE"/>
                </patternFill>
              </fill>
            </x14:dxf>
          </x14:cfRule>
          <x14:cfRule type="containsText" priority="570" operator="containsText" id="{90B845BC-4A54-B949-A6B8-8602D72496DC}">
            <xm:f>NOT(ISERROR(SEARCH("Value Missing",F148)))</xm:f>
            <xm:f>"Value Missing"</xm:f>
            <x14:dxf>
              <font>
                <color rgb="FF9C0006"/>
              </font>
              <fill>
                <patternFill>
                  <bgColor rgb="FFFFC7CE"/>
                </patternFill>
              </fill>
            </x14:dxf>
          </x14:cfRule>
          <xm:sqref>F148:F156</xm:sqref>
        </x14:conditionalFormatting>
        <x14:conditionalFormatting xmlns:xm="http://schemas.microsoft.com/office/excel/2006/main">
          <x14:cfRule type="containsText" priority="560" stopIfTrue="1" operator="containsText" id="{0D168695-3B05-114E-9586-21A13CA44D46}">
            <xm:f>NOT(ISERROR(SEARCH("Value Missing",F148)))</xm:f>
            <xm:f>"Value Missing"</xm:f>
            <x14:dxf>
              <font>
                <color rgb="FF0E223A"/>
              </font>
              <fill>
                <patternFill>
                  <bgColor rgb="FFFFBE29"/>
                </patternFill>
              </fill>
            </x14:dxf>
          </x14:cfRule>
          <xm:sqref>F148:F162</xm:sqref>
        </x14:conditionalFormatting>
        <x14:conditionalFormatting xmlns:xm="http://schemas.microsoft.com/office/excel/2006/main">
          <x14:cfRule type="notContainsText" priority="564" operator="notContains" id="{DFAA3D8A-DA72-AE4D-BDD0-1B4C31D4A7DF}">
            <xm:f>ISERROR(SEARCH("Value Missing",F151))</xm:f>
            <xm:f>"Value Missing"</xm:f>
            <x14:dxf>
              <font>
                <color rgb="FF006100"/>
              </font>
              <fill>
                <patternFill>
                  <bgColor rgb="FFC6EFCE"/>
                </patternFill>
              </fill>
            </x14:dxf>
          </x14:cfRule>
          <x14:cfRule type="containsText" priority="565" operator="containsText" id="{BB475915-5DC0-324C-A93A-88361A5D862E}">
            <xm:f>NOT(ISERROR(SEARCH("Value Missing",F151)))</xm:f>
            <xm:f>"Value Missing"</xm:f>
            <x14:dxf>
              <font>
                <color rgb="FF9C0006"/>
              </font>
              <fill>
                <patternFill>
                  <bgColor rgb="FFFFC7CE"/>
                </patternFill>
              </fill>
            </x14:dxf>
          </x14:cfRule>
          <x14:cfRule type="notContainsText" priority="566" operator="notContains" id="{75ED6FA6-1C27-F145-873D-3D21CFE5EB61}">
            <xm:f>ISERROR(SEARCH("Value Missing",F151))</xm:f>
            <xm:f>"Value Missing"</xm:f>
            <x14:dxf>
              <font>
                <color rgb="FF006100"/>
              </font>
              <fill>
                <patternFill>
                  <bgColor rgb="FFC6EFCE"/>
                </patternFill>
              </fill>
            </x14:dxf>
          </x14:cfRule>
          <x14:cfRule type="containsText" priority="567" operator="containsText" id="{B540085E-D37A-5047-BA45-F8C60776869D}">
            <xm:f>NOT(ISERROR(SEARCH("Value Missing",F151)))</xm:f>
            <xm:f>"Value Missing"</xm:f>
            <x14:dxf>
              <font>
                <color rgb="FF9C0006"/>
              </font>
              <fill>
                <patternFill>
                  <bgColor rgb="FFFFC7CE"/>
                </patternFill>
              </fill>
            </x14:dxf>
          </x14:cfRule>
          <xm:sqref>F151</xm:sqref>
        </x14:conditionalFormatting>
        <x14:conditionalFormatting xmlns:xm="http://schemas.microsoft.com/office/excel/2006/main">
          <x14:cfRule type="notContainsText" priority="590" operator="notContains" id="{9962C4FE-9FA8-704A-B0C0-23F78B2D2435}">
            <xm:f>ISERROR(SEARCH("Value Missing",F152))</xm:f>
            <xm:f>"Value Missing"</xm:f>
            <x14:dxf>
              <font>
                <color rgb="FF006100"/>
              </font>
              <fill>
                <patternFill>
                  <bgColor rgb="FFC6EFCE"/>
                </patternFill>
              </fill>
            </x14:dxf>
          </x14:cfRule>
          <x14:cfRule type="containsText" priority="591" operator="containsText" id="{1752516E-E5FD-A942-8B09-F686547CD638}">
            <xm:f>NOT(ISERROR(SEARCH("Value Missing",F152)))</xm:f>
            <xm:f>"Value Missing"</xm:f>
            <x14:dxf>
              <font>
                <color rgb="FF9C0006"/>
              </font>
              <fill>
                <patternFill>
                  <bgColor rgb="FFFFC7CE"/>
                </patternFill>
              </fill>
            </x14:dxf>
          </x14:cfRule>
          <xm:sqref>F152:F156</xm:sqref>
        </x14:conditionalFormatting>
        <x14:conditionalFormatting xmlns:xm="http://schemas.microsoft.com/office/excel/2006/main">
          <x14:cfRule type="notContainsText" priority="593" operator="notContains" id="{95450771-CDCE-704C-8AF4-0F274C35DA18}">
            <xm:f>ISERROR(SEARCH("Value Missing",F152))</xm:f>
            <xm:f>"Value Missing"</xm:f>
            <x14:dxf>
              <font>
                <color rgb="FF006100"/>
              </font>
              <fill>
                <patternFill>
                  <bgColor rgb="FFC6EFCE"/>
                </patternFill>
              </fill>
            </x14:dxf>
          </x14:cfRule>
          <x14:cfRule type="containsText" priority="594" operator="containsText" id="{1DA3D34C-74C7-B549-B9E0-520C2FA14718}">
            <xm:f>NOT(ISERROR(SEARCH("Value Missing",F152)))</xm:f>
            <xm:f>"Value Missing"</xm:f>
            <x14:dxf>
              <font>
                <color rgb="FF9C0006"/>
              </font>
              <fill>
                <patternFill>
                  <bgColor rgb="FFFFC7CE"/>
                </patternFill>
              </fill>
            </x14:dxf>
          </x14:cfRule>
          <xm:sqref>F152:F162</xm:sqref>
        </x14:conditionalFormatting>
        <x14:conditionalFormatting xmlns:xm="http://schemas.microsoft.com/office/excel/2006/main">
          <x14:cfRule type="containsText" priority="222" stopIfTrue="1" operator="containsText" id="{D2045D45-F790-4F46-90F4-DE7AA45872D7}">
            <xm:f>NOT(ISERROR(SEARCH("Value Missing",C164)))</xm:f>
            <xm:f>"Value Missing"</xm:f>
            <x14:dxf>
              <font>
                <color rgb="FF0E223A"/>
              </font>
              <fill>
                <patternFill>
                  <bgColor rgb="FFFFBE29"/>
                </patternFill>
              </fill>
            </x14:dxf>
          </x14:cfRule>
          <xm:sqref>F164:F196 C235:C242</xm:sqref>
        </x14:conditionalFormatting>
        <x14:conditionalFormatting xmlns:xm="http://schemas.microsoft.com/office/excel/2006/main">
          <x14:cfRule type="notContainsText" priority="202" operator="notContains" id="{124710C1-A5A7-6D41-BB32-FCC3646701CE}">
            <xm:f>ISERROR(SEARCH("Value Missing",F195))</xm:f>
            <xm:f>"Value Missing"</xm:f>
            <x14:dxf>
              <font>
                <color rgb="FF006100"/>
              </font>
              <fill>
                <patternFill>
                  <bgColor rgb="FFC6EFCE"/>
                </patternFill>
              </fill>
            </x14:dxf>
          </x14:cfRule>
          <x14:cfRule type="containsText" priority="203" operator="containsText" id="{C6324A02-D0EA-6A48-B3D6-9C7CF26279BD}">
            <xm:f>NOT(ISERROR(SEARCH("Value Missing",F195)))</xm:f>
            <xm:f>"Value Missing"</xm:f>
            <x14:dxf>
              <font>
                <color rgb="FF9C0006"/>
              </font>
              <fill>
                <patternFill>
                  <bgColor rgb="FFFFC7CE"/>
                </patternFill>
              </fill>
            </x14:dxf>
          </x14:cfRule>
          <x14:cfRule type="notContainsText" priority="204" operator="notContains" id="{112E4F9D-3F37-1946-B8FB-F9C6D10B2DBA}">
            <xm:f>ISERROR(SEARCH("Value Missing",F195))</xm:f>
            <xm:f>"Value Missing"</xm:f>
            <x14:dxf>
              <font>
                <color rgb="FF006100"/>
              </font>
              <fill>
                <patternFill>
                  <bgColor rgb="FFC6EFCE"/>
                </patternFill>
              </fill>
            </x14:dxf>
          </x14:cfRule>
          <x14:cfRule type="containsText" priority="205" operator="containsText" id="{04C79DC9-F5D5-0C48-8171-397832D5F516}">
            <xm:f>NOT(ISERROR(SEARCH("Value Missing",F195)))</xm:f>
            <xm:f>"Value Missing"</xm:f>
            <x14:dxf>
              <font>
                <color rgb="FF9C0006"/>
              </font>
              <fill>
                <patternFill>
                  <bgColor rgb="FFFFC7CE"/>
                </patternFill>
              </fill>
            </x14:dxf>
          </x14:cfRule>
          <x14:cfRule type="notContainsText" priority="207" operator="notContains" id="{1A134DFF-DA55-274A-9289-0D37AFF5E12E}">
            <xm:f>ISERROR(SEARCH("Value Missing",F195))</xm:f>
            <xm:f>"Value Missing"</xm:f>
            <x14:dxf>
              <font>
                <color rgb="FF006100"/>
              </font>
              <fill>
                <patternFill>
                  <bgColor rgb="FFC6EFCE"/>
                </patternFill>
              </fill>
            </x14:dxf>
          </x14:cfRule>
          <x14:cfRule type="containsText" priority="208" operator="containsText" id="{8056AF2E-9C5F-6F47-A4A3-00568163C277}">
            <xm:f>NOT(ISERROR(SEARCH("Value Missing",F195)))</xm:f>
            <xm:f>"Value Missing"</xm:f>
            <x14:dxf>
              <font>
                <color rgb="FF9C0006"/>
              </font>
              <fill>
                <patternFill>
                  <bgColor rgb="FFFFC7CE"/>
                </patternFill>
              </fill>
            </x14:dxf>
          </x14:cfRule>
          <xm:sqref>F195:F196</xm:sqref>
        </x14:conditionalFormatting>
        <x14:conditionalFormatting xmlns:xm="http://schemas.microsoft.com/office/excel/2006/main">
          <x14:cfRule type="containsText" priority="26" stopIfTrue="1" operator="containsText" id="{4961D2EA-BC4F-5C49-8B18-F80E60350CD9}">
            <xm:f>NOT(ISERROR(SEARCH("Value Missing",F200)))</xm:f>
            <xm:f>"Value Missing"</xm:f>
            <x14:dxf>
              <font>
                <color rgb="FF0E223A"/>
              </font>
              <fill>
                <patternFill>
                  <bgColor rgb="FFFFBE29"/>
                </patternFill>
              </fill>
            </x14:dxf>
          </x14:cfRule>
          <xm:sqref>F200:F217</xm:sqref>
        </x14:conditionalFormatting>
        <x14:conditionalFormatting xmlns:xm="http://schemas.microsoft.com/office/excel/2006/main">
          <x14:cfRule type="containsText" priority="18" stopIfTrue="1" operator="containsText" id="{11CBEFC5-FDEA-5A42-B829-395EEBD725DE}">
            <xm:f>NOT(ISERROR(SEARCH("Value Missing",F220)))</xm:f>
            <xm:f>"Value Missing"</xm:f>
            <x14:dxf>
              <font>
                <color rgb="FF0E223A"/>
              </font>
              <fill>
                <patternFill>
                  <bgColor rgb="FFFFBE29"/>
                </patternFill>
              </fill>
            </x14:dxf>
          </x14:cfRule>
          <xm:sqref>F220:F237</xm:sqref>
        </x14:conditionalFormatting>
        <x14:conditionalFormatting xmlns:xm="http://schemas.microsoft.com/office/excel/2006/main">
          <x14:cfRule type="containsText" priority="2" stopIfTrue="1" operator="containsText" id="{F1BEB068-3A4E-3443-901D-BC797716B52C}">
            <xm:f>NOT(ISERROR(SEARCH("Value Missing",F242)))</xm:f>
            <xm:f>"Value Missing"</xm:f>
            <x14:dxf>
              <font>
                <color rgb="FF0E223A"/>
              </font>
              <fill>
                <patternFill>
                  <bgColor rgb="FFFFBE29"/>
                </patternFill>
              </fill>
            </x14:dxf>
          </x14:cfRule>
          <xm:sqref>F242:F272</xm:sqref>
        </x14:conditionalFormatting>
        <x14:conditionalFormatting xmlns:xm="http://schemas.microsoft.com/office/excel/2006/main">
          <x14:cfRule type="containsText" priority="10" stopIfTrue="1" operator="containsText" id="{487D348C-54DE-074D-B52F-BCB96AD364B0}">
            <xm:f>NOT(ISERROR(SEARCH("Value Missing",F275)))</xm:f>
            <xm:f>"Value Missing"</xm:f>
            <x14:dxf>
              <font>
                <color rgb="FF0E223A"/>
              </font>
              <fill>
                <patternFill>
                  <bgColor rgb="FFFFBE29"/>
                </patternFill>
              </fill>
            </x14:dxf>
          </x14:cfRule>
          <xm:sqref>F275:F282</xm:sqref>
        </x14:conditionalFormatting>
        <x14:conditionalFormatting xmlns:xm="http://schemas.microsoft.com/office/excel/2006/main">
          <x14:cfRule type="containsText" priority="533" stopIfTrue="1" operator="containsText" id="{B3480505-F41F-5E4F-90A1-8A245E3728B3}">
            <xm:f>NOT(ISERROR(SEARCH("Value Missing",I8)))</xm:f>
            <xm:f>"Value Missing"</xm:f>
            <x14:dxf>
              <font>
                <color rgb="FF0E223A"/>
              </font>
              <fill>
                <patternFill>
                  <bgColor rgb="FFFFBE29"/>
                </patternFill>
              </fill>
            </x14:dxf>
          </x14:cfRule>
          <xm:sqref>I8:I10 I12:I15 I57:I73 I17:I25 I27:I35 I37:I45</xm:sqref>
        </x14:conditionalFormatting>
        <x14:conditionalFormatting xmlns:xm="http://schemas.microsoft.com/office/excel/2006/main">
          <x14:cfRule type="containsText" priority="545" stopIfTrue="1" operator="containsText" id="{AAB2D5E8-39AB-8243-B1D2-12EFB0EC13A5}">
            <xm:f>NOT(ISERROR(SEARCH("Value Missing",I17)))</xm:f>
            <xm:f>"Value Missing"</xm:f>
            <x14:dxf>
              <font>
                <color rgb="FF0E223A"/>
              </font>
              <fill>
                <patternFill>
                  <bgColor rgb="FFFFBE29"/>
                </patternFill>
              </fill>
            </x14:dxf>
          </x14:cfRule>
          <xm:sqref>I17:I25 I27:I35 I37:I45</xm:sqref>
        </x14:conditionalFormatting>
        <x14:conditionalFormatting xmlns:xm="http://schemas.microsoft.com/office/excel/2006/main">
          <x14:cfRule type="containsText" priority="80" stopIfTrue="1" operator="containsText" id="{0B5A3707-83AB-CE4C-BF05-4A22BD5EC31E}">
            <xm:f>NOT(ISERROR(SEARCH("Value Missing",I47)))</xm:f>
            <xm:f>"Value Missing"</xm:f>
            <x14:dxf>
              <font>
                <color rgb="FF0E223A"/>
              </font>
              <fill>
                <patternFill>
                  <bgColor rgb="FFFFBE29"/>
                </patternFill>
              </fill>
            </x14:dxf>
          </x14:cfRule>
          <x14:cfRule type="containsText" priority="84" stopIfTrue="1" operator="containsText" id="{62581B00-3EFD-F541-8923-006A0F175BA3}">
            <xm:f>NOT(ISERROR(SEARCH("Value Missing",I47)))</xm:f>
            <xm:f>"Value Missing"</xm:f>
            <x14:dxf>
              <font>
                <color rgb="FF0E223A"/>
              </font>
              <fill>
                <patternFill>
                  <bgColor rgb="FFFFBE29"/>
                </patternFill>
              </fill>
            </x14:dxf>
          </x14:cfRule>
          <xm:sqref>I47:I55</xm:sqref>
        </x14:conditionalFormatting>
        <x14:conditionalFormatting xmlns:xm="http://schemas.microsoft.com/office/excel/2006/main">
          <x14:cfRule type="containsText" priority="509" stopIfTrue="1" operator="containsText" id="{C789315B-3C2F-5646-9AD8-0F27393EC8BD}">
            <xm:f>NOT(ISERROR(SEARCH("Value Missing",I126)))</xm:f>
            <xm:f>"Value Missing"</xm:f>
            <x14:dxf>
              <font>
                <color rgb="FF0E223A"/>
              </font>
              <fill>
                <patternFill>
                  <bgColor rgb="FFFFBE29"/>
                </patternFill>
              </fill>
            </x14:dxf>
          </x14:cfRule>
          <x14:cfRule type="notContainsText" priority="513" operator="notContains" id="{ED209BA6-CC88-7C4A-8424-B646164BB160}">
            <xm:f>ISERROR(SEARCH("Value Missing",I126))</xm:f>
            <xm:f>"Value Missing"</xm:f>
            <x14:dxf>
              <font>
                <color rgb="FF006100"/>
              </font>
              <fill>
                <patternFill>
                  <bgColor rgb="FFC6EFCE"/>
                </patternFill>
              </fill>
            </x14:dxf>
          </x14:cfRule>
          <x14:cfRule type="notContainsText" priority="517" operator="notContains" id="{22805672-15DA-0647-B566-A8CD618CB73D}">
            <xm:f>ISERROR(SEARCH("Value Missing",I126))</xm:f>
            <xm:f>"Value Missing"</xm:f>
            <x14:dxf>
              <font>
                <color rgb="FF006100"/>
              </font>
              <fill>
                <patternFill>
                  <bgColor rgb="FFC6EFCE"/>
                </patternFill>
              </fill>
            </x14:dxf>
          </x14:cfRule>
          <xm:sqref>I126:I129 I131:I134 I136:I139</xm:sqref>
        </x14:conditionalFormatting>
        <x14:conditionalFormatting xmlns:xm="http://schemas.microsoft.com/office/excel/2006/main">
          <x14:cfRule type="containsText" priority="497" stopIfTrue="1" operator="containsText" id="{E4E21A47-7B7F-CA46-8138-0AA41F01E253}">
            <xm:f>NOT(ISERROR(SEARCH("Value Missing",I141)))</xm:f>
            <xm:f>"Value Missing"</xm:f>
            <x14:dxf>
              <font>
                <color rgb="FF0E223A"/>
              </font>
              <fill>
                <patternFill>
                  <bgColor rgb="FFFFBE29"/>
                </patternFill>
              </fill>
            </x14:dxf>
          </x14:cfRule>
          <x14:cfRule type="notContainsText" priority="501" operator="notContains" id="{E7FC1F43-E9EB-F74D-855A-7B0AF5E580EE}">
            <xm:f>ISERROR(SEARCH("Value Missing",I141))</xm:f>
            <xm:f>"Value Missing"</xm:f>
            <x14:dxf>
              <font>
                <color rgb="FF006100"/>
              </font>
              <fill>
                <patternFill>
                  <bgColor rgb="FFC6EFCE"/>
                </patternFill>
              </fill>
            </x14:dxf>
          </x14:cfRule>
          <x14:cfRule type="containsText" priority="502" operator="containsText" id="{B84D4832-E658-B34D-AE9C-6A01507CF641}">
            <xm:f>NOT(ISERROR(SEARCH("Value Missing",I141)))</xm:f>
            <xm:f>"Value Missing"</xm:f>
            <x14:dxf>
              <font>
                <color rgb="FF9C0006"/>
              </font>
              <fill>
                <patternFill>
                  <bgColor rgb="FFFFC7CE"/>
                </patternFill>
              </fill>
            </x14:dxf>
          </x14:cfRule>
          <x14:cfRule type="notContainsText" priority="505" operator="notContains" id="{24CE4B8E-0F75-DE4E-9244-56D548F9DB62}">
            <xm:f>ISERROR(SEARCH("Value Missing",I141))</xm:f>
            <xm:f>"Value Missing"</xm:f>
            <x14:dxf>
              <font>
                <color rgb="FF006100"/>
              </font>
              <fill>
                <patternFill>
                  <bgColor rgb="FFC6EFCE"/>
                </patternFill>
              </fill>
            </x14:dxf>
          </x14:cfRule>
          <x14:cfRule type="containsText" priority="506" operator="containsText" id="{873E9D5E-8A00-FE41-BCD2-5F5B76C34A7E}">
            <xm:f>NOT(ISERROR(SEARCH("Value Missing",I141)))</xm:f>
            <xm:f>"Value Missing"</xm:f>
            <x14:dxf>
              <font>
                <color rgb="FF9C0006"/>
              </font>
              <fill>
                <patternFill>
                  <bgColor rgb="FFFFC7CE"/>
                </patternFill>
              </fill>
            </x14:dxf>
          </x14:cfRule>
          <x14:cfRule type="notContainsText" priority="507" operator="notContains" id="{64A936E1-A0B4-3344-B823-B0C88A30F083}">
            <xm:f>ISERROR(SEARCH("Value Missing",I141))</xm:f>
            <xm:f>"Value Missing"</xm:f>
            <x14:dxf>
              <font>
                <color rgb="FF006100"/>
              </font>
              <fill>
                <patternFill>
                  <bgColor rgb="FFC6EFCE"/>
                </patternFill>
              </fill>
            </x14:dxf>
          </x14:cfRule>
          <xm:sqref>I141:I144 I146:I149</xm:sqref>
        </x14:conditionalFormatting>
        <x14:conditionalFormatting xmlns:xm="http://schemas.microsoft.com/office/excel/2006/main">
          <x14:cfRule type="containsText" priority="473" stopIfTrue="1" operator="containsText" id="{191BE838-4409-4C46-BAC7-098F77322DA1}">
            <xm:f>NOT(ISERROR(SEARCH("Value Missing",I151)))</xm:f>
            <xm:f>"Value Missing"</xm:f>
            <x14:dxf>
              <font>
                <color rgb="FF0E223A"/>
              </font>
              <fill>
                <patternFill>
                  <bgColor rgb="FFFFBE29"/>
                </patternFill>
              </fill>
            </x14:dxf>
          </x14:cfRule>
          <x14:cfRule type="notContainsText" priority="477" operator="notContains" id="{E108BEA6-3444-4C41-88F4-78478F0D3CA1}">
            <xm:f>ISERROR(SEARCH("Value Missing",I151))</xm:f>
            <xm:f>"Value Missing"</xm:f>
            <x14:dxf>
              <font>
                <color rgb="FF006100"/>
              </font>
              <fill>
                <patternFill>
                  <bgColor rgb="FFC6EFCE"/>
                </patternFill>
              </fill>
            </x14:dxf>
          </x14:cfRule>
          <x14:cfRule type="containsText" priority="478" operator="containsText" id="{4E6045F5-D4C0-6B4C-AF3F-4505D3DBDE87}">
            <xm:f>NOT(ISERROR(SEARCH("Value Missing",I151)))</xm:f>
            <xm:f>"Value Missing"</xm:f>
            <x14:dxf>
              <font>
                <color rgb="FF9C0006"/>
              </font>
              <fill>
                <patternFill>
                  <bgColor rgb="FFFFC7CE"/>
                </patternFill>
              </fill>
            </x14:dxf>
          </x14:cfRule>
          <x14:cfRule type="notContainsText" priority="481" operator="notContains" id="{413F5A94-9277-FB4A-B341-05746C3BE9C5}">
            <xm:f>ISERROR(SEARCH("Value Missing",I151))</xm:f>
            <xm:f>"Value Missing"</xm:f>
            <x14:dxf>
              <font>
                <color rgb="FF006100"/>
              </font>
              <fill>
                <patternFill>
                  <bgColor rgb="FFC6EFCE"/>
                </patternFill>
              </fill>
            </x14:dxf>
          </x14:cfRule>
          <x14:cfRule type="containsText" priority="482" operator="containsText" id="{2AB77698-F427-3741-8EB2-9695AFFC60A0}">
            <xm:f>NOT(ISERROR(SEARCH("Value Missing",I151)))</xm:f>
            <xm:f>"Value Missing"</xm:f>
            <x14:dxf>
              <font>
                <color rgb="FF9C0006"/>
              </font>
              <fill>
                <patternFill>
                  <bgColor rgb="FFFFC7CE"/>
                </patternFill>
              </fill>
            </x14:dxf>
          </x14:cfRule>
          <x14:cfRule type="notContainsText" priority="483" operator="notContains" id="{B92AADED-222D-D74C-AAC7-4EE8D0075BB2}">
            <xm:f>ISERROR(SEARCH("Value Missing",I151))</xm:f>
            <xm:f>"Value Missing"</xm:f>
            <x14:dxf>
              <font>
                <color rgb="FF006100"/>
              </font>
              <fill>
                <patternFill>
                  <bgColor rgb="FFC6EFCE"/>
                </patternFill>
              </fill>
            </x14:dxf>
          </x14:cfRule>
          <xm:sqref>I151:I152</xm:sqref>
        </x14:conditionalFormatting>
        <x14:conditionalFormatting xmlns:xm="http://schemas.microsoft.com/office/excel/2006/main">
          <x14:cfRule type="notContainsText" priority="465" operator="notContains" id="{081475AE-57A1-6C41-8EE7-BE81E7FE8043}">
            <xm:f>ISERROR(SEARCH("Value Missing",I154))</xm:f>
            <xm:f>"Value Missing"</xm:f>
            <x14:dxf>
              <font>
                <color rgb="FF006100"/>
              </font>
              <fill>
                <patternFill>
                  <bgColor rgb="FFC6EFCE"/>
                </patternFill>
              </fill>
            </x14:dxf>
          </x14:cfRule>
          <x14:cfRule type="containsText" priority="466" operator="containsText" id="{7FBCC206-B9DE-AC44-8812-6BCEC04A5615}">
            <xm:f>NOT(ISERROR(SEARCH("Value Missing",I154)))</xm:f>
            <xm:f>"Value Missing"</xm:f>
            <x14:dxf>
              <font>
                <color rgb="FF9C0006"/>
              </font>
              <fill>
                <patternFill>
                  <bgColor rgb="FFFFC7CE"/>
                </patternFill>
              </fill>
            </x14:dxf>
          </x14:cfRule>
          <x14:cfRule type="notContainsText" priority="469" operator="notContains" id="{5651096A-8902-254B-9F26-84D63DC63B53}">
            <xm:f>ISERROR(SEARCH("Value Missing",I154))</xm:f>
            <xm:f>"Value Missing"</xm:f>
            <x14:dxf>
              <font>
                <color rgb="FF006100"/>
              </font>
              <fill>
                <patternFill>
                  <bgColor rgb="FFC6EFCE"/>
                </patternFill>
              </fill>
            </x14:dxf>
          </x14:cfRule>
          <xm:sqref>I154:I157</xm:sqref>
        </x14:conditionalFormatting>
        <x14:conditionalFormatting xmlns:xm="http://schemas.microsoft.com/office/excel/2006/main">
          <x14:cfRule type="containsText" priority="461" stopIfTrue="1" operator="containsText" id="{F82BCA92-014B-4345-9BE3-0A41EE3E7F4A}">
            <xm:f>NOT(ISERROR(SEARCH("Value Missing",I154)))</xm:f>
            <xm:f>"Value Missing"</xm:f>
            <x14:dxf>
              <font>
                <color rgb="FF0E223A"/>
              </font>
              <fill>
                <patternFill>
                  <bgColor rgb="FFFFBE29"/>
                </patternFill>
              </fill>
            </x14:dxf>
          </x14:cfRule>
          <x14:cfRule type="containsText" priority="470" operator="containsText" id="{C95A0006-2520-3F4E-8CAC-C2C2B91DA98E}">
            <xm:f>NOT(ISERROR(SEARCH("Value Missing",I154)))</xm:f>
            <xm:f>"Value Missing"</xm:f>
            <x14:dxf>
              <font>
                <color rgb="FF9C0006"/>
              </font>
              <fill>
                <patternFill>
                  <bgColor rgb="FFFFC7CE"/>
                </patternFill>
              </fill>
            </x14:dxf>
          </x14:cfRule>
          <xm:sqref>I154:I171</xm:sqref>
        </x14:conditionalFormatting>
        <x14:conditionalFormatting xmlns:xm="http://schemas.microsoft.com/office/excel/2006/main">
          <x14:cfRule type="notContainsText" priority="493" operator="notContains" id="{A1D2A634-4810-E74B-9D2C-CC179641CF8A}">
            <xm:f>ISERROR(SEARCH("Value Missing",I158))</xm:f>
            <xm:f>"Value Missing"</xm:f>
            <x14:dxf>
              <font>
                <color rgb="FF006100"/>
              </font>
              <fill>
                <patternFill>
                  <bgColor rgb="FFC6EFCE"/>
                </patternFill>
              </fill>
            </x14:dxf>
          </x14:cfRule>
          <x14:cfRule type="containsText" priority="494" operator="containsText" id="{6C9C07AE-C97F-FD46-9128-64816771FD8E}">
            <xm:f>NOT(ISERROR(SEARCH("Value Missing",I158)))</xm:f>
            <xm:f>"Value Missing"</xm:f>
            <x14:dxf>
              <font>
                <color rgb="FF9C0006"/>
              </font>
              <fill>
                <patternFill>
                  <bgColor rgb="FFFFC7CE"/>
                </patternFill>
              </fill>
            </x14:dxf>
          </x14:cfRule>
          <x14:cfRule type="notContainsText" priority="495" operator="notContains" id="{AC5ABB67-C7EA-5A4C-8F40-03B08E402E6A}">
            <xm:f>ISERROR(SEARCH("Value Missing",I158))</xm:f>
            <xm:f>"Value Missing"</xm:f>
            <x14:dxf>
              <font>
                <color rgb="FF006100"/>
              </font>
              <fill>
                <patternFill>
                  <bgColor rgb="FFC6EFCE"/>
                </patternFill>
              </fill>
            </x14:dxf>
          </x14:cfRule>
          <xm:sqref>I158:I171</xm:sqref>
        </x14:conditionalFormatting>
        <x14:conditionalFormatting xmlns:xm="http://schemas.microsoft.com/office/excel/2006/main">
          <x14:cfRule type="containsText" priority="72" stopIfTrue="1" operator="containsText" id="{D3968600-DF2E-A64E-9A13-728ED6465ECD}">
            <xm:f>NOT(ISERROR(SEARCH("Value Missing",I246)))</xm:f>
            <xm:f>"Value Missing"</xm:f>
            <x14:dxf>
              <font>
                <color rgb="FF0E223A"/>
              </font>
              <fill>
                <patternFill>
                  <bgColor rgb="FFFFBE29"/>
                </patternFill>
              </fill>
            </x14:dxf>
          </x14:cfRule>
          <xm:sqref>I246:I253</xm:sqref>
        </x14:conditionalFormatting>
        <x14:conditionalFormatting xmlns:xm="http://schemas.microsoft.com/office/excel/2006/main">
          <x14:cfRule type="containsText" priority="76" stopIfTrue="1" operator="containsText" id="{35BDBE70-989F-F64A-BE43-71DD42A8701D}">
            <xm:f>NOT(ISERROR(SEARCH("Value Missing",I246)))</xm:f>
            <xm:f>"Value Missing"</xm:f>
            <x14:dxf>
              <font>
                <color rgb="FF0E223A"/>
              </font>
              <fill>
                <patternFill>
                  <bgColor rgb="FFFFBE29"/>
                </patternFill>
              </fill>
            </x14:dxf>
          </x14:cfRule>
          <xm:sqref>I246:I309</xm:sqref>
        </x14:conditionalFormatting>
        <x14:conditionalFormatting xmlns:xm="http://schemas.microsoft.com/office/excel/2006/main">
          <x14:cfRule type="containsText" priority="1679" operator="containsText" id="{81F8458F-0B16-0440-BFC1-DCE849E3AD30}">
            <xm:f>NOT(ISERROR(SEARCH("Value Missing",L9)))</xm:f>
            <xm:f>"Value Missing"</xm:f>
            <x14:dxf>
              <font>
                <color rgb="FF9C0006"/>
              </font>
              <fill>
                <patternFill>
                  <bgColor rgb="FFFFC7CE"/>
                </patternFill>
              </fill>
            </x14:dxf>
          </x14:cfRule>
          <x14:cfRule type="notContainsText" priority="2003" operator="notContains" id="{C9F8C065-134D-BB41-87E1-6E6F32D43543}">
            <xm:f>ISERROR(SEARCH("Value Missing",L9))</xm:f>
            <xm:f>"Value Missing"</xm:f>
            <x14:dxf>
              <font>
                <color rgb="FF006100"/>
              </font>
              <fill>
                <patternFill>
                  <bgColor rgb="FFC6EFCE"/>
                </patternFill>
              </fill>
            </x14:dxf>
          </x14:cfRule>
          <xm:sqref>L9</xm:sqref>
        </x14:conditionalFormatting>
        <x14:conditionalFormatting xmlns:xm="http://schemas.microsoft.com/office/excel/2006/main">
          <x14:cfRule type="containsText" priority="668" operator="containsText" id="{8026684D-F4C9-9543-B6C3-1F7DB5FB8FC0}">
            <xm:f>NOT(ISERROR(SEARCH("Value Missing",L39)))</xm:f>
            <xm:f>"Value Missing"</xm:f>
            <x14:dxf>
              <font>
                <color rgb="FF9C0006"/>
              </font>
              <fill>
                <patternFill>
                  <bgColor rgb="FFFFC7CE"/>
                </patternFill>
              </fill>
            </x14:dxf>
          </x14:cfRule>
          <xm:sqref>L39</xm:sqref>
        </x14:conditionalFormatting>
        <x14:conditionalFormatting xmlns:xm="http://schemas.microsoft.com/office/excel/2006/main">
          <x14:cfRule type="containsText" priority="1819" operator="containsText" id="{A8286C1F-9D94-414E-ACED-700995BD9EA7}">
            <xm:f>NOT(ISERROR(SEARCH("Value Missing",L44)))</xm:f>
            <xm:f>"Value Missing"</xm:f>
            <x14:dxf>
              <font>
                <color rgb="FF9C0006"/>
              </font>
              <fill>
                <patternFill>
                  <bgColor rgb="FFFFC7CE"/>
                </patternFill>
              </fill>
            </x14:dxf>
          </x14:cfRule>
          <xm:sqref>L44:L62</xm:sqref>
        </x14:conditionalFormatting>
        <x14:conditionalFormatting xmlns:xm="http://schemas.microsoft.com/office/excel/2006/main">
          <x14:cfRule type="notContainsText" priority="1818" operator="notContains" id="{0404F85F-A291-6944-8CC8-EAB1103020B2}">
            <xm:f>ISERROR(SEARCH("Value Missing",L57))</xm:f>
            <xm:f>"Value Missing"</xm:f>
            <x14:dxf>
              <font>
                <color rgb="FF006100"/>
              </font>
              <fill>
                <patternFill>
                  <bgColor rgb="FFC6EFCE"/>
                </patternFill>
              </fill>
            </x14:dxf>
          </x14:cfRule>
          <xm:sqref>L57</xm:sqref>
        </x14:conditionalFormatting>
        <x14:conditionalFormatting xmlns:xm="http://schemas.microsoft.com/office/excel/2006/main">
          <x14:cfRule type="notContainsText" priority="1989" operator="notContains" id="{EB06B408-D343-1C45-A9DA-11348E40217A}">
            <xm:f>ISERROR(SEARCH("Value Missing",L66))</xm:f>
            <xm:f>"Value Missing"</xm:f>
            <x14:dxf>
              <font>
                <color rgb="FF006100"/>
              </font>
              <fill>
                <patternFill>
                  <bgColor rgb="FFC6EFCE"/>
                </patternFill>
              </fill>
            </x14:dxf>
          </x14:cfRule>
          <x14:cfRule type="containsText" priority="1990" operator="containsText" id="{C28561CE-3D71-7E47-BA51-7A5F77A95858}">
            <xm:f>NOT(ISERROR(SEARCH("Value Missing",L66)))</xm:f>
            <xm:f>"Value Missing"</xm:f>
            <x14:dxf>
              <font>
                <color rgb="FF9C0006"/>
              </font>
              <fill>
                <patternFill>
                  <bgColor rgb="FFFFC7CE"/>
                </patternFill>
              </fill>
            </x14:dxf>
          </x14:cfRule>
          <xm:sqref>L66:L67</xm:sqref>
        </x14:conditionalFormatting>
        <x14:conditionalFormatting xmlns:xm="http://schemas.microsoft.com/office/excel/2006/main">
          <x14:cfRule type="notContainsText" priority="5400" operator="notContains" id="{EB06B408-D343-1C45-A9DA-11348E40217A}">
            <xm:f>ISERROR(SEARCH("Value Missing",L68))</xm:f>
            <xm:f>"Value Missing"</xm:f>
            <x14:dxf>
              <font>
                <color rgb="FF006100"/>
              </font>
              <fill>
                <patternFill>
                  <bgColor rgb="FFC6EFCE"/>
                </patternFill>
              </fill>
            </x14:dxf>
          </x14:cfRule>
          <x14:cfRule type="containsText" priority="5401" operator="containsText" id="{C28561CE-3D71-7E47-BA51-7A5F77A95858}">
            <xm:f>NOT(ISERROR(SEARCH("Value Missing",L68)))</xm:f>
            <xm:f>"Value Missing"</xm:f>
            <x14:dxf>
              <font>
                <color rgb="FF9C0006"/>
              </font>
              <fill>
                <patternFill>
                  <bgColor rgb="FFFFC7CE"/>
                </patternFill>
              </fill>
            </x14:dxf>
          </x14:cfRule>
          <xm:sqref>L68</xm:sqref>
        </x14:conditionalFormatting>
        <x14:conditionalFormatting xmlns:xm="http://schemas.microsoft.com/office/excel/2006/main">
          <x14:cfRule type="notContainsText" priority="2336" operator="notContains" id="{A6055999-7341-FD44-A821-28C6EA375C58}">
            <xm:f>ISERROR(SEARCH("Value Missing",L72))</xm:f>
            <xm:f>"Value Missing"</xm:f>
            <x14:dxf>
              <font>
                <color rgb="FF006100"/>
              </font>
              <fill>
                <patternFill>
                  <bgColor rgb="FFC6EFCE"/>
                </patternFill>
              </fill>
            </x14:dxf>
          </x14:cfRule>
          <x14:cfRule type="containsText" priority="2337" operator="containsText" id="{F667AE56-B058-E742-B5A0-59BD3DD17B9D}">
            <xm:f>NOT(ISERROR(SEARCH("Value Missing",L72)))</xm:f>
            <xm:f>"Value Missing"</xm:f>
            <x14:dxf>
              <font>
                <color rgb="FF9C0006"/>
              </font>
              <fill>
                <patternFill>
                  <bgColor rgb="FFFFC7CE"/>
                </patternFill>
              </fill>
            </x14:dxf>
          </x14:cfRule>
          <xm:sqref>L72:L73</xm:sqref>
        </x14:conditionalFormatting>
        <x14:conditionalFormatting xmlns:xm="http://schemas.microsoft.com/office/excel/2006/main">
          <x14:cfRule type="notContainsText" priority="2334" operator="notContains" id="{CF9A5631-84E5-A242-9D11-EC5251E412F3}">
            <xm:f>ISERROR(SEARCH("Value Missing",L77))</xm:f>
            <xm:f>"Value Missing"</xm:f>
            <x14:dxf>
              <font>
                <color rgb="FF006100"/>
              </font>
              <fill>
                <patternFill>
                  <bgColor rgb="FFC6EFCE"/>
                </patternFill>
              </fill>
            </x14:dxf>
          </x14:cfRule>
          <x14:cfRule type="containsText" priority="2335" operator="containsText" id="{A190E3DF-8B8A-AE41-955D-4EEA5D5A7A9E}">
            <xm:f>NOT(ISERROR(SEARCH("Value Missing",L77)))</xm:f>
            <xm:f>"Value Missing"</xm:f>
            <x14:dxf>
              <font>
                <color rgb="FF9C0006"/>
              </font>
              <fill>
                <patternFill>
                  <bgColor rgb="FFFFC7CE"/>
                </patternFill>
              </fill>
            </x14:dxf>
          </x14:cfRule>
          <xm:sqref>L77:L78</xm:sqref>
        </x14:conditionalFormatting>
        <x14:conditionalFormatting xmlns:xm="http://schemas.microsoft.com/office/excel/2006/main">
          <x14:cfRule type="notContainsText" priority="2332" operator="notContains" id="{4C2CED3A-085D-7C4A-A30D-527DBB1A2B94}">
            <xm:f>ISERROR(SEARCH("Value Missing",L82))</xm:f>
            <xm:f>"Value Missing"</xm:f>
            <x14:dxf>
              <font>
                <color rgb="FF006100"/>
              </font>
              <fill>
                <patternFill>
                  <bgColor rgb="FFC6EFCE"/>
                </patternFill>
              </fill>
            </x14:dxf>
          </x14:cfRule>
          <x14:cfRule type="containsText" priority="2333" operator="containsText" id="{D8BA5D82-4AAB-684F-B3E8-B855F9C5CBDF}">
            <xm:f>NOT(ISERROR(SEARCH("Value Missing",L82)))</xm:f>
            <xm:f>"Value Missing"</xm:f>
            <x14:dxf>
              <font>
                <color rgb="FF9C0006"/>
              </font>
              <fill>
                <patternFill>
                  <bgColor rgb="FFFFC7CE"/>
                </patternFill>
              </fill>
            </x14:dxf>
          </x14:cfRule>
          <xm:sqref>L82:L83</xm:sqref>
        </x14:conditionalFormatting>
        <x14:conditionalFormatting xmlns:xm="http://schemas.microsoft.com/office/excel/2006/main">
          <x14:cfRule type="notContainsText" priority="2330" operator="notContains" id="{5162A225-94BA-E648-8021-C9746B852834}">
            <xm:f>ISERROR(SEARCH("Value Missing",L87))</xm:f>
            <xm:f>"Value Missing"</xm:f>
            <x14:dxf>
              <font>
                <color rgb="FF006100"/>
              </font>
              <fill>
                <patternFill>
                  <bgColor rgb="FFC6EFCE"/>
                </patternFill>
              </fill>
            </x14:dxf>
          </x14:cfRule>
          <x14:cfRule type="containsText" priority="2331" operator="containsText" id="{1E360F40-5887-A546-85AA-CE1919341AD2}">
            <xm:f>NOT(ISERROR(SEARCH("Value Missing",L87)))</xm:f>
            <xm:f>"Value Missing"</xm:f>
            <x14:dxf>
              <font>
                <color rgb="FF9C0006"/>
              </font>
              <fill>
                <patternFill>
                  <bgColor rgb="FFFFC7CE"/>
                </patternFill>
              </fill>
            </x14:dxf>
          </x14:cfRule>
          <xm:sqref>L87:L88</xm:sqref>
        </x14:conditionalFormatting>
        <x14:conditionalFormatting xmlns:xm="http://schemas.microsoft.com/office/excel/2006/main">
          <x14:cfRule type="notContainsText" priority="1904" operator="notContains" id="{66D7A8B4-DFA1-0F44-AF45-F6DFE73B10D7}">
            <xm:f>ISERROR(SEARCH("Value Missing",L92))</xm:f>
            <xm:f>"Value Missing"</xm:f>
            <x14:dxf>
              <font>
                <color rgb="FF006100"/>
              </font>
              <fill>
                <patternFill>
                  <bgColor rgb="FFC6EFCE"/>
                </patternFill>
              </fill>
            </x14:dxf>
          </x14:cfRule>
          <x14:cfRule type="containsText" priority="1905" operator="containsText" id="{B16C308F-57F7-454A-9EAA-C915315EA5EE}">
            <xm:f>NOT(ISERROR(SEARCH("Value Missing",L92)))</xm:f>
            <xm:f>"Value Missing"</xm:f>
            <x14:dxf>
              <font>
                <color rgb="FF9C0006"/>
              </font>
              <fill>
                <patternFill>
                  <bgColor rgb="FFFFC7CE"/>
                </patternFill>
              </fill>
            </x14:dxf>
          </x14:cfRule>
          <xm:sqref>L92:L93</xm:sqref>
        </x14:conditionalFormatting>
        <x14:conditionalFormatting xmlns:xm="http://schemas.microsoft.com/office/excel/2006/main">
          <x14:cfRule type="notContainsText" priority="1584" operator="notContains" id="{527EF464-5776-B14A-8F20-4E71DC2B6BE8}">
            <xm:f>ISERROR(SEARCH("Value Missing",L97))</xm:f>
            <xm:f>"Value Missing"</xm:f>
            <x14:dxf>
              <font>
                <color rgb="FF006100"/>
              </font>
              <fill>
                <patternFill>
                  <bgColor rgb="FFC6EFCE"/>
                </patternFill>
              </fill>
            </x14:dxf>
          </x14:cfRule>
          <x14:cfRule type="containsText" priority="1585" operator="containsText" id="{BEF954B9-E159-C54D-B02B-A152B6A1554C}">
            <xm:f>NOT(ISERROR(SEARCH("Value Missing",L97)))</xm:f>
            <xm:f>"Value Missing"</xm:f>
            <x14:dxf>
              <font>
                <color rgb="FF9C0006"/>
              </font>
              <fill>
                <patternFill>
                  <bgColor rgb="FFFFC7CE"/>
                </patternFill>
              </fill>
            </x14:dxf>
          </x14:cfRule>
          <xm:sqref>L97:L98 L111:L122</xm:sqref>
        </x14:conditionalFormatting>
        <x14:conditionalFormatting xmlns:xm="http://schemas.microsoft.com/office/excel/2006/main">
          <x14:cfRule type="notContainsText" priority="2074" operator="notContains" id="{0BC9AB65-82BA-7F40-931A-DB297ED9FE28}">
            <xm:f>ISERROR(SEARCH("Value Missing",L105))</xm:f>
            <xm:f>"Value Missing"</xm:f>
            <x14:dxf>
              <font>
                <color rgb="FF006100"/>
              </font>
              <fill>
                <patternFill>
                  <bgColor rgb="FFC6EFCE"/>
                </patternFill>
              </fill>
            </x14:dxf>
          </x14:cfRule>
          <x14:cfRule type="containsText" priority="2075" operator="containsText" id="{EB634813-7434-9946-AC83-1C209EEC6624}">
            <xm:f>NOT(ISERROR(SEARCH("Value Missing",L105)))</xm:f>
            <xm:f>"Value Missing"</xm:f>
            <x14:dxf>
              <font>
                <color rgb="FF9C0006"/>
              </font>
              <fill>
                <patternFill>
                  <bgColor rgb="FFFFC7CE"/>
                </patternFill>
              </fill>
            </x14:dxf>
          </x14:cfRule>
          <xm:sqref>L105</xm:sqref>
        </x14:conditionalFormatting>
        <x14:conditionalFormatting xmlns:xm="http://schemas.microsoft.com/office/excel/2006/main">
          <x14:cfRule type="notContainsText" priority="2082" operator="notContains" id="{F29D4069-301D-E541-B3E3-18BFB9A7143B}">
            <xm:f>ISERROR(SEARCH("Value Missing",L106))</xm:f>
            <xm:f>"Value Missing"</xm:f>
            <x14:dxf>
              <font>
                <color rgb="FF006100"/>
              </font>
              <fill>
                <patternFill>
                  <bgColor rgb="FFC6EFCE"/>
                </patternFill>
              </fill>
            </x14:dxf>
          </x14:cfRule>
          <x14:cfRule type="containsText" priority="2083" operator="containsText" id="{9383DBED-1A97-434D-93BA-864E6F154708}">
            <xm:f>NOT(ISERROR(SEARCH("Value Missing",L106)))</xm:f>
            <xm:f>"Value Missing"</xm:f>
            <x14:dxf>
              <font>
                <color rgb="FF9C0006"/>
              </font>
              <fill>
                <patternFill>
                  <bgColor rgb="FFFFC7CE"/>
                </patternFill>
              </fill>
            </x14:dxf>
          </x14:cfRule>
          <xm:sqref>L106:L107</xm:sqref>
        </x14:conditionalFormatting>
        <x14:conditionalFormatting xmlns:xm="http://schemas.microsoft.com/office/excel/2006/main">
          <x14:cfRule type="notContainsText" priority="2742" operator="notContains" id="{FF52140E-5BBD-4944-AD51-FD2984E05DF2}">
            <xm:f>ISERROR(SEARCH("Value Missing",L48))</xm:f>
            <xm:f>"Value Missing"</xm:f>
            <x14:dxf>
              <font>
                <color rgb="FF006100"/>
              </font>
              <fill>
                <patternFill>
                  <bgColor rgb="FFC6EFCE"/>
                </patternFill>
              </fill>
            </x14:dxf>
          </x14:cfRule>
          <xm:sqref>L126:L127 R54:R57 R75:R79 L99:L104 U99:U104 U117 R68:R71 U48:U50</xm:sqref>
        </x14:conditionalFormatting>
        <x14:conditionalFormatting xmlns:xm="http://schemas.microsoft.com/office/excel/2006/main">
          <x14:cfRule type="notContainsText" priority="2136" operator="notContains" id="{3F8F241C-E223-8A48-8406-E7B18BA564FA}">
            <xm:f>ISERROR(SEARCH("Value Missing",L131))</xm:f>
            <xm:f>"Value Missing"</xm:f>
            <x14:dxf>
              <font>
                <color rgb="FF006100"/>
              </font>
              <fill>
                <patternFill>
                  <bgColor rgb="FFC6EFCE"/>
                </patternFill>
              </fill>
            </x14:dxf>
          </x14:cfRule>
          <x14:cfRule type="containsText" priority="2137" operator="containsText" id="{27C6D238-65C9-3445-A866-E072F0BBF0AF}">
            <xm:f>NOT(ISERROR(SEARCH("Value Missing",L131)))</xm:f>
            <xm:f>"Value Missing"</xm:f>
            <x14:dxf>
              <font>
                <color rgb="FF9C0006"/>
              </font>
              <fill>
                <patternFill>
                  <bgColor rgb="FFFFC7CE"/>
                </patternFill>
              </fill>
            </x14:dxf>
          </x14:cfRule>
          <xm:sqref>L131:L132</xm:sqref>
        </x14:conditionalFormatting>
        <x14:conditionalFormatting xmlns:xm="http://schemas.microsoft.com/office/excel/2006/main">
          <x14:cfRule type="notContainsText" priority="1581" operator="notContains" id="{485F175F-22A5-F241-B988-F11B3EDEBBFC}">
            <xm:f>ISERROR(SEARCH("Value Missing",L164))</xm:f>
            <xm:f>"Value Missing"</xm:f>
            <x14:dxf>
              <font>
                <color rgb="FF006100"/>
              </font>
              <fill>
                <patternFill>
                  <bgColor rgb="FFC6EFCE"/>
                </patternFill>
              </fill>
            </x14:dxf>
          </x14:cfRule>
          <x14:cfRule type="containsText" priority="1582" operator="containsText" id="{ACAD98C9-C2F0-E64E-8332-154EA7A5DF00}">
            <xm:f>NOT(ISERROR(SEARCH("Value Missing",L164)))</xm:f>
            <xm:f>"Value Missing"</xm:f>
            <x14:dxf>
              <font>
                <color rgb="FF9C0006"/>
              </font>
              <fill>
                <patternFill>
                  <bgColor rgb="FFFFC7CE"/>
                </patternFill>
              </fill>
            </x14:dxf>
          </x14:cfRule>
          <xm:sqref>L164</xm:sqref>
        </x14:conditionalFormatting>
        <x14:conditionalFormatting xmlns:xm="http://schemas.microsoft.com/office/excel/2006/main">
          <x14:cfRule type="containsText" priority="673" stopIfTrue="1" operator="containsText" id="{139CEF10-6B32-8E46-AF0B-73F806C72281}">
            <xm:f>NOT(ISERROR(SEARCH("Value Missing",C37)))</xm:f>
            <xm:f>"Value Missing"</xm:f>
            <x14:dxf>
              <font>
                <color rgb="FF0E223A"/>
              </font>
              <fill>
                <patternFill>
                  <bgColor rgb="FFFFBE29"/>
                </patternFill>
              </fill>
            </x14:dxf>
          </x14:cfRule>
          <xm:sqref>L167:L179 C37:C52</xm:sqref>
        </x14:conditionalFormatting>
        <x14:conditionalFormatting xmlns:xm="http://schemas.microsoft.com/office/excel/2006/main">
          <x14:cfRule type="containsText" priority="632" operator="containsText" id="{40A5DED4-AB86-3146-B09E-D311A5B044FB}">
            <xm:f>NOT(ISERROR(SEARCH("Value Missing",L179)))</xm:f>
            <xm:f>"Value Missing"</xm:f>
            <x14:dxf>
              <font>
                <color rgb="FF9C0006"/>
              </font>
              <fill>
                <patternFill>
                  <bgColor rgb="FFFFC7CE"/>
                </patternFill>
              </fill>
            </x14:dxf>
          </x14:cfRule>
          <xm:sqref>L179</xm:sqref>
        </x14:conditionalFormatting>
        <x14:conditionalFormatting xmlns:xm="http://schemas.microsoft.com/office/excel/2006/main">
          <x14:cfRule type="containsText" priority="148" stopIfTrue="1" operator="containsText" id="{E22FD3A8-CD2A-8E4A-8E4F-C8233B5E87A5}">
            <xm:f>NOT(ISERROR(SEARCH("Value Missing",L229)))</xm:f>
            <xm:f>"Value Missing"</xm:f>
            <x14:dxf>
              <font>
                <color rgb="FF0E223A"/>
              </font>
              <fill>
                <patternFill>
                  <bgColor rgb="FFFFBE29"/>
                </patternFill>
              </fill>
            </x14:dxf>
          </x14:cfRule>
          <x14:cfRule type="notContainsText" priority="152" operator="notContains" id="{642EEB73-90AA-4840-8D2E-077B98AEE888}">
            <xm:f>ISERROR(SEARCH("Value Missing",L229))</xm:f>
            <xm:f>"Value Missing"</xm:f>
            <x14:dxf>
              <font>
                <color rgb="FF006100"/>
              </font>
              <fill>
                <patternFill>
                  <bgColor rgb="FFC6EFCE"/>
                </patternFill>
              </fill>
            </x14:dxf>
          </x14:cfRule>
          <xm:sqref>L229</xm:sqref>
        </x14:conditionalFormatting>
        <x14:conditionalFormatting xmlns:xm="http://schemas.microsoft.com/office/excel/2006/main">
          <x14:cfRule type="containsText" priority="154" stopIfTrue="1" operator="containsText" id="{4B8A7FCC-DBDD-614C-B831-A527E7102D19}">
            <xm:f>NOT(ISERROR(SEARCH("Value Missing",L234)))</xm:f>
            <xm:f>"Value Missing"</xm:f>
            <x14:dxf>
              <font>
                <color rgb="FF0E223A"/>
              </font>
              <fill>
                <patternFill>
                  <bgColor rgb="FFFFBE29"/>
                </patternFill>
              </fill>
            </x14:dxf>
          </x14:cfRule>
          <x14:cfRule type="notContainsText" priority="158" operator="notContains" id="{E44706DF-631C-7149-B354-D0E72DBE283F}">
            <xm:f>ISERROR(SEARCH("Value Missing",L234))</xm:f>
            <xm:f>"Value Missing"</xm:f>
            <x14:dxf>
              <font>
                <color rgb="FF006100"/>
              </font>
              <fill>
                <patternFill>
                  <bgColor rgb="FFC6EFCE"/>
                </patternFill>
              </fill>
            </x14:dxf>
          </x14:cfRule>
          <xm:sqref>L234:L252</xm:sqref>
        </x14:conditionalFormatting>
        <x14:conditionalFormatting xmlns:xm="http://schemas.microsoft.com/office/excel/2006/main">
          <x14:cfRule type="containsText" priority="130" stopIfTrue="1" operator="containsText" id="{E5CEA684-26C7-D448-AC49-AF58FB1D4C89}">
            <xm:f>NOT(ISERROR(SEARCH("Value Missing",L269)))</xm:f>
            <xm:f>"Value Missing"</xm:f>
            <x14:dxf>
              <font>
                <color rgb="FF0E223A"/>
              </font>
              <fill>
                <patternFill>
                  <bgColor rgb="FFFFBE29"/>
                </patternFill>
              </fill>
            </x14:dxf>
          </x14:cfRule>
          <x14:cfRule type="notContainsText" priority="134" operator="notContains" id="{ACDC23A2-F6B0-1944-AB8D-46CC999DFF47}">
            <xm:f>ISERROR(SEARCH("Value Missing",L269))</xm:f>
            <xm:f>"Value Missing"</xm:f>
            <x14:dxf>
              <font>
                <color rgb="FF006100"/>
              </font>
              <fill>
                <patternFill>
                  <bgColor rgb="FFC6EFCE"/>
                </patternFill>
              </fill>
            </x14:dxf>
          </x14:cfRule>
          <xm:sqref>L269:L272</xm:sqref>
        </x14:conditionalFormatting>
        <x14:conditionalFormatting xmlns:xm="http://schemas.microsoft.com/office/excel/2006/main">
          <x14:cfRule type="containsText" priority="124" stopIfTrue="1" operator="containsText" id="{4CB8A0CE-A2B2-B446-9E6B-8ECF54515776}">
            <xm:f>NOT(ISERROR(SEARCH("Value Missing",L274)))</xm:f>
            <xm:f>"Value Missing"</xm:f>
            <x14:dxf>
              <font>
                <color rgb="FF0E223A"/>
              </font>
              <fill>
                <patternFill>
                  <bgColor rgb="FFFFBE29"/>
                </patternFill>
              </fill>
            </x14:dxf>
          </x14:cfRule>
          <x14:cfRule type="notContainsText" priority="128" operator="notContains" id="{EA8EE2D5-55D7-8F43-921B-1B83A0E4D1EE}">
            <xm:f>ISERROR(SEARCH("Value Missing",L274))</xm:f>
            <xm:f>"Value Missing"</xm:f>
            <x14:dxf>
              <font>
                <color rgb="FF006100"/>
              </font>
              <fill>
                <patternFill>
                  <bgColor rgb="FFC6EFCE"/>
                </patternFill>
              </fill>
            </x14:dxf>
          </x14:cfRule>
          <xm:sqref>L274:L284</xm:sqref>
        </x14:conditionalFormatting>
        <x14:conditionalFormatting xmlns:xm="http://schemas.microsoft.com/office/excel/2006/main">
          <x14:cfRule type="containsText" priority="34" stopIfTrue="1" operator="containsText" id="{BEF8F2CD-3B96-CB47-B68C-351A8979863C}">
            <xm:f>NOT(ISERROR(SEARCH("Value Missing",O8)))</xm:f>
            <xm:f>"Value Missing"</xm:f>
            <x14:dxf>
              <font>
                <color rgb="FF0E223A"/>
              </font>
              <fill>
                <patternFill>
                  <bgColor rgb="FFFFBE29"/>
                </patternFill>
              </fill>
            </x14:dxf>
          </x14:cfRule>
          <x14:cfRule type="notContainsText" priority="38" operator="notContains" id="{72EB2863-55CF-0943-B657-6C15211E06F9}">
            <xm:f>ISERROR(SEARCH("Value Missing",O8))</xm:f>
            <xm:f>"Value Missing"</xm:f>
            <x14:dxf>
              <font>
                <color rgb="FF006100"/>
              </font>
              <fill>
                <patternFill>
                  <bgColor rgb="FFC6EFCE"/>
                </patternFill>
              </fill>
            </x14:dxf>
          </x14:cfRule>
          <x14:cfRule type="containsText" priority="39" operator="containsText" id="{52E63BB8-3D4E-2A49-AFDE-F7FC8A9DB5AA}">
            <xm:f>NOT(ISERROR(SEARCH("Value Missing",O8)))</xm:f>
            <xm:f>"Value Missing"</xm:f>
            <x14:dxf>
              <font>
                <color rgb="FF9C0006"/>
              </font>
              <fill>
                <patternFill>
                  <bgColor rgb="FFFFC7CE"/>
                </patternFill>
              </fill>
            </x14:dxf>
          </x14:cfRule>
          <x14:cfRule type="notContainsText" priority="40" operator="notContains" id="{15E31534-F90A-0E4B-84FA-8BA13D8A9A27}">
            <xm:f>ISERROR(SEARCH("Value Missing",O8))</xm:f>
            <xm:f>"Value Missing"</xm:f>
            <x14:dxf>
              <font>
                <color rgb="FF006100"/>
              </font>
              <fill>
                <patternFill>
                  <bgColor rgb="FFC6EFCE"/>
                </patternFill>
              </fill>
            </x14:dxf>
          </x14:cfRule>
          <x14:cfRule type="containsText" priority="41" operator="containsText" id="{5264C5AA-5F6D-814B-B8AB-348C587BF026}">
            <xm:f>NOT(ISERROR(SEARCH("Value Missing",O8)))</xm:f>
            <xm:f>"Value Missing"</xm:f>
            <x14:dxf>
              <font>
                <color rgb="FF9C0006"/>
              </font>
              <fill>
                <patternFill>
                  <bgColor rgb="FFFFC7CE"/>
                </patternFill>
              </fill>
            </x14:dxf>
          </x14:cfRule>
          <x14:cfRule type="notContainsText" priority="43" operator="notContains" id="{916D280E-0963-D949-B93D-E335E48B815F}">
            <xm:f>ISERROR(SEARCH("Value Missing",O8))</xm:f>
            <xm:f>"Value Missing"</xm:f>
            <x14:dxf>
              <font>
                <color rgb="FF006100"/>
              </font>
              <fill>
                <patternFill>
                  <bgColor rgb="FFC6EFCE"/>
                </patternFill>
              </fill>
            </x14:dxf>
          </x14:cfRule>
          <x14:cfRule type="containsText" priority="44" operator="containsText" id="{37659DBD-8B74-9746-B875-438335D5C6AF}">
            <xm:f>NOT(ISERROR(SEARCH("Value Missing",O8)))</xm:f>
            <xm:f>"Value Missing"</xm:f>
            <x14:dxf>
              <font>
                <color rgb="FF9C0006"/>
              </font>
              <fill>
                <patternFill>
                  <bgColor rgb="FFFFC7CE"/>
                </patternFill>
              </fill>
            </x14:dxf>
          </x14:cfRule>
          <xm:sqref>O8:O59</xm:sqref>
        </x14:conditionalFormatting>
        <x14:conditionalFormatting xmlns:xm="http://schemas.microsoft.com/office/excel/2006/main">
          <x14:cfRule type="containsText" priority="984" stopIfTrue="1" operator="containsText" id="{204CD7AE-62CC-754C-B8E1-193695724F5A}">
            <xm:f>NOT(ISERROR(SEARCH("Value Missing",C92)))</xm:f>
            <xm:f>"Value Missing"</xm:f>
            <x14:dxf>
              <font>
                <color rgb="FF0E223A"/>
              </font>
              <fill>
                <patternFill>
                  <bgColor rgb="FFFFBE29"/>
                </patternFill>
              </fill>
            </x14:dxf>
          </x14:cfRule>
          <xm:sqref>O92:O129 C130:C137 I198:I218 I220:I227 I229:I236 I238:I244 C94:C99 C101:C106 C108:C113 C120:C126 I175:I194 L183:L224</xm:sqref>
        </x14:conditionalFormatting>
        <x14:conditionalFormatting xmlns:xm="http://schemas.microsoft.com/office/excel/2006/main">
          <x14:cfRule type="notContainsText" priority="2141" operator="notContains" id="{C5780161-3794-614B-A865-2D97ECFAFAA4}">
            <xm:f>ISERROR(SEARCH("Value Missing",L8))</xm:f>
            <xm:f>"Value Missing"</xm:f>
            <x14:dxf>
              <font>
                <color rgb="FF006100"/>
              </font>
              <fill>
                <patternFill>
                  <bgColor rgb="FFC6EFCE"/>
                </patternFill>
              </fill>
            </x14:dxf>
          </x14:cfRule>
          <xm:sqref>R8 R12 L44:L62</xm:sqref>
        </x14:conditionalFormatting>
        <x14:conditionalFormatting xmlns:xm="http://schemas.microsoft.com/office/excel/2006/main">
          <x14:cfRule type="containsText" priority="1069" stopIfTrue="1" operator="containsText" id="{B406923D-C246-5846-93BF-5470F483BABD}">
            <xm:f>NOT(ISERROR(SEARCH("Value Missing",R8)))</xm:f>
            <xm:f>"Value Missing"</xm:f>
            <x14:dxf>
              <font>
                <color rgb="FF0E223A"/>
              </font>
              <fill>
                <patternFill>
                  <bgColor rgb="FFFFBE29"/>
                </patternFill>
              </fill>
            </x14:dxf>
          </x14:cfRule>
          <x14:cfRule type="notContainsText" priority="1073" operator="notContains" id="{9BCF9790-E186-9747-92CF-1BBDFB7A4594}">
            <xm:f>ISERROR(SEARCH("Value Missing",R8))</xm:f>
            <xm:f>"Value Missing"</xm:f>
            <x14:dxf>
              <font>
                <color rgb="FF006100"/>
              </font>
              <fill>
                <patternFill>
                  <bgColor rgb="FFC6EFCE"/>
                </patternFill>
              </fill>
            </x14:dxf>
          </x14:cfRule>
          <x14:cfRule type="containsText" priority="1074" operator="containsText" id="{D53AA8E6-9CD2-3A4D-8B55-FCEBD19BC852}">
            <xm:f>NOT(ISERROR(SEARCH("Value Missing",R8)))</xm:f>
            <xm:f>"Value Missing"</xm:f>
            <x14:dxf>
              <font>
                <color rgb="FF9C0006"/>
              </font>
              <fill>
                <patternFill>
                  <bgColor rgb="FFFFC7CE"/>
                </patternFill>
              </fill>
            </x14:dxf>
          </x14:cfRule>
          <x14:cfRule type="notContainsText" priority="1075" operator="notContains" id="{D833FB44-6E5C-004B-9AB4-C0621EC6A7D6}">
            <xm:f>ISERROR(SEARCH("Value Missing",R8))</xm:f>
            <xm:f>"Value Missing"</xm:f>
            <x14:dxf>
              <font>
                <color rgb="FF006100"/>
              </font>
              <fill>
                <patternFill>
                  <bgColor rgb="FFC6EFCE"/>
                </patternFill>
              </fill>
            </x14:dxf>
          </x14:cfRule>
          <xm:sqref>R8</xm:sqref>
        </x14:conditionalFormatting>
        <x14:conditionalFormatting xmlns:xm="http://schemas.microsoft.com/office/excel/2006/main">
          <x14:cfRule type="containsText" priority="1043" stopIfTrue="1" operator="containsText" id="{D78B6AE8-CD43-844F-B66B-39AAC8AA71AF}">
            <xm:f>NOT(ISERROR(SEARCH("Value Missing",R12)))</xm:f>
            <xm:f>"Value Missing"</xm:f>
            <x14:dxf>
              <font>
                <color rgb="FF0E223A"/>
              </font>
              <fill>
                <patternFill>
                  <bgColor rgb="FFFFBE29"/>
                </patternFill>
              </fill>
            </x14:dxf>
          </x14:cfRule>
          <x14:cfRule type="notContainsText" priority="1047" operator="notContains" id="{B6592FAD-741E-3644-A0B1-3432664B23CD}">
            <xm:f>ISERROR(SEARCH("Value Missing",R12))</xm:f>
            <xm:f>"Value Missing"</xm:f>
            <x14:dxf>
              <font>
                <color rgb="FF006100"/>
              </font>
              <fill>
                <patternFill>
                  <bgColor rgb="FFC6EFCE"/>
                </patternFill>
              </fill>
            </x14:dxf>
          </x14:cfRule>
          <x14:cfRule type="containsText" priority="1048" operator="containsText" id="{7FF05F1D-5ABA-E644-932D-13D308B83AC9}">
            <xm:f>NOT(ISERROR(SEARCH("Value Missing",R12)))</xm:f>
            <xm:f>"Value Missing"</xm:f>
            <x14:dxf>
              <font>
                <color rgb="FF9C0006"/>
              </font>
              <fill>
                <patternFill>
                  <bgColor rgb="FFFFC7CE"/>
                </patternFill>
              </fill>
            </x14:dxf>
          </x14:cfRule>
          <x14:cfRule type="notContainsText" priority="1049" operator="notContains" id="{785BEFB9-10CA-A64C-8873-3DC94B3539CD}">
            <xm:f>ISERROR(SEARCH("Value Missing",R12))</xm:f>
            <xm:f>"Value Missing"</xm:f>
            <x14:dxf>
              <font>
                <color rgb="FF006100"/>
              </font>
              <fill>
                <patternFill>
                  <bgColor rgb="FFC6EFCE"/>
                </patternFill>
              </fill>
            </x14:dxf>
          </x14:cfRule>
          <x14:cfRule type="containsText" priority="1050" operator="containsText" id="{6826B5C3-CB2E-404F-B109-2BC592FDE3FA}">
            <xm:f>NOT(ISERROR(SEARCH("Value Missing",R12)))</xm:f>
            <xm:f>"Value Missing"</xm:f>
            <x14:dxf>
              <font>
                <color rgb="FF9C0006"/>
              </font>
              <fill>
                <patternFill>
                  <bgColor rgb="FFFFC7CE"/>
                </patternFill>
              </fill>
            </x14:dxf>
          </x14:cfRule>
          <x14:cfRule type="notContainsText" priority="1051" operator="notContains" id="{92C2ED50-3AAD-724E-9E80-D1C6009F25AB}">
            <xm:f>ISERROR(SEARCH("Value Missing",R12))</xm:f>
            <xm:f>"Value Missing"</xm:f>
            <x14:dxf>
              <font>
                <color rgb="FF006100"/>
              </font>
              <fill>
                <patternFill>
                  <bgColor rgb="FFC6EFCE"/>
                </patternFill>
              </fill>
            </x14:dxf>
          </x14:cfRule>
          <x14:cfRule type="containsText" priority="1053" operator="containsText" id="{10DDAFFC-71B2-A140-B2B6-251F02547530}">
            <xm:f>NOT(ISERROR(SEARCH("Value Missing",R12)))</xm:f>
            <xm:f>"Value Missing"</xm:f>
            <x14:dxf>
              <font>
                <color rgb="FF9C0006"/>
              </font>
              <fill>
                <patternFill>
                  <bgColor rgb="FFFFC7CE"/>
                </patternFill>
              </fill>
            </x14:dxf>
          </x14:cfRule>
          <x14:cfRule type="notContainsText" priority="1054" operator="notContains" id="{77327FD0-8A72-544F-8C5A-9BD189CE4CE0}">
            <xm:f>ISERROR(SEARCH("Value Missing",R12))</xm:f>
            <xm:f>"Value Missing"</xm:f>
            <x14:dxf>
              <font>
                <color rgb="FF006100"/>
              </font>
              <fill>
                <patternFill>
                  <bgColor rgb="FFC6EFCE"/>
                </patternFill>
              </fill>
            </x14:dxf>
          </x14:cfRule>
          <x14:cfRule type="containsText" priority="1055" operator="containsText" id="{C7BFB2D0-6CDB-774B-B621-A88B49EE2CCE}">
            <xm:f>NOT(ISERROR(SEARCH("Value Missing",R12)))</xm:f>
            <xm:f>"Value Missing"</xm:f>
            <x14:dxf>
              <font>
                <color rgb="FF9C0006"/>
              </font>
              <fill>
                <patternFill>
                  <bgColor rgb="FFFFC7CE"/>
                </patternFill>
              </fill>
            </x14:dxf>
          </x14:cfRule>
          <xm:sqref>R12</xm:sqref>
        </x14:conditionalFormatting>
        <x14:conditionalFormatting xmlns:xm="http://schemas.microsoft.com/office/excel/2006/main">
          <x14:cfRule type="containsText" priority="1057" stopIfTrue="1" operator="containsText" id="{C4F967B8-AACC-EA4F-9444-9D141C0F4C6D}">
            <xm:f>NOT(ISERROR(SEARCH("Value Missing",R16)))</xm:f>
            <xm:f>"Value Missing"</xm:f>
            <x14:dxf>
              <font>
                <color rgb="FF0E223A"/>
              </font>
              <fill>
                <patternFill>
                  <bgColor rgb="FFFFBE29"/>
                </patternFill>
              </fill>
            </x14:dxf>
          </x14:cfRule>
          <x14:cfRule type="notContainsText" priority="1061" operator="notContains" id="{D3AE1155-B827-0A4B-A649-BA481E3EC7BD}">
            <xm:f>ISERROR(SEARCH("Value Missing",R16))</xm:f>
            <xm:f>"Value Missing"</xm:f>
            <x14:dxf>
              <font>
                <color rgb="FF006100"/>
              </font>
              <fill>
                <patternFill>
                  <bgColor rgb="FFC6EFCE"/>
                </patternFill>
              </fill>
            </x14:dxf>
          </x14:cfRule>
          <x14:cfRule type="containsText" priority="1062" operator="containsText" id="{DCDE40FF-C586-484C-B924-34F66B3B068E}">
            <xm:f>NOT(ISERROR(SEARCH("Value Missing",R16)))</xm:f>
            <xm:f>"Value Missing"</xm:f>
            <x14:dxf>
              <font>
                <color rgb="FF9C0006"/>
              </font>
              <fill>
                <patternFill>
                  <bgColor rgb="FFFFC7CE"/>
                </patternFill>
              </fill>
            </x14:dxf>
          </x14:cfRule>
          <x14:cfRule type="notContainsText" priority="1063" operator="notContains" id="{18F2AC8A-AEF9-4E44-86FE-BDBC21EC94AE}">
            <xm:f>ISERROR(SEARCH("Value Missing",R16))</xm:f>
            <xm:f>"Value Missing"</xm:f>
            <x14:dxf>
              <font>
                <color rgb="FF006100"/>
              </font>
              <fill>
                <patternFill>
                  <bgColor rgb="FFC6EFCE"/>
                </patternFill>
              </fill>
            </x14:dxf>
          </x14:cfRule>
          <x14:cfRule type="containsText" priority="1064" operator="containsText" id="{69ED969C-9D8F-8B48-9827-33657E653FA7}">
            <xm:f>NOT(ISERROR(SEARCH("Value Missing",R16)))</xm:f>
            <xm:f>"Value Missing"</xm:f>
            <x14:dxf>
              <font>
                <color rgb="FF9C0006"/>
              </font>
              <fill>
                <patternFill>
                  <bgColor rgb="FFFFC7CE"/>
                </patternFill>
              </fill>
            </x14:dxf>
          </x14:cfRule>
          <x14:cfRule type="notContainsText" priority="1065" operator="notContains" id="{4AAC2819-150F-1541-BA57-BCE0B4143A1D}">
            <xm:f>ISERROR(SEARCH("Value Missing",R16))</xm:f>
            <xm:f>"Value Missing"</xm:f>
            <x14:dxf>
              <font>
                <color rgb="FF006100"/>
              </font>
              <fill>
                <patternFill>
                  <bgColor rgb="FFC6EFCE"/>
                </patternFill>
              </fill>
            </x14:dxf>
          </x14:cfRule>
          <x14:cfRule type="containsText" priority="1067" operator="containsText" id="{9F7740C2-9D29-6548-93EF-BEC8AEC9587B}">
            <xm:f>NOT(ISERROR(SEARCH("Value Missing",R16)))</xm:f>
            <xm:f>"Value Missing"</xm:f>
            <x14:dxf>
              <font>
                <color rgb="FF9C0006"/>
              </font>
              <fill>
                <patternFill>
                  <bgColor rgb="FFFFC7CE"/>
                </patternFill>
              </fill>
            </x14:dxf>
          </x14:cfRule>
          <x14:cfRule type="notContainsText" priority="1124" operator="notContains" id="{958DC334-9CD1-694A-890D-EC68E6032E87}">
            <xm:f>ISERROR(SEARCH("Value Missing",R16))</xm:f>
            <xm:f>"Value Missing"</xm:f>
            <x14:dxf>
              <font>
                <color rgb="FF006100"/>
              </font>
              <fill>
                <patternFill>
                  <bgColor rgb="FFC6EFCE"/>
                </patternFill>
              </fill>
            </x14:dxf>
          </x14:cfRule>
          <x14:cfRule type="containsText" priority="1125" operator="containsText" id="{67BB18E0-38CA-B84F-8DB1-660AAAD7C505}">
            <xm:f>NOT(ISERROR(SEARCH("Value Missing",R16)))</xm:f>
            <xm:f>"Value Missing"</xm:f>
            <x14:dxf>
              <font>
                <color rgb="FF9C0006"/>
              </font>
              <fill>
                <patternFill>
                  <bgColor rgb="FFFFC7CE"/>
                </patternFill>
              </fill>
            </x14:dxf>
          </x14:cfRule>
          <xm:sqref>R16</xm:sqref>
        </x14:conditionalFormatting>
        <x14:conditionalFormatting xmlns:xm="http://schemas.microsoft.com/office/excel/2006/main">
          <x14:cfRule type="notContainsText" priority="1145" operator="notContains" id="{0462A11E-4843-CA4A-87BA-F11FB7A6D40C}">
            <xm:f>ISERROR(SEARCH("Value Missing",R24))</xm:f>
            <xm:f>"Value Missing"</xm:f>
            <x14:dxf>
              <font>
                <color rgb="FF006100"/>
              </font>
              <fill>
                <patternFill>
                  <bgColor rgb="FFC6EFCE"/>
                </patternFill>
              </fill>
            </x14:dxf>
          </x14:cfRule>
          <x14:cfRule type="containsText" priority="1146" operator="containsText" id="{950A25C2-CB87-7C43-A757-5255B44FEA2F}">
            <xm:f>NOT(ISERROR(SEARCH("Value Missing",R24)))</xm:f>
            <xm:f>"Value Missing"</xm:f>
            <x14:dxf>
              <font>
                <color rgb="FF9C0006"/>
              </font>
              <fill>
                <patternFill>
                  <bgColor rgb="FFFFC7CE"/>
                </patternFill>
              </fill>
            </x14:dxf>
          </x14:cfRule>
          <x14:cfRule type="notContainsText" priority="1147" operator="notContains" id="{58795953-E013-904D-9B4F-EDD0EAB8FAA8}">
            <xm:f>ISERROR(SEARCH("Value Missing",R24))</xm:f>
            <xm:f>"Value Missing"</xm:f>
            <x14:dxf>
              <font>
                <color rgb="FF006100"/>
              </font>
              <fill>
                <patternFill>
                  <bgColor rgb="FFC6EFCE"/>
                </patternFill>
              </fill>
            </x14:dxf>
          </x14:cfRule>
          <xm:sqref>R24 R27</xm:sqref>
        </x14:conditionalFormatting>
        <x14:conditionalFormatting xmlns:xm="http://schemas.microsoft.com/office/excel/2006/main">
          <x14:cfRule type="notContainsText" priority="1094" operator="notContains" id="{CE7C93E2-A89C-F643-81B3-3A61239AB6A3}">
            <xm:f>ISERROR(SEARCH("Value Missing",R30))</xm:f>
            <xm:f>"Value Missing"</xm:f>
            <x14:dxf>
              <font>
                <color rgb="FF006100"/>
              </font>
              <fill>
                <patternFill>
                  <bgColor rgb="FFC6EFCE"/>
                </patternFill>
              </fill>
            </x14:dxf>
          </x14:cfRule>
          <x14:cfRule type="containsText" priority="1095" operator="containsText" id="{AD968792-2099-0740-9F7A-7FA682C87A01}">
            <xm:f>NOT(ISERROR(SEARCH("Value Missing",R30)))</xm:f>
            <xm:f>"Value Missing"</xm:f>
            <x14:dxf>
              <font>
                <color rgb="FF9C0006"/>
              </font>
              <fill>
                <patternFill>
                  <bgColor rgb="FFFFC7CE"/>
                </patternFill>
              </fill>
            </x14:dxf>
          </x14:cfRule>
          <x14:cfRule type="notContainsText" priority="1096" operator="notContains" id="{9155DD1D-4E54-3244-9BFE-3DAE93E16F42}">
            <xm:f>ISERROR(SEARCH("Value Missing",R30))</xm:f>
            <xm:f>"Value Missing"</xm:f>
            <x14:dxf>
              <font>
                <color rgb="FF006100"/>
              </font>
              <fill>
                <patternFill>
                  <bgColor rgb="FFC6EFCE"/>
                </patternFill>
              </fill>
            </x14:dxf>
          </x14:cfRule>
          <xm:sqref>R30</xm:sqref>
        </x14:conditionalFormatting>
        <x14:conditionalFormatting xmlns:xm="http://schemas.microsoft.com/office/excel/2006/main">
          <x14:cfRule type="containsText" priority="1028" stopIfTrue="1" operator="containsText" id="{98ACDE98-E5A2-C045-B534-9A34C89285A5}">
            <xm:f>NOT(ISERROR(SEARCH("Value Missing",R34)))</xm:f>
            <xm:f>"Value Missing"</xm:f>
            <x14:dxf>
              <font>
                <color rgb="FF0E223A"/>
              </font>
              <fill>
                <patternFill>
                  <bgColor rgb="FFFFBE29"/>
                </patternFill>
              </fill>
            </x14:dxf>
          </x14:cfRule>
          <x14:cfRule type="notContainsText" priority="1032" operator="notContains" id="{FE6EE06D-EA32-B947-998A-40AFDBE9E1E8}">
            <xm:f>ISERROR(SEARCH("Value Missing",R34))</xm:f>
            <xm:f>"Value Missing"</xm:f>
            <x14:dxf>
              <font>
                <color rgb="FF006100"/>
              </font>
              <fill>
                <patternFill>
                  <bgColor rgb="FFC6EFCE"/>
                </patternFill>
              </fill>
            </x14:dxf>
          </x14:cfRule>
          <x14:cfRule type="containsText" priority="1033" operator="containsText" id="{5EDDF8D9-9A16-AF47-AEA8-F8A269E1A9B3}">
            <xm:f>NOT(ISERROR(SEARCH("Value Missing",R34)))</xm:f>
            <xm:f>"Value Missing"</xm:f>
            <x14:dxf>
              <font>
                <color rgb="FF9C0006"/>
              </font>
              <fill>
                <patternFill>
                  <bgColor rgb="FFFFC7CE"/>
                </patternFill>
              </fill>
            </x14:dxf>
          </x14:cfRule>
          <x14:cfRule type="notContainsText" priority="1034" operator="notContains" id="{E80D44C7-1812-D945-85D1-2DABC512CB4B}">
            <xm:f>ISERROR(SEARCH("Value Missing",R34))</xm:f>
            <xm:f>"Value Missing"</xm:f>
            <x14:dxf>
              <font>
                <color rgb="FF006100"/>
              </font>
              <fill>
                <patternFill>
                  <bgColor rgb="FFC6EFCE"/>
                </patternFill>
              </fill>
            </x14:dxf>
          </x14:cfRule>
          <x14:cfRule type="containsText" priority="1035" operator="containsText" id="{D29B1B6B-E041-9246-A224-9937CA143CAD}">
            <xm:f>NOT(ISERROR(SEARCH("Value Missing",R34)))</xm:f>
            <xm:f>"Value Missing"</xm:f>
            <x14:dxf>
              <font>
                <color rgb="FF9C0006"/>
              </font>
              <fill>
                <patternFill>
                  <bgColor rgb="FFFFC7CE"/>
                </patternFill>
              </fill>
            </x14:dxf>
          </x14:cfRule>
          <x14:cfRule type="notContainsText" priority="1036" operator="notContains" id="{4768D170-703F-8547-A1E7-8341537CD6C9}">
            <xm:f>ISERROR(SEARCH("Value Missing",R34))</xm:f>
            <xm:f>"Value Missing"</xm:f>
            <x14:dxf>
              <font>
                <color rgb="FF006100"/>
              </font>
              <fill>
                <patternFill>
                  <bgColor rgb="FFC6EFCE"/>
                </patternFill>
              </fill>
            </x14:dxf>
          </x14:cfRule>
          <x14:cfRule type="containsText" priority="1038" operator="containsText" id="{F2AC1772-D526-7B4C-B1EE-0CB89CFC50D8}">
            <xm:f>NOT(ISERROR(SEARCH("Value Missing",R34)))</xm:f>
            <xm:f>"Value Missing"</xm:f>
            <x14:dxf>
              <font>
                <color rgb="FF9C0006"/>
              </font>
              <fill>
                <patternFill>
                  <bgColor rgb="FFFFC7CE"/>
                </patternFill>
              </fill>
            </x14:dxf>
          </x14:cfRule>
          <x14:cfRule type="notContainsText" priority="1039" operator="notContains" id="{A1950AB6-1A88-3146-B81F-F825765630B1}">
            <xm:f>ISERROR(SEARCH("Value Missing",R34))</xm:f>
            <xm:f>"Value Missing"</xm:f>
            <x14:dxf>
              <font>
                <color rgb="FF006100"/>
              </font>
              <fill>
                <patternFill>
                  <bgColor rgb="FFC6EFCE"/>
                </patternFill>
              </fill>
            </x14:dxf>
          </x14:cfRule>
          <x14:cfRule type="containsText" priority="1040" operator="containsText" id="{2E49C2E7-4B71-D144-A68D-FB239272EED9}">
            <xm:f>NOT(ISERROR(SEARCH("Value Missing",R34)))</xm:f>
            <xm:f>"Value Missing"</xm:f>
            <x14:dxf>
              <font>
                <color rgb="FF9C0006"/>
              </font>
              <fill>
                <patternFill>
                  <bgColor rgb="FFFFC7CE"/>
                </patternFill>
              </fill>
            </x14:dxf>
          </x14:cfRule>
          <xm:sqref>R34:R41</xm:sqref>
        </x14:conditionalFormatting>
        <x14:conditionalFormatting xmlns:xm="http://schemas.microsoft.com/office/excel/2006/main">
          <x14:cfRule type="containsText" priority="1013" stopIfTrue="1" operator="containsText" id="{C747A61D-F79D-9648-B908-E31999C7EBF1}">
            <xm:f>NOT(ISERROR(SEARCH("Value Missing",R45)))</xm:f>
            <xm:f>"Value Missing"</xm:f>
            <x14:dxf>
              <font>
                <color rgb="FF0E223A"/>
              </font>
              <fill>
                <patternFill>
                  <bgColor rgb="FFFFBE29"/>
                </patternFill>
              </fill>
            </x14:dxf>
          </x14:cfRule>
          <x14:cfRule type="notContainsText" priority="1017" operator="notContains" id="{04DB8987-1ADD-1E4B-B48D-A7607EC0457D}">
            <xm:f>ISERROR(SEARCH("Value Missing",R45))</xm:f>
            <xm:f>"Value Missing"</xm:f>
            <x14:dxf>
              <font>
                <color rgb="FF006100"/>
              </font>
              <fill>
                <patternFill>
                  <bgColor rgb="FFC6EFCE"/>
                </patternFill>
              </fill>
            </x14:dxf>
          </x14:cfRule>
          <x14:cfRule type="containsText" priority="1018" operator="containsText" id="{ECDCC1A4-6C9A-C54E-A8CA-84D7FC45856A}">
            <xm:f>NOT(ISERROR(SEARCH("Value Missing",R45)))</xm:f>
            <xm:f>"Value Missing"</xm:f>
            <x14:dxf>
              <font>
                <color rgb="FF9C0006"/>
              </font>
              <fill>
                <patternFill>
                  <bgColor rgb="FFFFC7CE"/>
                </patternFill>
              </fill>
            </x14:dxf>
          </x14:cfRule>
          <x14:cfRule type="notContainsText" priority="1019" operator="notContains" id="{84DB17FC-53A1-6747-8965-5E11BD0C40DA}">
            <xm:f>ISERROR(SEARCH("Value Missing",R45))</xm:f>
            <xm:f>"Value Missing"</xm:f>
            <x14:dxf>
              <font>
                <color rgb="FF006100"/>
              </font>
              <fill>
                <patternFill>
                  <bgColor rgb="FFC6EFCE"/>
                </patternFill>
              </fill>
            </x14:dxf>
          </x14:cfRule>
          <x14:cfRule type="containsText" priority="1020" operator="containsText" id="{A281237B-1911-0149-ACCA-82A132054E66}">
            <xm:f>NOT(ISERROR(SEARCH("Value Missing",R45)))</xm:f>
            <xm:f>"Value Missing"</xm:f>
            <x14:dxf>
              <font>
                <color rgb="FF9C0006"/>
              </font>
              <fill>
                <patternFill>
                  <bgColor rgb="FFFFC7CE"/>
                </patternFill>
              </fill>
            </x14:dxf>
          </x14:cfRule>
          <x14:cfRule type="notContainsText" priority="1021" operator="notContains" id="{868F8CA5-3D23-1341-8908-EB70EADC09F9}">
            <xm:f>ISERROR(SEARCH("Value Missing",R45))</xm:f>
            <xm:f>"Value Missing"</xm:f>
            <x14:dxf>
              <font>
                <color rgb="FF006100"/>
              </font>
              <fill>
                <patternFill>
                  <bgColor rgb="FFC6EFCE"/>
                </patternFill>
              </fill>
            </x14:dxf>
          </x14:cfRule>
          <x14:cfRule type="containsText" priority="1023" operator="containsText" id="{10C53C1A-5B9B-2044-AEF1-588D5B16A688}">
            <xm:f>NOT(ISERROR(SEARCH("Value Missing",R45)))</xm:f>
            <xm:f>"Value Missing"</xm:f>
            <x14:dxf>
              <font>
                <color rgb="FF9C0006"/>
              </font>
              <fill>
                <patternFill>
                  <bgColor rgb="FFFFC7CE"/>
                </patternFill>
              </fill>
            </x14:dxf>
          </x14:cfRule>
          <x14:cfRule type="notContainsText" priority="1024" operator="notContains" id="{5FB9FF32-6D6A-C940-ACAD-7DD4FB3558DD}">
            <xm:f>ISERROR(SEARCH("Value Missing",R45))</xm:f>
            <xm:f>"Value Missing"</xm:f>
            <x14:dxf>
              <font>
                <color rgb="FF006100"/>
              </font>
              <fill>
                <patternFill>
                  <bgColor rgb="FFC6EFCE"/>
                </patternFill>
              </fill>
            </x14:dxf>
          </x14:cfRule>
          <x14:cfRule type="containsText" priority="1025" operator="containsText" id="{8506232F-B1D9-104C-84F0-4BA74D12743F}">
            <xm:f>NOT(ISERROR(SEARCH("Value Missing",R45)))</xm:f>
            <xm:f>"Value Missing"</xm:f>
            <x14:dxf>
              <font>
                <color rgb="FF9C0006"/>
              </font>
              <fill>
                <patternFill>
                  <bgColor rgb="FFFFC7CE"/>
                </patternFill>
              </fill>
            </x14:dxf>
          </x14:cfRule>
          <xm:sqref>R45</xm:sqref>
        </x14:conditionalFormatting>
        <x14:conditionalFormatting xmlns:xm="http://schemas.microsoft.com/office/excel/2006/main">
          <x14:cfRule type="containsText" priority="998" stopIfTrue="1" operator="containsText" id="{2C2F8B9F-9DB2-3641-80BE-C6405821A35C}">
            <xm:f>NOT(ISERROR(SEARCH("Value Missing",R49)))</xm:f>
            <xm:f>"Value Missing"</xm:f>
            <x14:dxf>
              <font>
                <color rgb="FF0E223A"/>
              </font>
              <fill>
                <patternFill>
                  <bgColor rgb="FFFFBE29"/>
                </patternFill>
              </fill>
            </x14:dxf>
          </x14:cfRule>
          <x14:cfRule type="notContainsText" priority="1002" operator="notContains" id="{FB260DA2-188A-7346-A019-E10302DE1010}">
            <xm:f>ISERROR(SEARCH("Value Missing",R49))</xm:f>
            <xm:f>"Value Missing"</xm:f>
            <x14:dxf>
              <font>
                <color rgb="FF006100"/>
              </font>
              <fill>
                <patternFill>
                  <bgColor rgb="FFC6EFCE"/>
                </patternFill>
              </fill>
            </x14:dxf>
          </x14:cfRule>
          <x14:cfRule type="containsText" priority="1003" operator="containsText" id="{CE219DAA-0DBF-A34A-9185-83325406B327}">
            <xm:f>NOT(ISERROR(SEARCH("Value Missing",R49)))</xm:f>
            <xm:f>"Value Missing"</xm:f>
            <x14:dxf>
              <font>
                <color rgb="FF9C0006"/>
              </font>
              <fill>
                <patternFill>
                  <bgColor rgb="FFFFC7CE"/>
                </patternFill>
              </fill>
            </x14:dxf>
          </x14:cfRule>
          <x14:cfRule type="notContainsText" priority="1004" operator="notContains" id="{DFB38067-77C1-9B4D-A8D8-3F8CA1CEF277}">
            <xm:f>ISERROR(SEARCH("Value Missing",R49))</xm:f>
            <xm:f>"Value Missing"</xm:f>
            <x14:dxf>
              <font>
                <color rgb="FF006100"/>
              </font>
              <fill>
                <patternFill>
                  <bgColor rgb="FFC6EFCE"/>
                </patternFill>
              </fill>
            </x14:dxf>
          </x14:cfRule>
          <x14:cfRule type="containsText" priority="1005" operator="containsText" id="{BDE2240E-D23C-424E-9D78-DAD0989FBD63}">
            <xm:f>NOT(ISERROR(SEARCH("Value Missing",R49)))</xm:f>
            <xm:f>"Value Missing"</xm:f>
            <x14:dxf>
              <font>
                <color rgb="FF9C0006"/>
              </font>
              <fill>
                <patternFill>
                  <bgColor rgb="FFFFC7CE"/>
                </patternFill>
              </fill>
            </x14:dxf>
          </x14:cfRule>
          <x14:cfRule type="notContainsText" priority="1006" operator="notContains" id="{786FC343-4BB0-4F4C-99CF-C64EE4E37554}">
            <xm:f>ISERROR(SEARCH("Value Missing",R49))</xm:f>
            <xm:f>"Value Missing"</xm:f>
            <x14:dxf>
              <font>
                <color rgb="FF006100"/>
              </font>
              <fill>
                <patternFill>
                  <bgColor rgb="FFC6EFCE"/>
                </patternFill>
              </fill>
            </x14:dxf>
          </x14:cfRule>
          <x14:cfRule type="containsText" priority="1008" operator="containsText" id="{5903A377-0F9C-5D41-94D3-853E62433B68}">
            <xm:f>NOT(ISERROR(SEARCH("Value Missing",R49)))</xm:f>
            <xm:f>"Value Missing"</xm:f>
            <x14:dxf>
              <font>
                <color rgb="FF9C0006"/>
              </font>
              <fill>
                <patternFill>
                  <bgColor rgb="FFFFC7CE"/>
                </patternFill>
              </fill>
            </x14:dxf>
          </x14:cfRule>
          <x14:cfRule type="notContainsText" priority="1009" operator="notContains" id="{CA8D24FB-4764-7F4B-A0EA-9D046968D4B0}">
            <xm:f>ISERROR(SEARCH("Value Missing",R49))</xm:f>
            <xm:f>"Value Missing"</xm:f>
            <x14:dxf>
              <font>
                <color rgb="FF006100"/>
              </font>
              <fill>
                <patternFill>
                  <bgColor rgb="FFC6EFCE"/>
                </patternFill>
              </fill>
            </x14:dxf>
          </x14:cfRule>
          <x14:cfRule type="containsText" priority="1010" operator="containsText" id="{D2F2F511-075C-454F-B151-ECF9FF4ABE26}">
            <xm:f>NOT(ISERROR(SEARCH("Value Missing",R49)))</xm:f>
            <xm:f>"Value Missing"</xm:f>
            <x14:dxf>
              <font>
                <color rgb="FF9C0006"/>
              </font>
              <fill>
                <patternFill>
                  <bgColor rgb="FFFFC7CE"/>
                </patternFill>
              </fill>
            </x14:dxf>
          </x14:cfRule>
          <xm:sqref>R49:R50</xm:sqref>
        </x14:conditionalFormatting>
        <x14:conditionalFormatting xmlns:xm="http://schemas.microsoft.com/office/excel/2006/main">
          <x14:cfRule type="containsText" priority="2317" operator="containsText" id="{ED7E2262-5488-B642-9DA0-65E2362D54F3}">
            <xm:f>NOT(ISERROR(SEARCH("Value Missing",F54)))</xm:f>
            <xm:f>"Value Missing"</xm:f>
            <x14:dxf>
              <font>
                <color rgb="FF9C0006"/>
              </font>
              <fill>
                <patternFill>
                  <bgColor rgb="FFFFC7CE"/>
                </patternFill>
              </fill>
            </x14:dxf>
          </x14:cfRule>
          <xm:sqref>R54:R57 L66:L68 R75:R79 F134:F135</xm:sqref>
        </x14:conditionalFormatting>
        <x14:conditionalFormatting xmlns:xm="http://schemas.microsoft.com/office/excel/2006/main">
          <x14:cfRule type="notContainsText" priority="2499" operator="notContains" id="{B6A69EFC-05C0-BD4F-995E-E9D6ABB4EC9D}">
            <xm:f>ISERROR(SEARCH("Value Missing",C61))</xm:f>
            <xm:f>"Value Missing"</xm:f>
            <x14:dxf>
              <font>
                <color rgb="FF006100"/>
              </font>
              <fill>
                <patternFill>
                  <bgColor rgb="FFC6EFCE"/>
                </patternFill>
              </fill>
            </x14:dxf>
          </x14:cfRule>
          <xm:sqref>R61:R64 R83:R86 F110:F111 R112:R113 R117:R118 C175:C176</xm:sqref>
        </x14:conditionalFormatting>
        <x14:conditionalFormatting xmlns:xm="http://schemas.microsoft.com/office/excel/2006/main">
          <x14:cfRule type="notContainsText" priority="2316" operator="notContains" id="{7C40FA3B-7B98-2844-9240-562F2D8C5A34}">
            <xm:f>ISERROR(SEARCH("Value Missing",F54))</xm:f>
            <xm:f>"Value Missing"</xm:f>
            <x14:dxf>
              <font>
                <color rgb="FF006100"/>
              </font>
              <fill>
                <patternFill>
                  <bgColor rgb="FFC6EFCE"/>
                </patternFill>
              </fill>
            </x14:dxf>
          </x14:cfRule>
          <xm:sqref>R75:R79 R54:R57 L66:L68 F134:F135</xm:sqref>
        </x14:conditionalFormatting>
        <x14:conditionalFormatting xmlns:xm="http://schemas.microsoft.com/office/excel/2006/main">
          <x14:cfRule type="notContainsText" priority="2203" operator="notContains" id="{4608FEC1-ABA9-904E-AEAD-0D02A30F8056}">
            <xm:f>ISERROR(SEARCH("Value Missing",C61))</xm:f>
            <xm:f>"Value Missing"</xm:f>
            <x14:dxf>
              <font>
                <color rgb="FF006100"/>
              </font>
              <fill>
                <patternFill>
                  <bgColor rgb="FFC6EFCE"/>
                </patternFill>
              </fill>
            </x14:dxf>
          </x14:cfRule>
          <xm:sqref>R83:R86 R61:R64 R112:R113 R117:R118 F110:F111 C175:C176</xm:sqref>
        </x14:conditionalFormatting>
        <x14:conditionalFormatting xmlns:xm="http://schemas.microsoft.com/office/excel/2006/main">
          <x14:cfRule type="containsText" priority="1081" stopIfTrue="1" operator="containsText" id="{0B44FFC0-B5E3-6D49-93D4-D04FE9BB8EF3}">
            <xm:f>NOT(ISERROR(SEARCH("Value Missing",R83)))</xm:f>
            <xm:f>"Value Missing"</xm:f>
            <x14:dxf>
              <font>
                <color rgb="FF0E223A"/>
              </font>
              <fill>
                <patternFill>
                  <bgColor rgb="FFFFBE29"/>
                </patternFill>
              </fill>
            </x14:dxf>
          </x14:cfRule>
          <xm:sqref>R83:R87</xm:sqref>
        </x14:conditionalFormatting>
        <x14:conditionalFormatting xmlns:xm="http://schemas.microsoft.com/office/excel/2006/main">
          <x14:cfRule type="containsText" priority="1077" stopIfTrue="1" operator="containsText" id="{347C3D86-AD58-0F4F-BDB0-D329BCF87D81}">
            <xm:f>NOT(ISERROR(SEARCH("Value Missing",R91)))</xm:f>
            <xm:f>"Value Missing"</xm:f>
            <x14:dxf>
              <font>
                <color rgb="FF0E223A"/>
              </font>
              <fill>
                <patternFill>
                  <bgColor rgb="FFFFBE29"/>
                </patternFill>
              </fill>
            </x14:dxf>
          </x14:cfRule>
          <xm:sqref>R91:R95</xm:sqref>
        </x14:conditionalFormatting>
        <x14:conditionalFormatting xmlns:xm="http://schemas.microsoft.com/office/excel/2006/main">
          <x14:cfRule type="notContainsText" priority="1476" operator="notContains" id="{3334E1B8-527D-164D-A3DA-AE594F1829B5}">
            <xm:f>ISERROR(SEARCH("Value Missing",R99))</xm:f>
            <xm:f>"Value Missing"</xm:f>
            <x14:dxf>
              <font>
                <color rgb="FF006100"/>
              </font>
              <fill>
                <patternFill>
                  <bgColor rgb="FFC6EFCE"/>
                </patternFill>
              </fill>
            </x14:dxf>
          </x14:cfRule>
          <x14:cfRule type="containsText" priority="1477" operator="containsText" id="{147AD28B-CD9B-8043-BC38-424E2793FCDA}">
            <xm:f>NOT(ISERROR(SEARCH("Value Missing",R99)))</xm:f>
            <xm:f>"Value Missing"</xm:f>
            <x14:dxf>
              <font>
                <color rgb="FF9C0006"/>
              </font>
              <fill>
                <patternFill>
                  <bgColor rgb="FFFFC7CE"/>
                </patternFill>
              </fill>
            </x14:dxf>
          </x14:cfRule>
          <xm:sqref>R99:R102</xm:sqref>
        </x14:conditionalFormatting>
        <x14:conditionalFormatting xmlns:xm="http://schemas.microsoft.com/office/excel/2006/main">
          <x14:cfRule type="notContainsText" priority="1496" operator="notContains" id="{06F54E94-2D64-4144-88BD-ACC98259AA90}">
            <xm:f>ISERROR(SEARCH("Value Missing",R106))</xm:f>
            <xm:f>"Value Missing"</xm:f>
            <x14:dxf>
              <font>
                <color rgb="FF006100"/>
              </font>
              <fill>
                <patternFill>
                  <bgColor rgb="FFC6EFCE"/>
                </patternFill>
              </fill>
            </x14:dxf>
          </x14:cfRule>
          <x14:cfRule type="containsText" priority="1497" operator="containsText" id="{C96BE528-836B-CC44-ACC9-A66CE6FD51F2}">
            <xm:f>NOT(ISERROR(SEARCH("Value Missing",R106)))</xm:f>
            <xm:f>"Value Missing"</xm:f>
            <x14:dxf>
              <font>
                <color rgb="FF9C0006"/>
              </font>
              <fill>
                <patternFill>
                  <bgColor rgb="FFFFC7CE"/>
                </patternFill>
              </fill>
            </x14:dxf>
          </x14:cfRule>
          <xm:sqref>R106:R108</xm:sqref>
        </x14:conditionalFormatting>
        <x14:conditionalFormatting xmlns:xm="http://schemas.microsoft.com/office/excel/2006/main">
          <x14:cfRule type="notContainsText" priority="1490" operator="notContains" id="{269182F5-E88F-9146-8A84-A06F97937521}">
            <xm:f>ISERROR(SEARCH("Value Missing",R112))</xm:f>
            <xm:f>"Value Missing"</xm:f>
            <x14:dxf>
              <font>
                <color rgb="FF006100"/>
              </font>
              <fill>
                <patternFill>
                  <bgColor rgb="FFC6EFCE"/>
                </patternFill>
              </fill>
            </x14:dxf>
          </x14:cfRule>
          <x14:cfRule type="containsText" priority="1491" operator="containsText" id="{C83E172E-5E47-C640-B63C-C6EC07BF94CA}">
            <xm:f>NOT(ISERROR(SEARCH("Value Missing",R112)))</xm:f>
            <xm:f>"Value Missing"</xm:f>
            <x14:dxf>
              <font>
                <color rgb="FF9C0006"/>
              </font>
              <fill>
                <patternFill>
                  <bgColor rgb="FFFFC7CE"/>
                </patternFill>
              </fill>
            </x14:dxf>
          </x14:cfRule>
          <xm:sqref>R112:R113</xm:sqref>
        </x14:conditionalFormatting>
        <x14:conditionalFormatting xmlns:xm="http://schemas.microsoft.com/office/excel/2006/main">
          <x14:cfRule type="notContainsText" priority="1486" operator="notContains" id="{5BF99BCE-21AE-644B-9DD8-C38F98C0BA40}">
            <xm:f>ISERROR(SEARCH("Value Missing",R117))</xm:f>
            <xm:f>"Value Missing"</xm:f>
            <x14:dxf>
              <font>
                <color rgb="FF006100"/>
              </font>
              <fill>
                <patternFill>
                  <bgColor rgb="FFC6EFCE"/>
                </patternFill>
              </fill>
            </x14:dxf>
          </x14:cfRule>
          <x14:cfRule type="containsText" priority="1487" operator="containsText" id="{F6D18970-8014-0E46-A072-D76E96086786}">
            <xm:f>NOT(ISERROR(SEARCH("Value Missing",R117)))</xm:f>
            <xm:f>"Value Missing"</xm:f>
            <x14:dxf>
              <font>
                <color rgb="FF9C0006"/>
              </font>
              <fill>
                <patternFill>
                  <bgColor rgb="FFFFC7CE"/>
                </patternFill>
              </fill>
            </x14:dxf>
          </x14:cfRule>
          <xm:sqref>R117:R118</xm:sqref>
        </x14:conditionalFormatting>
        <x14:conditionalFormatting xmlns:xm="http://schemas.microsoft.com/office/excel/2006/main">
          <x14:cfRule type="notContainsText" priority="1482" operator="notContains" id="{5FAE5C21-9C4E-8849-860E-239D505855CF}">
            <xm:f>ISERROR(SEARCH("Value Missing",R127))</xm:f>
            <xm:f>"Value Missing"</xm:f>
            <x14:dxf>
              <font>
                <color rgb="FF006100"/>
              </font>
              <fill>
                <patternFill>
                  <bgColor rgb="FFC6EFCE"/>
                </patternFill>
              </fill>
            </x14:dxf>
          </x14:cfRule>
          <x14:cfRule type="containsText" priority="1483" operator="containsText" id="{2887FFCC-7AC0-1245-A4BB-A7D33A70D8DE}">
            <xm:f>NOT(ISERROR(SEARCH("Value Missing",R127)))</xm:f>
            <xm:f>"Value Missing"</xm:f>
            <x14:dxf>
              <font>
                <color rgb="FF9C0006"/>
              </font>
              <fill>
                <patternFill>
                  <bgColor rgb="FFFFC7CE"/>
                </patternFill>
              </fill>
            </x14:dxf>
          </x14:cfRule>
          <xm:sqref>R127:R128</xm:sqref>
        </x14:conditionalFormatting>
        <x14:conditionalFormatting xmlns:xm="http://schemas.microsoft.com/office/excel/2006/main">
          <x14:cfRule type="notContainsText" priority="1192" operator="notContains" id="{3193313F-8651-B24D-834D-AC9B4D630FC8}">
            <xm:f>ISERROR(SEARCH("Value Missing",R132))</xm:f>
            <xm:f>"Value Missing"</xm:f>
            <x14:dxf>
              <font>
                <color rgb="FF006100"/>
              </font>
              <fill>
                <patternFill>
                  <bgColor rgb="FFC6EFCE"/>
                </patternFill>
              </fill>
            </x14:dxf>
          </x14:cfRule>
          <x14:cfRule type="containsText" priority="1193" operator="containsText" id="{676353C6-A8CB-4A4B-84B4-0063B2C471FA}">
            <xm:f>NOT(ISERROR(SEARCH("Value Missing",R132)))</xm:f>
            <xm:f>"Value Missing"</xm:f>
            <x14:dxf>
              <font>
                <color rgb="FF9C0006"/>
              </font>
              <fill>
                <patternFill>
                  <bgColor rgb="FFFFC7CE"/>
                </patternFill>
              </fill>
            </x14:dxf>
          </x14:cfRule>
          <x14:cfRule type="notContainsText" priority="1194" operator="notContains" id="{CCA37073-18EA-B44E-A6A6-8498C2F7F36D}">
            <xm:f>ISERROR(SEARCH("Value Missing",R132))</xm:f>
            <xm:f>"Value Missing"</xm:f>
            <x14:dxf>
              <font>
                <color rgb="FF006100"/>
              </font>
              <fill>
                <patternFill>
                  <bgColor rgb="FFC6EFCE"/>
                </patternFill>
              </fill>
            </x14:dxf>
          </x14:cfRule>
          <x14:cfRule type="containsText" priority="1195" operator="containsText" id="{469F9144-5B62-EF41-8995-4A6CC8AE7797}">
            <xm:f>NOT(ISERROR(SEARCH("Value Missing",R132)))</xm:f>
            <xm:f>"Value Missing"</xm:f>
            <x14:dxf>
              <font>
                <color rgb="FF9C0006"/>
              </font>
              <fill>
                <patternFill>
                  <bgColor rgb="FFFFC7CE"/>
                </patternFill>
              </fill>
            </x14:dxf>
          </x14:cfRule>
          <xm:sqref>R132:R133</xm:sqref>
        </x14:conditionalFormatting>
        <x14:conditionalFormatting xmlns:xm="http://schemas.microsoft.com/office/excel/2006/main">
          <x14:cfRule type="notContainsText" priority="1197" operator="notContains" id="{31FF1EC6-C61B-F34D-8AFC-039532B93406}">
            <xm:f>ISERROR(SEARCH("Value Missing",R137))</xm:f>
            <xm:f>"Value Missing"</xm:f>
            <x14:dxf>
              <font>
                <color rgb="FF006100"/>
              </font>
              <fill>
                <patternFill>
                  <bgColor rgb="FFC6EFCE"/>
                </patternFill>
              </fill>
            </x14:dxf>
          </x14:cfRule>
          <x14:cfRule type="containsText" priority="1198" operator="containsText" id="{3B77764A-B09C-2948-AE57-C5FA0599DE53}">
            <xm:f>NOT(ISERROR(SEARCH("Value Missing",R137)))</xm:f>
            <xm:f>"Value Missing"</xm:f>
            <x14:dxf>
              <font>
                <color rgb="FF9C0006"/>
              </font>
              <fill>
                <patternFill>
                  <bgColor rgb="FFFFC7CE"/>
                </patternFill>
              </fill>
            </x14:dxf>
          </x14:cfRule>
          <x14:cfRule type="notContainsText" priority="1199" operator="notContains" id="{3C5B06B0-4E82-0841-83A6-BBBE0C3BC3E9}">
            <xm:f>ISERROR(SEARCH("Value Missing",R137))</xm:f>
            <xm:f>"Value Missing"</xm:f>
            <x14:dxf>
              <font>
                <color rgb="FF006100"/>
              </font>
              <fill>
                <patternFill>
                  <bgColor rgb="FFC6EFCE"/>
                </patternFill>
              </fill>
            </x14:dxf>
          </x14:cfRule>
          <x14:cfRule type="containsText" priority="1200" operator="containsText" id="{104118BD-CB82-524E-9638-973BBE17838C}">
            <xm:f>NOT(ISERROR(SEARCH("Value Missing",R137)))</xm:f>
            <xm:f>"Value Missing"</xm:f>
            <x14:dxf>
              <font>
                <color rgb="FF9C0006"/>
              </font>
              <fill>
                <patternFill>
                  <bgColor rgb="FFFFC7CE"/>
                </patternFill>
              </fill>
            </x14:dxf>
          </x14:cfRule>
          <xm:sqref>R137:R138</xm:sqref>
        </x14:conditionalFormatting>
        <x14:conditionalFormatting xmlns:xm="http://schemas.microsoft.com/office/excel/2006/main">
          <x14:cfRule type="notContainsText" priority="2240" operator="notContains" id="{69B866BF-45C9-3443-A6E1-7B3A146A6006}">
            <xm:f>ISERROR(SEARCH("Value Missing",F8))</xm:f>
            <xm:f>"Value Missing"</xm:f>
            <x14:dxf>
              <font>
                <color rgb="FF006100"/>
              </font>
              <fill>
                <patternFill>
                  <bgColor rgb="FFC6EFCE"/>
                </patternFill>
              </fill>
            </x14:dxf>
          </x14:cfRule>
          <xm:sqref>U8:U36 F110:F111</xm:sqref>
        </x14:conditionalFormatting>
        <x14:conditionalFormatting xmlns:xm="http://schemas.microsoft.com/office/excel/2006/main">
          <x14:cfRule type="containsText" priority="1222" operator="containsText" id="{9582BDDB-AE4E-E249-9264-DBFF4B29545C}">
            <xm:f>NOT(ISERROR(SEARCH("Value Missing",R24)))</xm:f>
            <xm:f>"Value Missing"</xm:f>
            <x14:dxf>
              <font>
                <color rgb="FF9C0006"/>
              </font>
              <fill>
                <patternFill>
                  <bgColor rgb="FFFFC7CE"/>
                </patternFill>
              </fill>
            </x14:dxf>
          </x14:cfRule>
          <xm:sqref>U40:U43 R24 R27 R30</xm:sqref>
        </x14:conditionalFormatting>
        <x14:conditionalFormatting xmlns:xm="http://schemas.microsoft.com/office/excel/2006/main">
          <x14:cfRule type="notContainsText" priority="1221" operator="notContains" id="{D087A155-83CB-394F-B329-47BE90F9E34E}">
            <xm:f>ISERROR(SEARCH("Value Missing",U40))</xm:f>
            <xm:f>"Value Missing"</xm:f>
            <x14:dxf>
              <font>
                <color rgb="FF006100"/>
              </font>
              <fill>
                <patternFill>
                  <bgColor rgb="FFC6EFCE"/>
                </patternFill>
              </fill>
            </x14:dxf>
          </x14:cfRule>
          <xm:sqref>U40:U43</xm:sqref>
        </x14:conditionalFormatting>
        <x14:conditionalFormatting xmlns:xm="http://schemas.microsoft.com/office/excel/2006/main">
          <x14:cfRule type="containsText" priority="2743" operator="containsText" id="{BC91E0E0-4C4D-5D44-A855-25B6E4FD2964}">
            <xm:f>NOT(ISERROR(SEARCH("Value Missing",L8)))</xm:f>
            <xm:f>"Value Missing"</xm:f>
            <x14:dxf>
              <font>
                <color rgb="FF9C0006"/>
              </font>
              <fill>
                <patternFill>
                  <bgColor rgb="FFFFC7CE"/>
                </patternFill>
              </fill>
            </x14:dxf>
          </x14:cfRule>
          <xm:sqref>U48:U50 R54:R57 R68:R71 R75:R79 L99:L104 U99:U104 U117 L126:L127 R61:R64 R83:R86 R8 R12 L58:L62 U61:U66</xm:sqref>
        </x14:conditionalFormatting>
        <x14:conditionalFormatting xmlns:xm="http://schemas.microsoft.com/office/excel/2006/main">
          <x14:cfRule type="notContainsText" priority="1479" operator="notContains" id="{57C8A54C-69CA-324C-99BE-1DE795AFE07B}">
            <xm:f>ISERROR(SEARCH("Value Missing",U48))</xm:f>
            <xm:f>"Value Missing"</xm:f>
            <x14:dxf>
              <font>
                <color rgb="FF006100"/>
              </font>
              <fill>
                <patternFill>
                  <bgColor rgb="FFC6EFCE"/>
                </patternFill>
              </fill>
            </x14:dxf>
          </x14:cfRule>
          <x14:cfRule type="containsText" priority="1480" operator="containsText" id="{6BD79D30-FD50-3642-88E9-B1B1B76EB5C5}">
            <xm:f>NOT(ISERROR(SEARCH("Value Missing",U48)))</xm:f>
            <xm:f>"Value Missing"</xm:f>
            <x14:dxf>
              <font>
                <color rgb="FF9C0006"/>
              </font>
              <fill>
                <patternFill>
                  <bgColor rgb="FFFFC7CE"/>
                </patternFill>
              </fill>
            </x14:dxf>
          </x14:cfRule>
          <xm:sqref>U48:U56</xm:sqref>
        </x14:conditionalFormatting>
        <x14:conditionalFormatting xmlns:xm="http://schemas.microsoft.com/office/excel/2006/main">
          <x14:cfRule type="notContainsText" priority="1379" operator="notContains" id="{48BF000C-DAA1-9A49-BABE-FB79BA2E9FDA}">
            <xm:f>ISERROR(SEARCH("Value Missing",U51))</xm:f>
            <xm:f>"Value Missing"</xm:f>
            <x14:dxf>
              <font>
                <color rgb="FF006100"/>
              </font>
              <fill>
                <patternFill>
                  <bgColor rgb="FFC6EFCE"/>
                </patternFill>
              </fill>
            </x14:dxf>
          </x14:cfRule>
          <x14:cfRule type="containsText" priority="1380" operator="containsText" id="{981BEB68-FB6E-3646-A16C-1224A3F8253B}">
            <xm:f>NOT(ISERROR(SEARCH("Value Missing",U51)))</xm:f>
            <xm:f>"Value Missing"</xm:f>
            <x14:dxf>
              <font>
                <color rgb="FF9C0006"/>
              </font>
              <fill>
                <patternFill>
                  <bgColor rgb="FFFFC7CE"/>
                </patternFill>
              </fill>
            </x14:dxf>
          </x14:cfRule>
          <xm:sqref>U51:U56</xm:sqref>
        </x14:conditionalFormatting>
        <x14:conditionalFormatting xmlns:xm="http://schemas.microsoft.com/office/excel/2006/main">
          <x14:cfRule type="notContainsText" priority="1424" operator="notContains" id="{689D6E64-E929-B041-AAA0-CD56000FB8C9}">
            <xm:f>ISERROR(SEARCH("Value Missing",U60))</xm:f>
            <xm:f>"Value Missing"</xm:f>
            <x14:dxf>
              <font>
                <color rgb="FF006100"/>
              </font>
              <fill>
                <patternFill>
                  <bgColor rgb="FFC6EFCE"/>
                </patternFill>
              </fill>
            </x14:dxf>
          </x14:cfRule>
          <x14:cfRule type="containsText" priority="1425" operator="containsText" id="{A328C2EF-F06B-214C-B15D-3A74354AE8D1}">
            <xm:f>NOT(ISERROR(SEARCH("Value Missing",U60)))</xm:f>
            <xm:f>"Value Missing"</xm:f>
            <x14:dxf>
              <font>
                <color rgb="FF9C0006"/>
              </font>
              <fill>
                <patternFill>
                  <bgColor rgb="FFFFC7CE"/>
                </patternFill>
              </fill>
            </x14:dxf>
          </x14:cfRule>
          <xm:sqref>U60</xm:sqref>
        </x14:conditionalFormatting>
        <x14:conditionalFormatting xmlns:xm="http://schemas.microsoft.com/office/excel/2006/main">
          <x14:cfRule type="containsText" priority="2004" operator="containsText" id="{95F646E6-B74B-5A47-A718-34D3BA316CC8}">
            <xm:f>NOT(ISERROR(SEARCH("Value Missing",R8)))</xm:f>
            <xm:f>"Value Missing"</xm:f>
            <x14:dxf>
              <font>
                <color rgb="FF9C0006"/>
              </font>
              <fill>
                <patternFill>
                  <bgColor rgb="FFFFC7CE"/>
                </patternFill>
              </fill>
            </x14:dxf>
          </x14:cfRule>
          <xm:sqref>U60:U94 U105:U118 R8</xm:sqref>
        </x14:conditionalFormatting>
        <x14:conditionalFormatting xmlns:xm="http://schemas.microsoft.com/office/excel/2006/main">
          <x14:cfRule type="notContainsText" priority="1468" operator="notContains" id="{68EA98EC-C7D3-574A-BAAB-6E4045192DAF}">
            <xm:f>ISERROR(SEARCH("Value Missing",U60))</xm:f>
            <xm:f>"Value Missing"</xm:f>
            <x14:dxf>
              <font>
                <color rgb="FF006100"/>
              </font>
              <fill>
                <patternFill>
                  <bgColor rgb="FFC6EFCE"/>
                </patternFill>
              </fill>
            </x14:dxf>
          </x14:cfRule>
          <xm:sqref>U60:U94</xm:sqref>
        </x14:conditionalFormatting>
        <x14:conditionalFormatting xmlns:xm="http://schemas.microsoft.com/office/excel/2006/main">
          <x14:cfRule type="notContainsText" priority="1465" operator="notContains" id="{9E68E843-A3A4-7944-93D1-748A9854A463}">
            <xm:f>ISERROR(SEARCH("Value Missing",U75))</xm:f>
            <xm:f>"Value Missing"</xm:f>
            <x14:dxf>
              <font>
                <color rgb="FF006100"/>
              </font>
              <fill>
                <patternFill>
                  <bgColor rgb="FFC6EFCE"/>
                </patternFill>
              </fill>
            </x14:dxf>
          </x14:cfRule>
          <x14:cfRule type="containsText" priority="1466" operator="containsText" id="{EE0C5DB8-7946-5547-9B63-1F5CF03206F0}">
            <xm:f>NOT(ISERROR(SEARCH("Value Missing",U75)))</xm:f>
            <xm:f>"Value Missing"</xm:f>
            <x14:dxf>
              <font>
                <color rgb="FF9C0006"/>
              </font>
              <fill>
                <patternFill>
                  <bgColor rgb="FFFFC7CE"/>
                </patternFill>
              </fill>
            </x14:dxf>
          </x14:cfRule>
          <xm:sqref>U75</xm:sqref>
        </x14:conditionalFormatting>
        <x14:conditionalFormatting xmlns:xm="http://schemas.microsoft.com/office/excel/2006/main">
          <x14:cfRule type="notContainsText" priority="2044" operator="notContains" id="{35C67C57-0F0F-2C49-AFEB-C171FD6A3F5A}">
            <xm:f>ISERROR(SEARCH("Value Missing",L76))</xm:f>
            <xm:f>"Value Missing"</xm:f>
            <x14:dxf>
              <font>
                <color rgb="FF006100"/>
              </font>
              <fill>
                <patternFill>
                  <bgColor rgb="FFC6EFCE"/>
                </patternFill>
              </fill>
            </x14:dxf>
          </x14:cfRule>
          <x14:cfRule type="containsText" priority="2045" operator="containsText" id="{AA601A5E-A136-704B-BA9B-294C341E50BC}">
            <xm:f>NOT(ISERROR(SEARCH("Value Missing",L76)))</xm:f>
            <xm:f>"Value Missing"</xm:f>
            <x14:dxf>
              <font>
                <color rgb="FF9C0006"/>
              </font>
              <fill>
                <patternFill>
                  <bgColor rgb="FFFFC7CE"/>
                </patternFill>
              </fill>
            </x14:dxf>
          </x14:cfRule>
          <xm:sqref>U76 L139:L141</xm:sqref>
        </x14:conditionalFormatting>
        <x14:conditionalFormatting xmlns:xm="http://schemas.microsoft.com/office/excel/2006/main">
          <x14:cfRule type="notContainsText" priority="1432" operator="notContains" id="{4E045DA0-FD53-5E40-BBF0-2CDC4CE9F47E}">
            <xm:f>ISERROR(SEARCH("Value Missing",U87))</xm:f>
            <xm:f>"Value Missing"</xm:f>
            <x14:dxf>
              <font>
                <color rgb="FF006100"/>
              </font>
              <fill>
                <patternFill>
                  <bgColor rgb="FFC6EFCE"/>
                </patternFill>
              </fill>
            </x14:dxf>
          </x14:cfRule>
          <x14:cfRule type="containsText" priority="1433" operator="containsText" id="{E9C1603B-D4AE-874E-BAE9-48086556B6CE}">
            <xm:f>NOT(ISERROR(SEARCH("Value Missing",U87)))</xm:f>
            <xm:f>"Value Missing"</xm:f>
            <x14:dxf>
              <font>
                <color rgb="FF9C0006"/>
              </font>
              <fill>
                <patternFill>
                  <bgColor rgb="FFFFC7CE"/>
                </patternFill>
              </fill>
            </x14:dxf>
          </x14:cfRule>
          <xm:sqref>U87:U95</xm:sqref>
        </x14:conditionalFormatting>
        <x14:conditionalFormatting xmlns:xm="http://schemas.microsoft.com/office/excel/2006/main">
          <x14:cfRule type="notContainsText" priority="1153" operator="notContains" id="{37EB2435-523C-504A-BAAB-E62CE9A7DD52}">
            <xm:f>ISERROR(SEARCH("Value Missing",L99))</xm:f>
            <xm:f>"Value Missing"</xm:f>
            <x14:dxf>
              <font>
                <color rgb="FF006100"/>
              </font>
              <fill>
                <patternFill>
                  <bgColor rgb="FFC6EFCE"/>
                </patternFill>
              </fill>
            </x14:dxf>
          </x14:cfRule>
          <x14:cfRule type="containsText" priority="1154" operator="containsText" id="{E22536AA-527A-854B-8152-1A4EDF21B2F5}">
            <xm:f>NOT(ISERROR(SEARCH("Value Missing",L99)))</xm:f>
            <xm:f>"Value Missing"</xm:f>
            <x14:dxf>
              <font>
                <color rgb="FF9C0006"/>
              </font>
              <fill>
                <patternFill>
                  <bgColor rgb="FFFFC7CE"/>
                </patternFill>
              </fill>
            </x14:dxf>
          </x14:cfRule>
          <xm:sqref>U99:U116 U123:U149 L142:L160</xm:sqref>
        </x14:conditionalFormatting>
        <x14:conditionalFormatting xmlns:xm="http://schemas.microsoft.com/office/excel/2006/main">
          <x14:cfRule type="notContainsText" priority="1444" operator="notContains" id="{4DFFBA2C-D6A5-5B41-93FF-957BBC667C53}">
            <xm:f>ISERROR(SEARCH("Value Missing",U118))</xm:f>
            <xm:f>"Value Missing"</xm:f>
            <x14:dxf>
              <font>
                <color rgb="FF006100"/>
              </font>
              <fill>
                <patternFill>
                  <bgColor rgb="FFC6EFCE"/>
                </patternFill>
              </fill>
            </x14:dxf>
          </x14:cfRule>
          <xm:sqref>U118</xm:sqref>
        </x14:conditionalFormatting>
        <x14:conditionalFormatting xmlns:xm="http://schemas.microsoft.com/office/excel/2006/main">
          <x14:cfRule type="containsText" priority="226" stopIfTrue="1" operator="containsText" id="{422572CD-22A8-BE4B-BD68-28022998FE10}">
            <xm:f>NOT(ISERROR(SEARCH("Value Missing",U187)))</xm:f>
            <xm:f>"Value Missing"</xm:f>
            <x14:dxf>
              <font>
                <color rgb="FF0E223A"/>
              </font>
              <fill>
                <patternFill>
                  <bgColor rgb="FFFFBE29"/>
                </patternFill>
              </fill>
            </x14:dxf>
          </x14:cfRule>
          <xm:sqref>U187:U207</xm:sqref>
        </x14:conditionalFormatting>
        <x14:conditionalFormatting xmlns:xm="http://schemas.microsoft.com/office/excel/2006/main">
          <x14:cfRule type="containsText" priority="95" operator="containsText" id="{7B648180-8E2D-6144-8B66-30293AF9926D}">
            <xm:f>NOT(ISERROR(SEARCH("Value Missing",U208)))</xm:f>
            <xm:f>"Value Missing"</xm:f>
            <x14:dxf>
              <font>
                <color theme="1"/>
              </font>
              <fill>
                <patternFill>
                  <bgColor rgb="FFFFBE29"/>
                </patternFill>
              </fill>
            </x14:dxf>
          </x14:cfRule>
          <xm:sqref>U208</xm:sqref>
        </x14:conditionalFormatting>
        <x14:conditionalFormatting xmlns:xm="http://schemas.microsoft.com/office/excel/2006/main">
          <x14:cfRule type="notContainsText" priority="2675" operator="notContains" id="{9A37B9CE-9E40-D64A-9357-1CA33AD79BDB}">
            <xm:f>ISERROR(SEARCH("Value Missing",X8))</xm:f>
            <xm:f>"Value Missing"</xm:f>
            <x14:dxf>
              <font>
                <color rgb="FF006100"/>
              </font>
              <fill>
                <patternFill>
                  <bgColor rgb="FFC6EFCE"/>
                </patternFill>
              </fill>
            </x14:dxf>
          </x14:cfRule>
          <x14:cfRule type="containsText" priority="2676" operator="containsText" id="{8B7CD512-9743-1441-9F6D-E37ADFBA5B05}">
            <xm:f>NOT(ISERROR(SEARCH("Value Missing",X8)))</xm:f>
            <xm:f>"Value Missing"</xm:f>
            <x14:dxf>
              <font>
                <color rgb="FF9C0006"/>
              </font>
              <fill>
                <patternFill>
                  <bgColor rgb="FFFFC7CE"/>
                </patternFill>
              </fill>
            </x14:dxf>
          </x14:cfRule>
          <xm:sqref>X8</xm:sqref>
        </x14:conditionalFormatting>
        <x14:conditionalFormatting xmlns:xm="http://schemas.microsoft.com/office/excel/2006/main">
          <x14:cfRule type="notContainsText" priority="2476" operator="notContains" id="{664328CD-3C4C-C34A-8A3F-F609646C6E1B}">
            <xm:f>ISERROR(SEARCH("Value Missing",X12))</xm:f>
            <xm:f>"Value Missing"</xm:f>
            <x14:dxf>
              <font>
                <color rgb="FF006100"/>
              </font>
              <fill>
                <patternFill>
                  <bgColor rgb="FFC6EFCE"/>
                </patternFill>
              </fill>
            </x14:dxf>
          </x14:cfRule>
          <x14:cfRule type="containsText" priority="2477" operator="containsText" id="{A222DF2A-8F10-D84C-97F7-EA18995B3CB2}">
            <xm:f>NOT(ISERROR(SEARCH("Value Missing",X12)))</xm:f>
            <xm:f>"Value Missing"</xm:f>
            <x14:dxf>
              <font>
                <color rgb="FF9C0006"/>
              </font>
              <fill>
                <patternFill>
                  <bgColor rgb="FFFFC7CE"/>
                </patternFill>
              </fill>
            </x14:dxf>
          </x14:cfRule>
          <xm:sqref>X12</xm:sqref>
        </x14:conditionalFormatting>
        <x14:conditionalFormatting xmlns:xm="http://schemas.microsoft.com/office/excel/2006/main">
          <x14:cfRule type="notContainsText" priority="2474" operator="notContains" id="{BBAD9CE7-DF50-0E41-9999-71B5DA30D888}">
            <xm:f>ISERROR(SEARCH("Value Missing",X16))</xm:f>
            <xm:f>"Value Missing"</xm:f>
            <x14:dxf>
              <font>
                <color rgb="FF006100"/>
              </font>
              <fill>
                <patternFill>
                  <bgColor rgb="FFC6EFCE"/>
                </patternFill>
              </fill>
            </x14:dxf>
          </x14:cfRule>
          <x14:cfRule type="containsText" priority="2475" operator="containsText" id="{334DF228-2CB6-FE42-AFB7-9F61BB732FAC}">
            <xm:f>NOT(ISERROR(SEARCH("Value Missing",X16)))</xm:f>
            <xm:f>"Value Missing"</xm:f>
            <x14:dxf>
              <font>
                <color rgb="FF9C0006"/>
              </font>
              <fill>
                <patternFill>
                  <bgColor rgb="FFFFC7CE"/>
                </patternFill>
              </fill>
            </x14:dxf>
          </x14:cfRule>
          <xm:sqref>X16</xm:sqref>
        </x14:conditionalFormatting>
        <x14:conditionalFormatting xmlns:xm="http://schemas.microsoft.com/office/excel/2006/main">
          <x14:cfRule type="notContainsText" priority="2472" operator="notContains" id="{3799A907-1A1C-414E-A7DA-DF8415A7E5F9}">
            <xm:f>ISERROR(SEARCH("Value Missing",X20))</xm:f>
            <xm:f>"Value Missing"</xm:f>
            <x14:dxf>
              <font>
                <color rgb="FF006100"/>
              </font>
              <fill>
                <patternFill>
                  <bgColor rgb="FFC6EFCE"/>
                </patternFill>
              </fill>
            </x14:dxf>
          </x14:cfRule>
          <x14:cfRule type="containsText" priority="2473" operator="containsText" id="{6BE37C52-268E-3148-B071-7D0754434044}">
            <xm:f>NOT(ISERROR(SEARCH("Value Missing",X20)))</xm:f>
            <xm:f>"Value Missing"</xm:f>
            <x14:dxf>
              <font>
                <color rgb="FF9C0006"/>
              </font>
              <fill>
                <patternFill>
                  <bgColor rgb="FFFFC7CE"/>
                </patternFill>
              </fill>
            </x14:dxf>
          </x14:cfRule>
          <xm:sqref>X20</xm:sqref>
        </x14:conditionalFormatting>
        <x14:conditionalFormatting xmlns:xm="http://schemas.microsoft.com/office/excel/2006/main">
          <x14:cfRule type="notContainsText" priority="2470" operator="notContains" id="{5FBEE526-4A6A-784F-BBF8-727EC75975D0}">
            <xm:f>ISERROR(SEARCH("Value Missing",X24))</xm:f>
            <xm:f>"Value Missing"</xm:f>
            <x14:dxf>
              <font>
                <color rgb="FF006100"/>
              </font>
              <fill>
                <patternFill>
                  <bgColor rgb="FFC6EFCE"/>
                </patternFill>
              </fill>
            </x14:dxf>
          </x14:cfRule>
          <x14:cfRule type="containsText" priority="2471" operator="containsText" id="{7014DB30-1F0E-5140-88DF-02CE068A49DB}">
            <xm:f>NOT(ISERROR(SEARCH("Value Missing",X24)))</xm:f>
            <xm:f>"Value Missing"</xm:f>
            <x14:dxf>
              <font>
                <color rgb="FF9C0006"/>
              </font>
              <fill>
                <patternFill>
                  <bgColor rgb="FFFFC7CE"/>
                </patternFill>
              </fill>
            </x14:dxf>
          </x14:cfRule>
          <xm:sqref>X24</xm:sqref>
        </x14:conditionalFormatting>
        <x14:conditionalFormatting xmlns:xm="http://schemas.microsoft.com/office/excel/2006/main">
          <x14:cfRule type="notContainsText" priority="2468" operator="notContains" id="{D92FE75C-5A72-1D44-901E-112F40D295E8}">
            <xm:f>ISERROR(SEARCH("Value Missing",X28))</xm:f>
            <xm:f>"Value Missing"</xm:f>
            <x14:dxf>
              <font>
                <color rgb="FF006100"/>
              </font>
              <fill>
                <patternFill>
                  <bgColor rgb="FFC6EFCE"/>
                </patternFill>
              </fill>
            </x14:dxf>
          </x14:cfRule>
          <x14:cfRule type="containsText" priority="2469" operator="containsText" id="{FB431EDF-E94E-034E-9114-1BF618B35CE5}">
            <xm:f>NOT(ISERROR(SEARCH("Value Missing",X28)))</xm:f>
            <xm:f>"Value Missing"</xm:f>
            <x14:dxf>
              <font>
                <color rgb="FF9C0006"/>
              </font>
              <fill>
                <patternFill>
                  <bgColor rgb="FFFFC7CE"/>
                </patternFill>
              </fill>
            </x14:dxf>
          </x14:cfRule>
          <xm:sqref>X28</xm:sqref>
        </x14:conditionalFormatting>
        <x14:conditionalFormatting xmlns:xm="http://schemas.microsoft.com/office/excel/2006/main">
          <x14:cfRule type="notContainsText" priority="2466" operator="notContains" id="{BFC63F22-6362-154A-B0E7-18BAC33E7DE0}">
            <xm:f>ISERROR(SEARCH("Value Missing",X32))</xm:f>
            <xm:f>"Value Missing"</xm:f>
            <x14:dxf>
              <font>
                <color rgb="FF006100"/>
              </font>
              <fill>
                <patternFill>
                  <bgColor rgb="FFC6EFCE"/>
                </patternFill>
              </fill>
            </x14:dxf>
          </x14:cfRule>
          <x14:cfRule type="containsText" priority="2467" operator="containsText" id="{B2B9AD9B-1514-8D45-A723-8F4B7BEAFC9B}">
            <xm:f>NOT(ISERROR(SEARCH("Value Missing",X32)))</xm:f>
            <xm:f>"Value Missing"</xm:f>
            <x14:dxf>
              <font>
                <color rgb="FF9C0006"/>
              </font>
              <fill>
                <patternFill>
                  <bgColor rgb="FFFFC7CE"/>
                </patternFill>
              </fill>
            </x14:dxf>
          </x14:cfRule>
          <xm:sqref>X32</xm:sqref>
        </x14:conditionalFormatting>
        <x14:conditionalFormatting xmlns:xm="http://schemas.microsoft.com/office/excel/2006/main">
          <x14:cfRule type="notContainsText" priority="2464" operator="notContains" id="{D6276D16-CCE7-D346-A67C-9F325C3A0D00}">
            <xm:f>ISERROR(SEARCH("Value Missing",X36))</xm:f>
            <xm:f>"Value Missing"</xm:f>
            <x14:dxf>
              <font>
                <color rgb="FF006100"/>
              </font>
              <fill>
                <patternFill>
                  <bgColor rgb="FFC6EFCE"/>
                </patternFill>
              </fill>
            </x14:dxf>
          </x14:cfRule>
          <x14:cfRule type="containsText" priority="2465" operator="containsText" id="{3DE87D87-B424-734D-9E1A-3FD8A64C60F7}">
            <xm:f>NOT(ISERROR(SEARCH("Value Missing",X36)))</xm:f>
            <xm:f>"Value Missing"</xm:f>
            <x14:dxf>
              <font>
                <color rgb="FF9C0006"/>
              </font>
              <fill>
                <patternFill>
                  <bgColor rgb="FFFFC7CE"/>
                </patternFill>
              </fill>
            </x14:dxf>
          </x14:cfRule>
          <xm:sqref>X36</xm:sqref>
        </x14:conditionalFormatting>
        <x14:conditionalFormatting xmlns:xm="http://schemas.microsoft.com/office/excel/2006/main">
          <x14:cfRule type="notContainsText" priority="2462" operator="notContains" id="{E8E52FD7-DFD5-454C-BD56-561E415F20FF}">
            <xm:f>ISERROR(SEARCH("Value Missing",X40))</xm:f>
            <xm:f>"Value Missing"</xm:f>
            <x14:dxf>
              <font>
                <color rgb="FF006100"/>
              </font>
              <fill>
                <patternFill>
                  <bgColor rgb="FFC6EFCE"/>
                </patternFill>
              </fill>
            </x14:dxf>
          </x14:cfRule>
          <x14:cfRule type="containsText" priority="2463" operator="containsText" id="{F66C3292-F1DC-B94A-A53B-D1B4592CDD9F}">
            <xm:f>NOT(ISERROR(SEARCH("Value Missing",X40)))</xm:f>
            <xm:f>"Value Missing"</xm:f>
            <x14:dxf>
              <font>
                <color rgb="FF9C0006"/>
              </font>
              <fill>
                <patternFill>
                  <bgColor rgb="FFFFC7CE"/>
                </patternFill>
              </fill>
            </x14:dxf>
          </x14:cfRule>
          <xm:sqref>X40</xm:sqref>
        </x14:conditionalFormatting>
        <x14:conditionalFormatting xmlns:xm="http://schemas.microsoft.com/office/excel/2006/main">
          <x14:cfRule type="notContainsText" priority="2460" operator="notContains" id="{6E00A636-58DA-874E-9F4D-2A18FDF33177}">
            <xm:f>ISERROR(SEARCH("Value Missing",X44))</xm:f>
            <xm:f>"Value Missing"</xm:f>
            <x14:dxf>
              <font>
                <color rgb="FF006100"/>
              </font>
              <fill>
                <patternFill>
                  <bgColor rgb="FFC6EFCE"/>
                </patternFill>
              </fill>
            </x14:dxf>
          </x14:cfRule>
          <x14:cfRule type="containsText" priority="2461" operator="containsText" id="{9A4CE4C9-7EEF-F247-843A-D8F447B441FC}">
            <xm:f>NOT(ISERROR(SEARCH("Value Missing",X44)))</xm:f>
            <xm:f>"Value Missing"</xm:f>
            <x14:dxf>
              <font>
                <color rgb="FF9C0006"/>
              </font>
              <fill>
                <patternFill>
                  <bgColor rgb="FFFFC7CE"/>
                </patternFill>
              </fill>
            </x14:dxf>
          </x14:cfRule>
          <xm:sqref>X44</xm:sqref>
        </x14:conditionalFormatting>
        <x14:conditionalFormatting xmlns:xm="http://schemas.microsoft.com/office/excel/2006/main">
          <x14:cfRule type="notContainsText" priority="2458" operator="notContains" id="{9AF8A23A-5F46-5C41-AB50-41F56FF84FB2}">
            <xm:f>ISERROR(SEARCH("Value Missing",X48))</xm:f>
            <xm:f>"Value Missing"</xm:f>
            <x14:dxf>
              <font>
                <color rgb="FF006100"/>
              </font>
              <fill>
                <patternFill>
                  <bgColor rgb="FFC6EFCE"/>
                </patternFill>
              </fill>
            </x14:dxf>
          </x14:cfRule>
          <x14:cfRule type="containsText" priority="2459" operator="containsText" id="{8C22B40F-307A-014E-81A5-8C924E8B8637}">
            <xm:f>NOT(ISERROR(SEARCH("Value Missing",X48)))</xm:f>
            <xm:f>"Value Missing"</xm:f>
            <x14:dxf>
              <font>
                <color rgb="FF9C0006"/>
              </font>
              <fill>
                <patternFill>
                  <bgColor rgb="FFFFC7CE"/>
                </patternFill>
              </fill>
            </x14:dxf>
          </x14:cfRule>
          <xm:sqref>X48</xm:sqref>
        </x14:conditionalFormatting>
        <x14:conditionalFormatting xmlns:xm="http://schemas.microsoft.com/office/excel/2006/main">
          <x14:cfRule type="notContainsText" priority="1821" operator="notContains" id="{9CFCCADB-0D4F-1649-9DDA-8820303729DE}">
            <xm:f>ISERROR(SEARCH("Value Missing",AA8))</xm:f>
            <xm:f>"Value Missing"</xm:f>
            <x14:dxf>
              <font>
                <color rgb="FF006100"/>
              </font>
              <fill>
                <patternFill>
                  <bgColor rgb="FFC6EFCE"/>
                </patternFill>
              </fill>
            </x14:dxf>
          </x14:cfRule>
          <x14:cfRule type="containsText" priority="1856" operator="containsText" id="{372593AD-5990-5E4F-984D-2425FFEA4C40}">
            <xm:f>NOT(ISERROR(SEARCH("Value Missing",AA8)))</xm:f>
            <xm:f>"Value Missing"</xm:f>
            <x14:dxf>
              <font>
                <color rgb="FF9C0006"/>
              </font>
              <fill>
                <patternFill>
                  <bgColor rgb="FFFFC7CE"/>
                </patternFill>
              </fill>
            </x14:dxf>
          </x14:cfRule>
          <x14:cfRule type="notContainsText" priority="1902" operator="notContains" id="{FDE05BF0-EB6C-6948-A8A4-7FD7AA9FA81C}">
            <xm:f>ISERROR(SEARCH("Value Missing",AA8))</xm:f>
            <xm:f>"Value Missing"</xm:f>
            <x14:dxf>
              <font>
                <color rgb="FF006100"/>
              </font>
              <fill>
                <patternFill>
                  <bgColor rgb="FFC6EFCE"/>
                </patternFill>
              </fill>
            </x14:dxf>
          </x14:cfRule>
          <x14:cfRule type="containsText" priority="1903" operator="containsText" id="{6696D501-A536-F143-83FA-0D29AB85D63F}">
            <xm:f>NOT(ISERROR(SEARCH("Value Missing",AA8)))</xm:f>
            <xm:f>"Value Missing"</xm:f>
            <x14:dxf>
              <font>
                <color rgb="FF9C0006"/>
              </font>
              <fill>
                <patternFill>
                  <bgColor rgb="FFFFC7CE"/>
                </patternFill>
              </fill>
            </x14:dxf>
          </x14:cfRule>
          <xm:sqref>AA8:AA15</xm:sqref>
        </x14:conditionalFormatting>
        <x14:conditionalFormatting xmlns:xm="http://schemas.microsoft.com/office/excel/2006/main">
          <x14:cfRule type="containsText" priority="1705" operator="containsText" id="{39C87DB9-06E5-644F-AFCE-985CAA262F1F}">
            <xm:f>NOT(ISERROR(SEARCH("Value Missing",AA9)))</xm:f>
            <xm:f>"Value Missing"</xm:f>
            <x14:dxf>
              <font>
                <color rgb="FF9C0006"/>
              </font>
              <fill>
                <patternFill>
                  <bgColor rgb="FFFFC7CE"/>
                </patternFill>
              </fill>
            </x14:dxf>
          </x14:cfRule>
          <xm:sqref>AA9:AA10</xm:sqref>
        </x14:conditionalFormatting>
        <x14:conditionalFormatting xmlns:xm="http://schemas.microsoft.com/office/excel/2006/main">
          <x14:cfRule type="notContainsText" priority="2050" operator="notContains" id="{5D77C4D5-3A10-0141-87E6-EC09827A7370}">
            <xm:f>ISERROR(SEARCH("Value Missing",L48))</xm:f>
            <xm:f>"Value Missing"</xm:f>
            <x14:dxf>
              <font>
                <color rgb="FF006100"/>
              </font>
              <fill>
                <patternFill>
                  <bgColor rgb="FFC6EFCE"/>
                </patternFill>
              </fill>
            </x14:dxf>
          </x14:cfRule>
          <x14:cfRule type="containsText" priority="2051" operator="containsText" id="{3310644F-19CB-2540-9167-ADA445DA9855}">
            <xm:f>NOT(ISERROR(SEARCH("Value Missing",L48)))</xm:f>
            <xm:f>"Value Missing"</xm:f>
            <x14:dxf>
              <font>
                <color rgb="FF9C0006"/>
              </font>
              <fill>
                <patternFill>
                  <bgColor rgb="FFFFC7CE"/>
                </patternFill>
              </fill>
            </x14:dxf>
          </x14:cfRule>
          <xm:sqref>AA48:AA60 L133:L138</xm:sqref>
        </x14:conditionalFormatting>
        <x14:conditionalFormatting xmlns:xm="http://schemas.microsoft.com/office/excel/2006/main">
          <x14:cfRule type="notContainsText" priority="1182" operator="notContains" id="{D136C9DA-39AF-684F-B931-090F0DE80EB8}">
            <xm:f>ISERROR(SEARCH("Value Missing",AD8))</xm:f>
            <xm:f>"Value Missing"</xm:f>
            <x14:dxf>
              <font>
                <color rgb="FF006100"/>
              </font>
              <fill>
                <patternFill>
                  <bgColor rgb="FFC6EFCE"/>
                </patternFill>
              </fill>
            </x14:dxf>
          </x14:cfRule>
          <x14:cfRule type="containsText" priority="1183" operator="containsText" id="{710DD210-C5F7-9648-AD30-6B65C6130D83}">
            <xm:f>NOT(ISERROR(SEARCH("Value Missing",AD8)))</xm:f>
            <xm:f>"Value Missing"</xm:f>
            <x14:dxf>
              <font>
                <color rgb="FF9C0006"/>
              </font>
              <fill>
                <patternFill>
                  <bgColor rgb="FFFFC7CE"/>
                </patternFill>
              </fill>
            </x14:dxf>
          </x14:cfRule>
          <x14:cfRule type="notContainsText" priority="1184" operator="notContains" id="{462F0E7A-F056-DD45-8FA9-CB8CB9D73537}">
            <xm:f>ISERROR(SEARCH("Value Missing",AD8))</xm:f>
            <xm:f>"Value Missing"</xm:f>
            <x14:dxf>
              <font>
                <color rgb="FF006100"/>
              </font>
              <fill>
                <patternFill>
                  <bgColor rgb="FFC6EFCE"/>
                </patternFill>
              </fill>
            </x14:dxf>
          </x14:cfRule>
          <xm:sqref>AD8:AE8</xm:sqref>
        </x14:conditionalFormatting>
        <x14:conditionalFormatting xmlns:xm="http://schemas.microsoft.com/office/excel/2006/main">
          <x14:cfRule type="notContainsText" priority="1265" operator="notContains" id="{917B724E-5459-2041-B285-D24C387C9831}">
            <xm:f>ISERROR(SEARCH("Value Missing",AD15))</xm:f>
            <xm:f>"Value Missing"</xm:f>
            <x14:dxf>
              <font>
                <color rgb="FF006100"/>
              </font>
              <fill>
                <patternFill>
                  <bgColor rgb="FFC6EFCE"/>
                </patternFill>
              </fill>
            </x14:dxf>
          </x14:cfRule>
          <x14:cfRule type="containsText" priority="1266" operator="containsText" id="{2FF7DEA5-38D3-4244-8C2A-D599AD7E627F}">
            <xm:f>NOT(ISERROR(SEARCH("Value Missing",AD15)))</xm:f>
            <xm:f>"Value Missing"</xm:f>
            <x14:dxf>
              <font>
                <color rgb="FF9C0006"/>
              </font>
              <fill>
                <patternFill>
                  <bgColor rgb="FFFFC7CE"/>
                </patternFill>
              </fill>
            </x14:dxf>
          </x14:cfRule>
          <xm:sqref>AD15:AE15</xm:sqref>
        </x14:conditionalFormatting>
        <x14:conditionalFormatting xmlns:xm="http://schemas.microsoft.com/office/excel/2006/main">
          <x14:cfRule type="notContainsText" priority="1239" operator="notContains" id="{CCDE91C0-5115-5546-9569-388F081C3C55}">
            <xm:f>ISERROR(SEARCH("Value Missing",AD19))</xm:f>
            <xm:f>"Value Missing"</xm:f>
            <x14:dxf>
              <font>
                <color rgb="FF006100"/>
              </font>
              <fill>
                <patternFill>
                  <bgColor rgb="FFC6EFCE"/>
                </patternFill>
              </fill>
            </x14:dxf>
          </x14:cfRule>
          <x14:cfRule type="containsText" priority="1240" operator="containsText" id="{EDF8C0A2-F3E3-9D48-B813-7A551DA0C7FF}">
            <xm:f>NOT(ISERROR(SEARCH("Value Missing",AD19)))</xm:f>
            <xm:f>"Value Missing"</xm:f>
            <x14:dxf>
              <font>
                <color rgb="FF9C0006"/>
              </font>
              <fill>
                <patternFill>
                  <bgColor rgb="FFFFC7CE"/>
                </patternFill>
              </fill>
            </x14:dxf>
          </x14:cfRule>
          <xm:sqref>AD19:AE19</xm:sqref>
        </x14:conditionalFormatting>
        <x14:conditionalFormatting xmlns:xm="http://schemas.microsoft.com/office/excel/2006/main">
          <x14:cfRule type="notContainsText" priority="1237" operator="notContains" id="{871E156B-5CEA-E241-B3EA-F929B77D0F2C}">
            <xm:f>ISERROR(SEARCH("Value Missing",AD23))</xm:f>
            <xm:f>"Value Missing"</xm:f>
            <x14:dxf>
              <font>
                <color rgb="FF006100"/>
              </font>
              <fill>
                <patternFill>
                  <bgColor rgb="FFC6EFCE"/>
                </patternFill>
              </fill>
            </x14:dxf>
          </x14:cfRule>
          <x14:cfRule type="containsText" priority="1238" operator="containsText" id="{792995C6-CFBD-9A43-BF33-175CFD67583D}">
            <xm:f>NOT(ISERROR(SEARCH("Value Missing",AD23)))</xm:f>
            <xm:f>"Value Missing"</xm:f>
            <x14:dxf>
              <font>
                <color rgb="FF9C0006"/>
              </font>
              <fill>
                <patternFill>
                  <bgColor rgb="FFFFC7CE"/>
                </patternFill>
              </fill>
            </x14:dxf>
          </x14:cfRule>
          <xm:sqref>AD23:AE23</xm:sqref>
        </x14:conditionalFormatting>
        <x14:conditionalFormatting xmlns:xm="http://schemas.microsoft.com/office/excel/2006/main">
          <x14:cfRule type="notContainsText" priority="1233" operator="notContains" id="{C5AE94E0-85E8-0247-A25F-2C67E6BD3A89}">
            <xm:f>ISERROR(SEARCH("Value Missing",AD27))</xm:f>
            <xm:f>"Value Missing"</xm:f>
            <x14:dxf>
              <font>
                <color rgb="FF006100"/>
              </font>
              <fill>
                <patternFill>
                  <bgColor rgb="FFC6EFCE"/>
                </patternFill>
              </fill>
            </x14:dxf>
          </x14:cfRule>
          <x14:cfRule type="containsText" priority="1234" operator="containsText" id="{99F086BA-0E53-6745-892D-C8931839D241}">
            <xm:f>NOT(ISERROR(SEARCH("Value Missing",AD27)))</xm:f>
            <xm:f>"Value Missing"</xm:f>
            <x14:dxf>
              <font>
                <color rgb="FF9C0006"/>
              </font>
              <fill>
                <patternFill>
                  <bgColor rgb="FFFFC7CE"/>
                </patternFill>
              </fill>
            </x14:dxf>
          </x14:cfRule>
          <xm:sqref>AD27:AE27</xm:sqref>
        </x14:conditionalFormatting>
        <x14:conditionalFormatting xmlns:xm="http://schemas.microsoft.com/office/excel/2006/main">
          <x14:cfRule type="notContainsText" priority="1867" operator="notContains" id="{DBA93385-0C50-FB49-9628-3C8443955D7F}">
            <xm:f>ISERROR(SEARCH("Value Missing",AD31))</xm:f>
            <xm:f>"Value Missing"</xm:f>
            <x14:dxf>
              <font>
                <color rgb="FF006100"/>
              </font>
              <fill>
                <patternFill>
                  <bgColor rgb="FFC6EFCE"/>
                </patternFill>
              </fill>
            </x14:dxf>
          </x14:cfRule>
          <x14:cfRule type="containsText" priority="1868" operator="containsText" id="{3B827EB2-2A8F-C747-9F49-11D59159CC80}">
            <xm:f>NOT(ISERROR(SEARCH("Value Missing",AD31)))</xm:f>
            <xm:f>"Value Missing"</xm:f>
            <x14:dxf>
              <font>
                <color rgb="FF9C0006"/>
              </font>
              <fill>
                <patternFill>
                  <bgColor rgb="FFFFC7CE"/>
                </patternFill>
              </fill>
            </x14:dxf>
          </x14:cfRule>
          <xm:sqref>AD31:AE31</xm:sqref>
        </x14:conditionalFormatting>
        <x14:conditionalFormatting xmlns:xm="http://schemas.microsoft.com/office/excel/2006/main">
          <x14:cfRule type="notContainsText" priority="1257" operator="notContains" id="{7E609425-F091-0240-A677-9FA723C11EAF}">
            <xm:f>ISERROR(SEARCH("Value Missing",AD35))</xm:f>
            <xm:f>"Value Missing"</xm:f>
            <x14:dxf>
              <font>
                <color rgb="FF006100"/>
              </font>
              <fill>
                <patternFill>
                  <bgColor rgb="FFC6EFCE"/>
                </patternFill>
              </fill>
            </x14:dxf>
          </x14:cfRule>
          <x14:cfRule type="containsText" priority="1258" operator="containsText" id="{3F5ED746-A181-BF43-AAB8-44543530893E}">
            <xm:f>NOT(ISERROR(SEARCH("Value Missing",AD35)))</xm:f>
            <xm:f>"Value Missing"</xm:f>
            <x14:dxf>
              <font>
                <color rgb="FF9C0006"/>
              </font>
              <fill>
                <patternFill>
                  <bgColor rgb="FFFFC7CE"/>
                </patternFill>
              </fill>
            </x14:dxf>
          </x14:cfRule>
          <xm:sqref>AD35:AE35</xm:sqref>
        </x14:conditionalFormatting>
        <x14:conditionalFormatting xmlns:xm="http://schemas.microsoft.com/office/excel/2006/main">
          <x14:cfRule type="notContainsText" priority="1241" operator="notContains" id="{9A1D59FB-DFAA-1043-8046-D0E7880C86DB}">
            <xm:f>ISERROR(SEARCH("Value Missing",AD39))</xm:f>
            <xm:f>"Value Missing"</xm:f>
            <x14:dxf>
              <font>
                <color rgb="FF006100"/>
              </font>
              <fill>
                <patternFill>
                  <bgColor rgb="FFC6EFCE"/>
                </patternFill>
              </fill>
            </x14:dxf>
          </x14:cfRule>
          <x14:cfRule type="containsText" priority="1242" operator="containsText" id="{70F6B6DD-FA0C-C549-8CC7-063876CCA5EC}">
            <xm:f>NOT(ISERROR(SEARCH("Value Missing",AD39)))</xm:f>
            <xm:f>"Value Missing"</xm:f>
            <x14:dxf>
              <font>
                <color rgb="FF9C0006"/>
              </font>
              <fill>
                <patternFill>
                  <bgColor rgb="FFFFC7CE"/>
                </patternFill>
              </fill>
            </x14:dxf>
          </x14:cfRule>
          <xm:sqref>AD39:AE39 AE40</xm:sqref>
        </x14:conditionalFormatting>
        <x14:conditionalFormatting xmlns:xm="http://schemas.microsoft.com/office/excel/2006/main">
          <x14:cfRule type="notContainsText" priority="1245" operator="notContains" id="{69519E85-40AC-F64E-B098-034C65152F0F}">
            <xm:f>ISERROR(SEARCH("Value Missing",AD44))</xm:f>
            <xm:f>"Value Missing"</xm:f>
            <x14:dxf>
              <font>
                <color rgb="FF006100"/>
              </font>
              <fill>
                <patternFill>
                  <bgColor rgb="FFC6EFCE"/>
                </patternFill>
              </fill>
            </x14:dxf>
          </x14:cfRule>
          <x14:cfRule type="containsText" priority="1246" operator="containsText" id="{A2DF7135-BFB0-4346-9E8D-9A6DFA64468A}">
            <xm:f>NOT(ISERROR(SEARCH("Value Missing",AD44)))</xm:f>
            <xm:f>"Value Missing"</xm:f>
            <x14:dxf>
              <font>
                <color rgb="FF9C0006"/>
              </font>
              <fill>
                <patternFill>
                  <bgColor rgb="FFFFC7CE"/>
                </patternFill>
              </fill>
            </x14:dxf>
          </x14:cfRule>
          <xm:sqref>AD44:AE44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0354-5F52-8F4B-8A48-53121C127735}">
  <sheetPr codeName="Sheet14"/>
  <dimension ref="A1:T562"/>
  <sheetViews>
    <sheetView topLeftCell="A164" workbookViewId="0">
      <selection activeCell="C203" sqref="C203"/>
    </sheetView>
  </sheetViews>
  <sheetFormatPr baseColWidth="10" defaultRowHeight="16" x14ac:dyDescent="0.2"/>
  <cols>
    <col min="2" max="2" width="71.33203125" bestFit="1" customWidth="1"/>
    <col min="3" max="3" width="38.1640625" customWidth="1"/>
    <col min="4" max="4" width="24.1640625" customWidth="1"/>
    <col min="5" max="5" width="73.1640625" bestFit="1" customWidth="1"/>
    <col min="6" max="6" width="24" bestFit="1" customWidth="1"/>
    <col min="7" max="7" width="18.33203125" bestFit="1" customWidth="1"/>
    <col min="8" max="8" width="11" customWidth="1"/>
  </cols>
  <sheetData>
    <row r="1" spans="1:20" s="2" customFormat="1" ht="30" customHeight="1" x14ac:dyDescent="0.2">
      <c r="B1" s="427" t="s">
        <v>2348</v>
      </c>
      <c r="C1" s="428"/>
      <c r="D1" s="428"/>
      <c r="E1" s="428"/>
      <c r="F1" s="428"/>
      <c r="G1" s="428"/>
      <c r="H1" s="428"/>
      <c r="I1" s="428"/>
      <c r="J1" s="429"/>
    </row>
    <row r="2" spans="1:20" s="125" customFormat="1" ht="20" customHeight="1" x14ac:dyDescent="0.2">
      <c r="B2" s="513" t="s">
        <v>2349</v>
      </c>
      <c r="C2" s="514"/>
      <c r="D2" s="514"/>
      <c r="E2" s="514"/>
      <c r="F2" s="514"/>
      <c r="G2" s="514"/>
      <c r="H2" s="514"/>
      <c r="I2" s="514"/>
      <c r="J2" s="515"/>
      <c r="K2" s="2"/>
    </row>
    <row r="3" spans="1:20" s="2" customFormat="1" ht="20" customHeight="1" x14ac:dyDescent="0.2">
      <c r="B3" s="63" t="s">
        <v>2350</v>
      </c>
      <c r="C3" s="63" t="s">
        <v>2351</v>
      </c>
      <c r="D3" s="63" t="s">
        <v>2352</v>
      </c>
      <c r="E3" s="119" t="s">
        <v>2353</v>
      </c>
      <c r="F3" s="63" t="s">
        <v>817</v>
      </c>
      <c r="G3" s="119" t="s">
        <v>818</v>
      </c>
      <c r="H3" s="472" t="s">
        <v>21</v>
      </c>
      <c r="I3" s="476"/>
      <c r="J3" s="473"/>
    </row>
    <row r="4" spans="1:20" s="9" customFormat="1" ht="20" customHeight="1" x14ac:dyDescent="0.2">
      <c r="B4" s="28" t="s">
        <v>1066</v>
      </c>
      <c r="C4" s="10" t="s">
        <v>1622</v>
      </c>
      <c r="D4" s="109" t="str">
        <f>CONCATENATE(this_instance,"-m01-vrms01")</f>
        <v>sfo-m01-vrms01</v>
      </c>
      <c r="E4" s="66"/>
    </row>
    <row r="5" spans="1:20" s="2" customFormat="1" ht="20" customHeight="1" x14ac:dyDescent="0.2">
      <c r="B5" s="28"/>
      <c r="C5" s="10" t="s">
        <v>2354</v>
      </c>
      <c r="D5" s="109" t="s">
        <v>2354</v>
      </c>
      <c r="E5" s="250" t="s">
        <v>2354</v>
      </c>
      <c r="F5" s="109" t="str">
        <f>CONCATENATE(prefix_mgmt_az1_cidr,"16.125")</f>
        <v>10.11.16.125</v>
      </c>
      <c r="G5" s="66"/>
      <c r="H5" s="470" t="s">
        <v>2355</v>
      </c>
      <c r="I5" s="648"/>
      <c r="J5" s="471"/>
    </row>
    <row r="6" spans="1:20" s="2" customFormat="1" ht="20" customHeight="1" x14ac:dyDescent="0.2">
      <c r="B6" s="28" t="s">
        <v>1815</v>
      </c>
      <c r="C6" s="10" t="s">
        <v>1622</v>
      </c>
      <c r="F6" s="109" t="str">
        <f>IF(mgmt_dpg_reuse_result="Included",CONCATENATE(prefix_mgmt_az1_cidr,"10.126"),CONCATENATE(prefix_mgmt_az1_cidr,"11.126"))</f>
        <v>10.11.10.126</v>
      </c>
      <c r="G6" s="66"/>
      <c r="H6" s="470" t="s">
        <v>2356</v>
      </c>
      <c r="I6" s="648"/>
      <c r="J6" s="471"/>
    </row>
    <row r="7" spans="1:20" s="2" customFormat="1" ht="20" customHeight="1" x14ac:dyDescent="0.2">
      <c r="B7" s="28" t="s">
        <v>2357</v>
      </c>
      <c r="C7" s="10"/>
      <c r="D7" s="109" t="s">
        <v>2354</v>
      </c>
      <c r="E7" s="250" t="s">
        <v>2354</v>
      </c>
      <c r="F7" s="109" t="str">
        <f>IF(mgmt_vns_chosen="VLAN-Backed",CONCATENATE(prefix_mgmt_az1_cidr,"99.3"),CONCATENATE(prefix_xreg_cidr,".3"))</f>
        <v>192.168.11.3</v>
      </c>
      <c r="G7" s="66"/>
      <c r="H7" s="470"/>
      <c r="I7" s="648"/>
      <c r="J7" s="471"/>
      <c r="Q7" s="4" t="s">
        <v>1669</v>
      </c>
      <c r="R7" s="10" t="s">
        <v>588</v>
      </c>
      <c r="S7" s="66"/>
      <c r="T7" s="8"/>
    </row>
    <row r="8" spans="1:20" s="2" customFormat="1" ht="20" customHeight="1" x14ac:dyDescent="0.2">
      <c r="B8" s="513" t="s">
        <v>1390</v>
      </c>
      <c r="C8" s="514"/>
      <c r="D8" s="514"/>
      <c r="E8" s="514"/>
      <c r="F8" s="514"/>
      <c r="G8" s="514"/>
      <c r="H8" s="514"/>
      <c r="I8" s="514"/>
      <c r="J8" s="515"/>
    </row>
    <row r="9" spans="1:20" s="2" customFormat="1" ht="20" customHeight="1" x14ac:dyDescent="0.2">
      <c r="B9" s="63" t="s">
        <v>2350</v>
      </c>
      <c r="C9" s="63" t="s">
        <v>2351</v>
      </c>
      <c r="D9" s="63" t="s">
        <v>2352</v>
      </c>
      <c r="E9" s="119" t="s">
        <v>2353</v>
      </c>
      <c r="F9" s="63" t="s">
        <v>817</v>
      </c>
      <c r="G9" s="119" t="s">
        <v>818</v>
      </c>
      <c r="H9" s="472" t="s">
        <v>21</v>
      </c>
      <c r="I9" s="476"/>
      <c r="J9" s="473"/>
    </row>
    <row r="10" spans="1:20" s="2" customFormat="1" ht="20" customHeight="1" x14ac:dyDescent="0.2">
      <c r="B10" s="28" t="s">
        <v>1066</v>
      </c>
      <c r="C10" s="10" t="s">
        <v>1622</v>
      </c>
      <c r="D10" s="109" t="str">
        <f>CONCATENATE(this_instance,"-w0",wld_domain_number_chosen,"-vrms01")</f>
        <v>sfo-w01-vrms01</v>
      </c>
      <c r="E10" s="66"/>
      <c r="F10" s="109" t="str">
        <f>IF(mgmt_dpg_reuse_result="Included",CONCATENATE(prefix_wld_az1_cidr,"10.125"),CONCATENATE(prefix_wld_az1_cidr,"11.125"))</f>
        <v>10.13.10.125</v>
      </c>
      <c r="G10" s="66"/>
      <c r="H10" s="470" t="s">
        <v>2358</v>
      </c>
      <c r="I10" s="648"/>
      <c r="J10" s="471"/>
    </row>
    <row r="11" spans="1:20" s="2" customFormat="1" ht="16" customHeight="1" x14ac:dyDescent="0.2">
      <c r="B11" s="28"/>
      <c r="C11" s="10" t="s">
        <v>2354</v>
      </c>
      <c r="D11" s="109" t="s">
        <v>2354</v>
      </c>
      <c r="E11" s="250" t="s">
        <v>2354</v>
      </c>
      <c r="F11" s="109" t="str">
        <f>CONCATENATE(prefix_wld_az1_cidr,"16.125")</f>
        <v>10.13.16.125</v>
      </c>
      <c r="G11" s="66"/>
      <c r="H11" s="470" t="s">
        <v>2359</v>
      </c>
      <c r="I11" s="648"/>
      <c r="J11" s="471"/>
    </row>
    <row r="12" spans="1:20" s="9" customFormat="1" ht="30" customHeight="1" x14ac:dyDescent="0.2">
      <c r="B12" s="28" t="s">
        <v>1815</v>
      </c>
      <c r="C12" s="10" t="s">
        <v>1622</v>
      </c>
      <c r="D12" s="109" t="str">
        <f>CONCATENATE(this_instance,"-w0",wld_domain_number_chosen,"-srm01")</f>
        <v>sfo-w01-srm01</v>
      </c>
      <c r="E12" s="66"/>
      <c r="F12" s="109" t="str">
        <f>IF(mgmt_dpg_reuse_result="Included",CONCATENATE(prefix_mgmt_az1_cidr,"10.",(127 + (30*(wld_domain_number_chosen - 1)))),CONCATENATE(prefix_mgmt_az1_cidr,"11.",(127 + (30*(wld_domain_number_chosen - 1)))))</f>
        <v>10.11.10.127</v>
      </c>
      <c r="G12" s="66"/>
      <c r="H12" s="470" t="s">
        <v>2360</v>
      </c>
      <c r="I12" s="648"/>
      <c r="J12" s="471"/>
    </row>
    <row r="13" spans="1:20" s="9" customFormat="1" ht="30" customHeight="1" x14ac:dyDescent="0.2">
      <c r="B13" s="2"/>
      <c r="C13" s="2"/>
      <c r="D13" s="2"/>
      <c r="E13" s="2"/>
      <c r="F13" s="2"/>
      <c r="G13" s="2"/>
      <c r="H13" s="2"/>
      <c r="I13" s="2"/>
      <c r="J13" s="2"/>
      <c r="K13" s="2"/>
      <c r="L13" s="2"/>
    </row>
    <row r="14" spans="1:20" s="2" customFormat="1" ht="20" customHeight="1" x14ac:dyDescent="0.2">
      <c r="B14" s="519" t="s">
        <v>2361</v>
      </c>
      <c r="C14" s="632"/>
      <c r="D14" s="632"/>
      <c r="E14" s="520"/>
    </row>
    <row r="15" spans="1:20" s="2" customFormat="1" ht="20" customHeight="1" x14ac:dyDescent="0.2">
      <c r="A15" s="125"/>
      <c r="B15" s="200" t="s">
        <v>254</v>
      </c>
      <c r="C15" s="200" t="s">
        <v>255</v>
      </c>
      <c r="D15" s="201" t="s">
        <v>20</v>
      </c>
      <c r="E15" s="200" t="s">
        <v>21</v>
      </c>
    </row>
    <row r="16" spans="1:20" s="2" customFormat="1" ht="20" customHeight="1" x14ac:dyDescent="0.2">
      <c r="B16" s="645" t="s">
        <v>2362</v>
      </c>
      <c r="C16" s="646"/>
      <c r="D16" s="646"/>
      <c r="E16" s="647"/>
    </row>
    <row r="17" spans="1:9" s="2" customFormat="1" ht="20" customHeight="1" x14ac:dyDescent="0.2">
      <c r="A17" s="9"/>
      <c r="B17" s="4" t="s">
        <v>1566</v>
      </c>
      <c r="C17" s="10" t="str">
        <f>CONCATENATE(other_instance,"-vcf01.",other_instance,".",sample_parent_dns_zone)</f>
        <v>lax-vcf01.lax.rainpole.io</v>
      </c>
      <c r="D17" s="66"/>
      <c r="E17" s="8"/>
      <c r="F17" s="9"/>
      <c r="G17" s="9"/>
      <c r="H17" s="9"/>
      <c r="I17" s="9"/>
    </row>
    <row r="18" spans="1:9" s="2" customFormat="1" ht="20" customHeight="1" x14ac:dyDescent="0.2">
      <c r="B18" s="4" t="s">
        <v>1570</v>
      </c>
      <c r="C18" s="10" t="s">
        <v>1565</v>
      </c>
      <c r="D18" s="66"/>
      <c r="E18" s="8"/>
    </row>
    <row r="19" spans="1:9" s="2" customFormat="1" ht="20" customHeight="1" x14ac:dyDescent="0.2">
      <c r="B19" s="4" t="s">
        <v>1574</v>
      </c>
      <c r="C19" s="10" t="s">
        <v>31</v>
      </c>
      <c r="D19" s="66"/>
      <c r="E19" s="8"/>
    </row>
    <row r="20" spans="1:9" s="2" customFormat="1" ht="20" customHeight="1" x14ac:dyDescent="0.2">
      <c r="B20" s="4" t="s">
        <v>1585</v>
      </c>
      <c r="E20" s="8"/>
    </row>
    <row r="21" spans="1:9" s="9" customFormat="1" ht="20" customHeight="1" x14ac:dyDescent="0.2">
      <c r="A21" s="2"/>
      <c r="B21" s="4" t="s">
        <v>1589</v>
      </c>
      <c r="E21" s="8"/>
      <c r="F21" s="2"/>
      <c r="G21" s="2"/>
      <c r="H21" s="2"/>
      <c r="I21" s="2"/>
    </row>
    <row r="22" spans="1:9" s="2" customFormat="1" ht="20" customHeight="1" x14ac:dyDescent="0.2">
      <c r="B22" s="4" t="s">
        <v>1594</v>
      </c>
      <c r="E22" s="8"/>
    </row>
    <row r="23" spans="1:9" s="2" customFormat="1" ht="20" customHeight="1" x14ac:dyDescent="0.2">
      <c r="B23" s="4" t="s">
        <v>1597</v>
      </c>
      <c r="E23" s="8"/>
    </row>
    <row r="24" spans="1:9" s="2" customFormat="1" ht="20" customHeight="1" x14ac:dyDescent="0.2"/>
    <row r="25" spans="1:9" s="2" customFormat="1" ht="20" customHeight="1" x14ac:dyDescent="0.2">
      <c r="A25" s="9"/>
      <c r="B25" s="519" t="s">
        <v>2363</v>
      </c>
      <c r="C25" s="632"/>
      <c r="D25" s="632"/>
      <c r="E25" s="520"/>
      <c r="F25" s="9"/>
      <c r="G25" s="9"/>
      <c r="H25" s="9"/>
      <c r="I25" s="9"/>
    </row>
    <row r="26" spans="1:9" s="2" customFormat="1" ht="20" customHeight="1" x14ac:dyDescent="0.2">
      <c r="B26" s="200" t="s">
        <v>254</v>
      </c>
      <c r="C26" s="200" t="s">
        <v>255</v>
      </c>
      <c r="D26" s="201" t="s">
        <v>20</v>
      </c>
      <c r="E26" s="200" t="s">
        <v>21</v>
      </c>
    </row>
    <row r="27" spans="1:9" s="2" customFormat="1" ht="20" customHeight="1" x14ac:dyDescent="0.2">
      <c r="B27" s="645" t="s">
        <v>2364</v>
      </c>
      <c r="C27" s="646"/>
      <c r="D27" s="646"/>
      <c r="E27" s="647"/>
    </row>
    <row r="28" spans="1:9" s="2" customFormat="1" ht="20" customHeight="1" x14ac:dyDescent="0.2">
      <c r="B28" s="4" t="s">
        <v>2365</v>
      </c>
      <c r="C28" s="10" t="str">
        <f>CONCATENATE(this_instance,"-m01-fd-vrms")</f>
        <v>sfo-m01-fd-vrms</v>
      </c>
      <c r="D28" s="66"/>
      <c r="E28" s="8"/>
    </row>
    <row r="29" spans="1:9" s="2" customFormat="1" ht="20" customHeight="1" x14ac:dyDescent="0.2">
      <c r="B29" s="4" t="s">
        <v>2366</v>
      </c>
      <c r="C29" s="10" t="s">
        <v>31</v>
      </c>
      <c r="D29" s="66"/>
      <c r="E29" s="8"/>
    </row>
    <row r="30" spans="1:9" s="2" customFormat="1" ht="20" customHeight="1" x14ac:dyDescent="0.2">
      <c r="B30" s="4" t="s">
        <v>2367</v>
      </c>
      <c r="C30" s="10" t="s">
        <v>31</v>
      </c>
      <c r="D30" s="66"/>
      <c r="E30" s="8"/>
    </row>
    <row r="31" spans="1:9" s="2" customFormat="1" ht="20" customHeight="1" x14ac:dyDescent="0.2">
      <c r="B31" s="4" t="s">
        <v>2368</v>
      </c>
      <c r="E31" s="8"/>
    </row>
    <row r="32" spans="1:9" s="2" customFormat="1" ht="20" customHeight="1" x14ac:dyDescent="0.2">
      <c r="B32" s="4" t="s">
        <v>2369</v>
      </c>
      <c r="E32" s="8"/>
    </row>
    <row r="33" spans="1:9" s="2" customFormat="1" ht="20" customHeight="1" x14ac:dyDescent="0.2">
      <c r="A33" s="9"/>
      <c r="B33" s="4" t="s">
        <v>2370</v>
      </c>
      <c r="E33" s="8"/>
      <c r="F33" s="9"/>
      <c r="G33" s="9"/>
      <c r="H33" s="9"/>
      <c r="I33" s="9"/>
    </row>
    <row r="34" spans="1:9" s="2" customFormat="1" ht="20" customHeight="1" x14ac:dyDescent="0.2">
      <c r="B34" s="4" t="s">
        <v>2371</v>
      </c>
      <c r="C34" s="10" t="s">
        <v>31</v>
      </c>
      <c r="D34" s="66"/>
      <c r="E34" s="8"/>
    </row>
    <row r="35" spans="1:9" s="2" customFormat="1" ht="20" customHeight="1" x14ac:dyDescent="0.2">
      <c r="B35" s="645" t="s">
        <v>1815</v>
      </c>
      <c r="C35" s="646"/>
      <c r="D35" s="646"/>
      <c r="E35" s="647"/>
    </row>
    <row r="36" spans="1:9" s="2" customFormat="1" ht="20" customHeight="1" x14ac:dyDescent="0.2">
      <c r="B36" s="4" t="s">
        <v>2365</v>
      </c>
      <c r="C36" s="10" t="str">
        <f>CONCATENATE(this_instance,"-m01-fd-srm")</f>
        <v>sfo-m01-fd-srm</v>
      </c>
      <c r="D36" s="66"/>
      <c r="E36" s="8"/>
    </row>
    <row r="37" spans="1:9" s="2" customFormat="1" ht="20" customHeight="1" x14ac:dyDescent="0.2">
      <c r="B37" s="4" t="s">
        <v>2366</v>
      </c>
      <c r="C37" s="175" t="s">
        <v>139</v>
      </c>
      <c r="D37" s="66"/>
      <c r="E37" s="8"/>
    </row>
    <row r="38" spans="1:9" s="2" customFormat="1" ht="20" customHeight="1" x14ac:dyDescent="0.2">
      <c r="B38" s="4" t="s">
        <v>2367</v>
      </c>
      <c r="C38" s="175" t="s">
        <v>31</v>
      </c>
      <c r="D38" s="66"/>
      <c r="E38" s="8"/>
    </row>
    <row r="39" spans="1:9" s="2" customFormat="1" ht="20" customHeight="1" x14ac:dyDescent="0.2">
      <c r="B39" s="4" t="s">
        <v>2372</v>
      </c>
      <c r="C39" s="10" t="s">
        <v>31</v>
      </c>
      <c r="D39" s="66"/>
      <c r="E39" s="8"/>
    </row>
    <row r="40" spans="1:9" s="2" customFormat="1" ht="20" customHeight="1" x14ac:dyDescent="0.2">
      <c r="B40" s="4" t="s">
        <v>2368</v>
      </c>
      <c r="C40" s="10" t="str">
        <f>UPPER(sample_mgmt_sddc_domain)</f>
        <v>SFO-M01</v>
      </c>
      <c r="D40" s="66"/>
      <c r="E40" s="8"/>
    </row>
    <row r="41" spans="1:9" s="2" customFormat="1" ht="20" customHeight="1" x14ac:dyDescent="0.2">
      <c r="B41" s="4" t="s">
        <v>2369</v>
      </c>
      <c r="C41" s="10" t="str">
        <f>CONCATENATE("srm-administrator@",sample_parent_dns_zone)</f>
        <v>srm-administrator@rainpole.io</v>
      </c>
      <c r="D41" s="66"/>
      <c r="E41" s="8"/>
    </row>
    <row r="42" spans="1:9" s="2" customFormat="1" ht="20" customHeight="1" x14ac:dyDescent="0.2">
      <c r="B42" s="4" t="s">
        <v>2371</v>
      </c>
      <c r="C42" s="10" t="s">
        <v>31</v>
      </c>
      <c r="D42" s="66"/>
      <c r="E42" s="8"/>
    </row>
    <row r="43" spans="1:9" s="2" customFormat="1" ht="20" customHeight="1" x14ac:dyDescent="0.2">
      <c r="B43" s="4" t="s">
        <v>1684</v>
      </c>
      <c r="E43" s="8"/>
    </row>
    <row r="44" spans="1:9" s="2" customFormat="1" ht="20" customHeight="1" x14ac:dyDescent="0.2">
      <c r="B44" s="4" t="s">
        <v>1688</v>
      </c>
      <c r="E44" s="8"/>
    </row>
    <row r="45" spans="1:9" s="2" customFormat="1" ht="20" customHeight="1" x14ac:dyDescent="0.2">
      <c r="B45" s="4" t="s">
        <v>1692</v>
      </c>
      <c r="E45" s="8"/>
    </row>
    <row r="46" spans="1:9" s="2" customFormat="1" ht="20" customHeight="1" x14ac:dyDescent="0.2">
      <c r="B46" s="4" t="s">
        <v>2373</v>
      </c>
      <c r="C46" s="10" t="s">
        <v>2374</v>
      </c>
      <c r="D46" s="66"/>
      <c r="E46" s="8"/>
    </row>
    <row r="47" spans="1:9" s="2" customFormat="1" ht="20" customHeight="1" x14ac:dyDescent="0.2">
      <c r="B47" s="4" t="s">
        <v>2375</v>
      </c>
      <c r="C47" s="10" t="s">
        <v>2376</v>
      </c>
      <c r="D47" s="66"/>
      <c r="E47" s="8"/>
    </row>
    <row r="48" spans="1:9" s="2" customFormat="1" ht="20" customHeight="1" x14ac:dyDescent="0.2">
      <c r="B48" s="4" t="s">
        <v>1706</v>
      </c>
      <c r="E48" s="8"/>
    </row>
    <row r="49" spans="2:5" s="2" customFormat="1" ht="20" customHeight="1" x14ac:dyDescent="0.2">
      <c r="B49" s="4" t="s">
        <v>1709</v>
      </c>
      <c r="E49" s="8"/>
    </row>
    <row r="50" spans="2:5" s="2" customFormat="1" ht="20" customHeight="1" x14ac:dyDescent="0.2">
      <c r="B50" s="4" t="s">
        <v>1713</v>
      </c>
      <c r="C50" s="10" t="s">
        <v>2377</v>
      </c>
      <c r="D50" s="66"/>
      <c r="E50" s="8"/>
    </row>
    <row r="51" spans="2:5" s="2" customFormat="1" ht="20" customHeight="1" x14ac:dyDescent="0.2">
      <c r="B51" s="4" t="s">
        <v>1717</v>
      </c>
      <c r="C51" s="10" t="s">
        <v>2378</v>
      </c>
      <c r="D51" s="66"/>
      <c r="E51" s="8"/>
    </row>
    <row r="52" spans="2:5" s="2" customFormat="1" ht="20" customHeight="1" x14ac:dyDescent="0.2">
      <c r="B52" s="645" t="s">
        <v>2379</v>
      </c>
      <c r="C52" s="646"/>
      <c r="D52" s="646"/>
      <c r="E52" s="647"/>
    </row>
    <row r="53" spans="2:5" s="2" customFormat="1" ht="16" customHeight="1" x14ac:dyDescent="0.2">
      <c r="B53" s="4" t="s">
        <v>2380</v>
      </c>
      <c r="C53" s="10" t="s">
        <v>2381</v>
      </c>
      <c r="D53" s="66"/>
      <c r="E53" s="8" t="s">
        <v>2382</v>
      </c>
    </row>
    <row r="54" spans="2:5" s="2" customFormat="1" ht="30" customHeight="1" x14ac:dyDescent="0.2">
      <c r="B54" s="645" t="s">
        <v>2362</v>
      </c>
      <c r="C54" s="646"/>
      <c r="D54" s="646"/>
      <c r="E54" s="647"/>
    </row>
    <row r="55" spans="2:5" s="2" customFormat="1" ht="20" customHeight="1" x14ac:dyDescent="0.2">
      <c r="B55" s="4" t="s">
        <v>1721</v>
      </c>
      <c r="E55" s="8"/>
    </row>
    <row r="56" spans="2:5" s="2" customFormat="1" ht="20" customHeight="1" x14ac:dyDescent="0.2">
      <c r="B56" s="4" t="s">
        <v>1724</v>
      </c>
      <c r="E56" s="8"/>
    </row>
    <row r="57" spans="2:5" s="2" customFormat="1" ht="20" customHeight="1" x14ac:dyDescent="0.2">
      <c r="B57" s="4" t="s">
        <v>1726</v>
      </c>
      <c r="E57" s="8"/>
    </row>
    <row r="58" spans="2:5" s="2" customFormat="1" ht="20" customHeight="1" x14ac:dyDescent="0.2">
      <c r="B58" s="4" t="s">
        <v>1731</v>
      </c>
      <c r="C58" s="10" t="str">
        <f>CONCATENATE(other_instance,"-m01")</f>
        <v>lax-m01</v>
      </c>
      <c r="D58" s="66"/>
      <c r="E58" s="8"/>
    </row>
    <row r="59" spans="2:5" s="2" customFormat="1" ht="20" customHeight="1" x14ac:dyDescent="0.2">
      <c r="B59" s="4" t="s">
        <v>1736</v>
      </c>
      <c r="C59" s="10" t="str">
        <f>CONCATENATE(other_instance,"-m01")</f>
        <v>lax-m01</v>
      </c>
      <c r="D59" s="66"/>
      <c r="E59" s="8"/>
    </row>
    <row r="60" spans="2:5" s="2" customFormat="1" ht="20" customHeight="1" x14ac:dyDescent="0.2">
      <c r="B60" s="4" t="s">
        <v>1740</v>
      </c>
      <c r="C60" s="10" t="str">
        <f>CONCATENATE(other_instance,"-m01-ec01")</f>
        <v>lax-m01-ec01</v>
      </c>
      <c r="D60" s="66"/>
      <c r="E60" s="8"/>
    </row>
    <row r="61" spans="2:5" s="2" customFormat="1" ht="20" customHeight="1" x14ac:dyDescent="0.2">
      <c r="B61" s="4" t="s">
        <v>1743</v>
      </c>
      <c r="E61" s="8"/>
    </row>
    <row r="62" spans="2:5" s="2" customFormat="1" ht="20" customHeight="1" x14ac:dyDescent="0.2">
      <c r="B62" s="4" t="s">
        <v>1747</v>
      </c>
      <c r="E62" s="8"/>
    </row>
    <row r="63" spans="2:5" s="2" customFormat="1" ht="20" customHeight="1" x14ac:dyDescent="0.2">
      <c r="B63" s="4" t="s">
        <v>1751</v>
      </c>
      <c r="C63" s="10" t="str">
        <f>CONCATENATE(prefix_other_region_az1_cidr,"16.0/24")</f>
        <v>10.21.16.0/24</v>
      </c>
      <c r="D63" s="66"/>
      <c r="E63" s="8"/>
    </row>
    <row r="64" spans="2:5" s="2" customFormat="1" ht="20" customHeight="1" x14ac:dyDescent="0.2">
      <c r="B64" s="4" t="s">
        <v>2383</v>
      </c>
      <c r="C64" s="10" t="s">
        <v>2384</v>
      </c>
      <c r="D64" s="66"/>
      <c r="E64" s="8"/>
    </row>
    <row r="65" spans="1:9" s="2" customFormat="1" ht="20" customHeight="1" x14ac:dyDescent="0.2"/>
    <row r="66" spans="1:9" s="2" customFormat="1" ht="20" customHeight="1" x14ac:dyDescent="0.2">
      <c r="B66" s="519" t="s">
        <v>2385</v>
      </c>
      <c r="C66" s="632"/>
      <c r="D66" s="632"/>
      <c r="E66" s="520"/>
    </row>
    <row r="67" spans="1:9" s="2" customFormat="1" ht="20" customHeight="1" x14ac:dyDescent="0.2">
      <c r="B67" s="200" t="s">
        <v>254</v>
      </c>
      <c r="C67" s="200" t="s">
        <v>836</v>
      </c>
      <c r="D67" s="201" t="s">
        <v>20</v>
      </c>
      <c r="E67" s="200" t="s">
        <v>21</v>
      </c>
    </row>
    <row r="68" spans="1:9" s="2" customFormat="1" ht="20" customHeight="1" x14ac:dyDescent="0.2">
      <c r="B68" s="645" t="s">
        <v>2364</v>
      </c>
      <c r="C68" s="646"/>
      <c r="D68" s="646"/>
      <c r="E68" s="647"/>
    </row>
    <row r="69" spans="1:9" s="2" customFormat="1" ht="20" customHeight="1" x14ac:dyDescent="0.2">
      <c r="B69" s="4" t="s">
        <v>2365</v>
      </c>
      <c r="C69" s="10" t="str">
        <f>CONCATENATE(this_instance,"-w0",wld_domain_number_chosen,"-fd-vrms")</f>
        <v>sfo-w01-fd-vrms</v>
      </c>
      <c r="D69" s="66"/>
      <c r="E69" s="8"/>
    </row>
    <row r="70" spans="1:9" s="2" customFormat="1" ht="20" customHeight="1" x14ac:dyDescent="0.2">
      <c r="B70" s="4" t="s">
        <v>2366</v>
      </c>
      <c r="C70" s="10" t="s">
        <v>31</v>
      </c>
      <c r="D70" s="66"/>
      <c r="E70" s="8"/>
    </row>
    <row r="71" spans="1:9" s="2" customFormat="1" ht="20" customHeight="1" x14ac:dyDescent="0.2">
      <c r="B71" s="4" t="s">
        <v>2367</v>
      </c>
      <c r="C71" s="10" t="s">
        <v>31</v>
      </c>
      <c r="D71" s="66"/>
      <c r="E71" s="8"/>
    </row>
    <row r="72" spans="1:9" s="2" customFormat="1" ht="20" customHeight="1" x14ac:dyDescent="0.2">
      <c r="B72" s="4" t="s">
        <v>2368</v>
      </c>
      <c r="C72" s="10" t="str">
        <f>UPPER(sample_wld_sddc_domain)</f>
        <v>SFO-W01</v>
      </c>
      <c r="D72" s="66"/>
      <c r="E72" s="8"/>
    </row>
    <row r="73" spans="1:9" s="2" customFormat="1" ht="20" customHeight="1" x14ac:dyDescent="0.2">
      <c r="B73" s="4" t="s">
        <v>2369</v>
      </c>
      <c r="C73" s="10" t="str">
        <f>CONCATENATE("vrms-administrator@",sample_parent_dns_zone)</f>
        <v>vrms-administrator@rainpole.io</v>
      </c>
      <c r="D73" s="66"/>
      <c r="E73" s="8"/>
    </row>
    <row r="74" spans="1:9" s="2" customFormat="1" ht="20" customHeight="1" x14ac:dyDescent="0.2">
      <c r="B74" s="4" t="s">
        <v>2370</v>
      </c>
      <c r="C74" s="10" t="str">
        <f>CONCATENATE(this_instance,"-w01-cl01-vds01-pg-vrms")</f>
        <v>sfo-w01-cl01-vds01-pg-vrms</v>
      </c>
      <c r="D74" s="66"/>
      <c r="E74" s="8"/>
    </row>
    <row r="75" spans="1:9" s="2" customFormat="1" ht="20" customHeight="1" x14ac:dyDescent="0.2">
      <c r="B75" s="4" t="s">
        <v>2371</v>
      </c>
      <c r="C75" s="10" t="s">
        <v>31</v>
      </c>
      <c r="D75" s="66"/>
      <c r="E75" s="8"/>
    </row>
    <row r="76" spans="1:9" s="2" customFormat="1" ht="20" customHeight="1" x14ac:dyDescent="0.2">
      <c r="B76" s="645" t="s">
        <v>1815</v>
      </c>
      <c r="C76" s="646"/>
      <c r="D76" s="646"/>
      <c r="E76" s="647"/>
    </row>
    <row r="77" spans="1:9" s="2" customFormat="1" ht="20" customHeight="1" x14ac:dyDescent="0.2">
      <c r="B77" s="4" t="s">
        <v>2365</v>
      </c>
      <c r="C77" s="10" t="str">
        <f>CONCATENATE(this_instance,"-w0",wld_domain_number_chosen,"-fd-srm")</f>
        <v>sfo-w01-fd-srm</v>
      </c>
      <c r="D77" s="66"/>
      <c r="E77" s="8"/>
    </row>
    <row r="78" spans="1:9" s="9" customFormat="1" ht="16" customHeight="1" x14ac:dyDescent="0.2">
      <c r="A78" s="2"/>
      <c r="B78" s="4" t="s">
        <v>2366</v>
      </c>
      <c r="C78" s="10" t="s">
        <v>31</v>
      </c>
      <c r="D78" s="66"/>
      <c r="E78" s="8"/>
      <c r="F78" s="2"/>
      <c r="G78" s="2"/>
      <c r="H78" s="2"/>
      <c r="I78" s="2"/>
    </row>
    <row r="79" spans="1:9" s="9" customFormat="1" ht="34" customHeight="1" x14ac:dyDescent="0.2">
      <c r="A79" s="2"/>
      <c r="B79" s="4" t="s">
        <v>2367</v>
      </c>
      <c r="C79" s="10" t="s">
        <v>31</v>
      </c>
      <c r="D79" s="66"/>
      <c r="E79" s="8"/>
      <c r="F79" s="2"/>
      <c r="G79" s="2"/>
      <c r="H79" s="2"/>
      <c r="I79" s="2"/>
    </row>
    <row r="80" spans="1:9" s="9" customFormat="1" ht="16" customHeight="1" x14ac:dyDescent="0.2">
      <c r="A80" s="2"/>
      <c r="B80" s="4" t="s">
        <v>2372</v>
      </c>
      <c r="C80" s="10" t="s">
        <v>31</v>
      </c>
      <c r="D80" s="66"/>
      <c r="E80" s="8"/>
      <c r="F80" s="2"/>
      <c r="G80" s="2"/>
      <c r="H80" s="2"/>
      <c r="I80" s="2"/>
    </row>
    <row r="81" spans="1:9" s="9" customFormat="1" ht="34" customHeight="1" x14ac:dyDescent="0.2">
      <c r="A81" s="2"/>
      <c r="B81" s="4" t="s">
        <v>2368</v>
      </c>
      <c r="C81" s="10" t="str">
        <f>UPPER(sample_wld_sddc_domain)</f>
        <v>SFO-W01</v>
      </c>
      <c r="D81" s="66"/>
      <c r="E81" s="8"/>
      <c r="F81" s="2"/>
      <c r="G81" s="2"/>
      <c r="H81" s="2"/>
      <c r="I81" s="2"/>
    </row>
    <row r="82" spans="1:9" s="9" customFormat="1" ht="16" customHeight="1" x14ac:dyDescent="0.2">
      <c r="A82" s="2"/>
      <c r="B82" s="4" t="s">
        <v>2369</v>
      </c>
      <c r="C82" s="10" t="str">
        <f>CONCATENATE("srm-administrator@",sample_parent_dns_zone)</f>
        <v>srm-administrator@rainpole.io</v>
      </c>
      <c r="D82" s="66"/>
      <c r="E82" s="8"/>
      <c r="F82" s="2"/>
      <c r="G82" s="2"/>
      <c r="H82" s="2"/>
      <c r="I82" s="2"/>
    </row>
    <row r="83" spans="1:9" s="9" customFormat="1" ht="34" customHeight="1" x14ac:dyDescent="0.2">
      <c r="A83" s="2"/>
      <c r="B83" s="4" t="s">
        <v>2371</v>
      </c>
      <c r="C83" s="10" t="s">
        <v>31</v>
      </c>
      <c r="D83" s="66"/>
      <c r="E83" s="8"/>
      <c r="F83" s="2"/>
      <c r="G83" s="2"/>
      <c r="H83" s="2"/>
      <c r="I83" s="2"/>
    </row>
    <row r="84" spans="1:9" s="9" customFormat="1" ht="20" customHeight="1" x14ac:dyDescent="0.2">
      <c r="A84" s="2"/>
      <c r="B84" s="645" t="s">
        <v>2362</v>
      </c>
      <c r="C84" s="646"/>
      <c r="D84" s="646"/>
      <c r="E84" s="647"/>
      <c r="F84" s="2"/>
      <c r="G84" s="2"/>
      <c r="H84" s="2"/>
      <c r="I84" s="2"/>
    </row>
    <row r="85" spans="1:9" s="9" customFormat="1" ht="20" customHeight="1" x14ac:dyDescent="0.2">
      <c r="A85" s="2"/>
      <c r="B85" s="4" t="s">
        <v>1721</v>
      </c>
      <c r="C85" s="10" t="str">
        <f>CONCATENATE(other_instance,"-w01-vc01.",other_instance,".",sample_parent_dns_zone)</f>
        <v>lax-w01-vc01.lax.rainpole.io</v>
      </c>
      <c r="D85" s="66"/>
      <c r="E85" s="8"/>
      <c r="F85" s="2"/>
      <c r="G85" s="2"/>
      <c r="H85" s="2"/>
      <c r="I85" s="2"/>
    </row>
    <row r="86" spans="1:9" s="9" customFormat="1" ht="20" customHeight="1" x14ac:dyDescent="0.2">
      <c r="A86" s="2"/>
      <c r="B86" s="4" t="s">
        <v>1724</v>
      </c>
      <c r="C86" s="10" t="s">
        <v>1565</v>
      </c>
      <c r="D86" s="66"/>
      <c r="E86" s="8"/>
      <c r="F86" s="2"/>
      <c r="G86" s="2"/>
      <c r="H86" s="2"/>
      <c r="I86" s="2"/>
    </row>
    <row r="87" spans="1:9" s="9" customFormat="1" ht="20" customHeight="1" x14ac:dyDescent="0.2">
      <c r="A87" s="2"/>
      <c r="B87" s="4" t="s">
        <v>1726</v>
      </c>
      <c r="C87" s="10" t="s">
        <v>31</v>
      </c>
      <c r="D87" s="66"/>
      <c r="E87" s="8"/>
      <c r="F87" s="2"/>
      <c r="G87" s="2"/>
      <c r="H87" s="2"/>
      <c r="I87" s="2"/>
    </row>
    <row r="88" spans="1:9" s="9" customFormat="1" ht="16" customHeight="1" x14ac:dyDescent="0.2">
      <c r="A88" s="2"/>
      <c r="B88" s="4" t="s">
        <v>1751</v>
      </c>
      <c r="C88" s="10" t="str">
        <f>CONCATENATE(prefix_other_region_az1_cidr,"9.0/24")</f>
        <v>10.21.9.0/24</v>
      </c>
      <c r="D88" s="66"/>
      <c r="E88" s="8"/>
      <c r="F88" s="2"/>
      <c r="G88" s="2"/>
      <c r="H88" s="2"/>
      <c r="I88" s="2"/>
    </row>
    <row r="89" spans="1:9" s="9" customFormat="1" ht="34" customHeight="1" x14ac:dyDescent="0.2">
      <c r="A89" s="2"/>
      <c r="B89" s="4" t="s">
        <v>2383</v>
      </c>
      <c r="C89" s="10" t="s">
        <v>2384</v>
      </c>
      <c r="D89" s="66"/>
      <c r="E89" s="8"/>
      <c r="F89" s="2"/>
      <c r="G89" s="2"/>
      <c r="H89" s="2"/>
      <c r="I89" s="2"/>
    </row>
    <row r="93" spans="1:9" s="9" customFormat="1" ht="20" customHeight="1" x14ac:dyDescent="0.2">
      <c r="B93" s="608" t="s">
        <v>2386</v>
      </c>
      <c r="C93" s="609"/>
      <c r="D93" s="609"/>
      <c r="E93" s="609"/>
    </row>
    <row r="94" spans="1:9" s="9" customFormat="1" ht="20" customHeight="1" x14ac:dyDescent="0.2"/>
    <row r="95" spans="1:9" s="9" customFormat="1" ht="20" customHeight="1" x14ac:dyDescent="0.2">
      <c r="B95" s="609" t="s">
        <v>2387</v>
      </c>
      <c r="C95" s="609"/>
      <c r="D95" s="609"/>
      <c r="E95" s="609"/>
    </row>
    <row r="96" spans="1:9" s="9" customFormat="1" ht="16" customHeight="1" x14ac:dyDescent="0.2">
      <c r="B96" s="62" t="s">
        <v>254</v>
      </c>
      <c r="C96" s="62" t="s">
        <v>255</v>
      </c>
      <c r="D96" s="161" t="s">
        <v>20</v>
      </c>
      <c r="E96" s="62" t="s">
        <v>21</v>
      </c>
    </row>
    <row r="97" spans="2:5" s="9" customFormat="1" ht="34" customHeight="1" x14ac:dyDescent="0.2">
      <c r="B97" s="4" t="s">
        <v>2388</v>
      </c>
      <c r="C97" s="65" t="str">
        <f>sample_mgmt_vc_fqdn</f>
        <v>sfo-m01-vc01.sfo.rainpole.io</v>
      </c>
      <c r="D97" s="8" t="str">
        <f>mgmt_vc_fqdn</f>
        <v>Value Missing</v>
      </c>
      <c r="E97" s="42"/>
    </row>
    <row r="98" spans="2:5" s="9" customFormat="1" ht="20" customHeight="1" x14ac:dyDescent="0.2">
      <c r="B98" s="4" t="s">
        <v>2389</v>
      </c>
      <c r="C98" s="65" t="s">
        <v>2390</v>
      </c>
      <c r="D98" s="8">
        <f>vrslcm_xreg_vm_folder</f>
        <v>0</v>
      </c>
      <c r="E98" s="42"/>
    </row>
    <row r="99" spans="2:5" s="9" customFormat="1" ht="20" customHeight="1" x14ac:dyDescent="0.2">
      <c r="B99" s="4" t="s">
        <v>645</v>
      </c>
      <c r="E99" s="42"/>
    </row>
    <row r="100" spans="2:5" s="9" customFormat="1" ht="20" customHeight="1" x14ac:dyDescent="0.2"/>
    <row r="101" spans="2:5" s="9" customFormat="1" ht="20" customHeight="1" x14ac:dyDescent="0.2">
      <c r="B101" s="609" t="s">
        <v>2391</v>
      </c>
      <c r="C101" s="609"/>
      <c r="D101" s="609"/>
      <c r="E101" s="609"/>
    </row>
    <row r="102" spans="2:5" s="9" customFormat="1" ht="20" customHeight="1" x14ac:dyDescent="0.2">
      <c r="B102" s="62" t="s">
        <v>254</v>
      </c>
      <c r="C102" s="62" t="s">
        <v>255</v>
      </c>
      <c r="D102" s="161" t="s">
        <v>20</v>
      </c>
      <c r="E102" s="62" t="s">
        <v>21</v>
      </c>
    </row>
    <row r="103" spans="2:5" s="9" customFormat="1" ht="20" customHeight="1" x14ac:dyDescent="0.2">
      <c r="B103" s="40" t="s">
        <v>2392</v>
      </c>
      <c r="C103" s="65" t="str">
        <f>sample_mgmt_srm_recovery_vcenter_fqdn</f>
        <v>lax-m01-vc01.lax.rainpole.io</v>
      </c>
      <c r="D103" s="120" t="str">
        <f>mgmt_srm_recovery_vcenter_fqdn</f>
        <v>Value Missing</v>
      </c>
      <c r="E103" s="248"/>
    </row>
    <row r="104" spans="2:5" s="9" customFormat="1" ht="20" customHeight="1" x14ac:dyDescent="0.2">
      <c r="B104" s="28" t="s">
        <v>2393</v>
      </c>
      <c r="C104" s="65" t="str">
        <f t="array" ref="C104">sample_vrslcm_xreg_vm_folder</f>
        <v>xint-m01-fd-lcm</v>
      </c>
      <c r="D104" s="8"/>
      <c r="E104" s="42"/>
    </row>
    <row r="105" spans="2:5" s="9" customFormat="1" ht="20" customHeight="1" x14ac:dyDescent="0.2">
      <c r="B105" s="4" t="s">
        <v>2394</v>
      </c>
      <c r="C105" s="65" t="s">
        <v>2395</v>
      </c>
      <c r="D105" s="8"/>
      <c r="E105" s="42"/>
    </row>
    <row r="106" spans="2:5" s="9" customFormat="1" ht="20" customHeight="1" x14ac:dyDescent="0.2">
      <c r="B106" s="4" t="s">
        <v>2396</v>
      </c>
      <c r="C106" s="65" t="s">
        <v>2397</v>
      </c>
      <c r="D106" s="8"/>
      <c r="E106" s="42"/>
    </row>
    <row r="107" spans="2:5" s="9" customFormat="1" ht="20" customHeight="1" x14ac:dyDescent="0.2">
      <c r="B107" s="28" t="s">
        <v>2398</v>
      </c>
      <c r="C107" s="65" t="s">
        <v>2399</v>
      </c>
      <c r="D107" s="8"/>
      <c r="E107" s="42"/>
    </row>
    <row r="108" spans="2:5" s="9" customFormat="1" ht="16" customHeight="1" x14ac:dyDescent="0.2"/>
    <row r="109" spans="2:5" s="9" customFormat="1" ht="34" customHeight="1" x14ac:dyDescent="0.2">
      <c r="B109" s="609" t="s">
        <v>2400</v>
      </c>
      <c r="C109" s="609"/>
      <c r="D109" s="609"/>
      <c r="E109" s="609"/>
    </row>
    <row r="110" spans="2:5" s="9" customFormat="1" ht="20" customHeight="1" x14ac:dyDescent="0.2">
      <c r="B110" s="62" t="s">
        <v>254</v>
      </c>
      <c r="C110" s="62" t="s">
        <v>255</v>
      </c>
      <c r="D110" s="161" t="s">
        <v>20</v>
      </c>
      <c r="E110" s="62" t="s">
        <v>21</v>
      </c>
    </row>
    <row r="111" spans="2:5" s="9" customFormat="1" ht="20" customHeight="1" x14ac:dyDescent="0.2">
      <c r="B111" s="4" t="s">
        <v>2401</v>
      </c>
      <c r="C111" s="65" t="str">
        <f>IF(mgmt_domain_chosen="First Instance",sample_mgmt_nsxt_gm_vip_fqdn,sample_mgmt_existing_active_nsx_gm)</f>
        <v>sfo-m01-nsx-gm01.sfo.rainpole.io</v>
      </c>
      <c r="D111" s="8" t="str">
        <f>_xlfn.SINGLE(IF(mgmt_domain_chosen="First Domain",mgmt_nsxt_gm_vip_fqdn,mgmt_existing_active_nsx_gm))</f>
        <v>Value Missing</v>
      </c>
      <c r="E111" s="42"/>
    </row>
    <row r="112" spans="2:5" s="9" customFormat="1" ht="20" customHeight="1" x14ac:dyDescent="0.2">
      <c r="B112" s="4" t="s">
        <v>2402</v>
      </c>
      <c r="C112" s="65" t="str">
        <f>sample_mgmt_srm_recovery_nsx_location</f>
        <v>lax-m01</v>
      </c>
      <c r="D112" s="8" t="str">
        <f>mgmt_srm_recovery_nsx_location</f>
        <v>Value Missing</v>
      </c>
      <c r="E112" s="42"/>
    </row>
    <row r="113" spans="2:5" s="9" customFormat="1" ht="20" customHeight="1" x14ac:dyDescent="0.2">
      <c r="B113" s="28" t="s">
        <v>471</v>
      </c>
      <c r="C113" s="65" t="s">
        <v>2403</v>
      </c>
      <c r="D113" s="8" t="str">
        <f>C113</f>
        <v>recovery-t1-gw01</v>
      </c>
      <c r="E113" s="42"/>
    </row>
    <row r="114" spans="2:5" s="9" customFormat="1" ht="16" customHeight="1" x14ac:dyDescent="0.2">
      <c r="B114" s="28" t="s">
        <v>88</v>
      </c>
      <c r="C114" s="65" t="str">
        <f>sample_mgmt_srm_recovery_nsx_ec_name</f>
        <v>lax-m01-ec01</v>
      </c>
      <c r="D114" s="8" t="str">
        <f>mgmt_srm_recovery_nsx_ec_name</f>
        <v>Value Missing</v>
      </c>
      <c r="E114" s="42"/>
    </row>
    <row r="115" spans="2:5" s="9" customFormat="1" ht="34" customHeight="1" x14ac:dyDescent="0.2">
      <c r="B115" s="28" t="s">
        <v>254</v>
      </c>
      <c r="C115" s="65" t="s">
        <v>2404</v>
      </c>
      <c r="D115" s="8" t="str">
        <f>C115</f>
        <v>recovery-t1-gw01-si01</v>
      </c>
      <c r="E115" s="42"/>
    </row>
    <row r="116" spans="2:5" s="9" customFormat="1" ht="20" customHeight="1" x14ac:dyDescent="0.2">
      <c r="B116" s="28" t="s">
        <v>2405</v>
      </c>
      <c r="C116" s="65"/>
      <c r="D116" s="8"/>
      <c r="E116" s="42"/>
    </row>
    <row r="117" spans="2:5" s="9" customFormat="1" ht="20" customHeight="1" x14ac:dyDescent="0.2">
      <c r="B117" s="28" t="s">
        <v>2406</v>
      </c>
      <c r="C117" s="65">
        <f>sample_xreg_seg01_name</f>
        <v>0</v>
      </c>
      <c r="D117" s="8"/>
      <c r="E117" s="42"/>
    </row>
    <row r="118" spans="2:5" s="9" customFormat="1" ht="20" customHeight="1" x14ac:dyDescent="0.2">
      <c r="B118" s="4" t="s">
        <v>276</v>
      </c>
      <c r="C118" s="65"/>
      <c r="D118" s="8"/>
      <c r="E118" s="42"/>
    </row>
    <row r="119" spans="2:5" s="9" customFormat="1" ht="20" customHeight="1" x14ac:dyDescent="0.2">
      <c r="B119" s="4" t="s">
        <v>2407</v>
      </c>
      <c r="C119" s="65" t="s">
        <v>2404</v>
      </c>
      <c r="D119" s="8" t="str">
        <f>C119</f>
        <v>recovery-t1-gw01-si01</v>
      </c>
      <c r="E119" s="42"/>
    </row>
    <row r="120" spans="2:5" s="9" customFormat="1" ht="16" customHeight="1" x14ac:dyDescent="0.2"/>
    <row r="121" spans="2:5" s="9" customFormat="1" ht="34" customHeight="1" x14ac:dyDescent="0.2">
      <c r="B121" s="609" t="s">
        <v>2408</v>
      </c>
      <c r="C121" s="609"/>
      <c r="D121" s="609"/>
      <c r="E121" s="609"/>
    </row>
    <row r="122" spans="2:5" s="9" customFormat="1" ht="20" customHeight="1" x14ac:dyDescent="0.2">
      <c r="B122" s="62" t="s">
        <v>254</v>
      </c>
      <c r="C122" s="62" t="s">
        <v>255</v>
      </c>
      <c r="D122" s="161" t="s">
        <v>20</v>
      </c>
      <c r="E122" s="62" t="s">
        <v>21</v>
      </c>
    </row>
    <row r="123" spans="2:5" s="9" customFormat="1" ht="20" customHeight="1" x14ac:dyDescent="0.2">
      <c r="B123" s="4" t="s">
        <v>2401</v>
      </c>
      <c r="C123" s="65" t="str">
        <f>IF(mgmt_domain_chosen="Initial VCF Instance",sample_wld_nsxt_gm_vip_fqdn,sample_wld_existing_active_nsx_gm)</f>
        <v>lax-w01-nsx-gm01.lax.rainpole.io</v>
      </c>
      <c r="D123" s="8" t="str">
        <f>_xlfn.SINGLE(IF(mgmt_domain_chosen="First Domain",mgmt_nsxt_gm_vip_fqdn,mgmt_existing_active_nsx_gm))</f>
        <v>Value Missing</v>
      </c>
      <c r="E123" s="42"/>
    </row>
    <row r="124" spans="2:5" s="9" customFormat="1" ht="20" customHeight="1" x14ac:dyDescent="0.2">
      <c r="B124" s="4" t="s">
        <v>2402</v>
      </c>
      <c r="C124" s="65" t="str">
        <f>sample_mgmt_srm_recovery_nsx_location</f>
        <v>lax-m01</v>
      </c>
      <c r="D124" s="8" t="str">
        <f>mgmt_srm_recovery_nsx_location</f>
        <v>Value Missing</v>
      </c>
      <c r="E124" s="42"/>
    </row>
    <row r="125" spans="2:5" s="9" customFormat="1" ht="20" customHeight="1" x14ac:dyDescent="0.2">
      <c r="B125" s="28" t="s">
        <v>254</v>
      </c>
      <c r="C125" s="65" t="s">
        <v>2409</v>
      </c>
      <c r="D125" s="8" t="str">
        <f>C125</f>
        <v>recovery-lb01</v>
      </c>
      <c r="E125" s="42"/>
    </row>
    <row r="126" spans="2:5" s="9" customFormat="1" ht="16" customHeight="1" x14ac:dyDescent="0.2"/>
    <row r="127" spans="2:5" s="9" customFormat="1" ht="34" customHeight="1" x14ac:dyDescent="0.2">
      <c r="B127" s="609" t="s">
        <v>2410</v>
      </c>
      <c r="C127" s="609"/>
      <c r="D127" s="609"/>
      <c r="E127" s="609"/>
    </row>
    <row r="128" spans="2:5" s="9" customFormat="1" ht="20" customHeight="1" x14ac:dyDescent="0.2">
      <c r="B128" s="62" t="s">
        <v>254</v>
      </c>
      <c r="C128" s="62" t="s">
        <v>255</v>
      </c>
      <c r="D128" s="161" t="s">
        <v>20</v>
      </c>
      <c r="E128" s="62" t="s">
        <v>21</v>
      </c>
    </row>
    <row r="129" spans="2:5" s="9" customFormat="1" ht="20" customHeight="1" x14ac:dyDescent="0.2">
      <c r="B129" s="4" t="s">
        <v>2401</v>
      </c>
      <c r="C129" s="65"/>
      <c r="D129" s="8" t="str">
        <f>_xlfn.SINGLE(IF(mgmt_domain_chosen="First Domain",mgmt_nsxt_gm_vip_fqdn,mgmt_existing_active_nsx_gm))</f>
        <v>Value Missing</v>
      </c>
      <c r="E129" s="42"/>
    </row>
    <row r="130" spans="2:5" s="9" customFormat="1" ht="20" customHeight="1" x14ac:dyDescent="0.2">
      <c r="B130" s="4" t="s">
        <v>2402</v>
      </c>
      <c r="C130" s="65" t="str">
        <f>sample_mgmt_srm_recovery_nsx_location</f>
        <v>lax-m01</v>
      </c>
      <c r="D130" s="8" t="str">
        <f>mgmt_srm_recovery_nsx_location</f>
        <v>Value Missing</v>
      </c>
      <c r="E130" s="42"/>
    </row>
    <row r="131" spans="2:5" s="9" customFormat="1" ht="20" customHeight="1" x14ac:dyDescent="0.2">
      <c r="B131" s="28" t="s">
        <v>254</v>
      </c>
      <c r="C131" s="65"/>
      <c r="D131" s="8"/>
      <c r="E131" s="42"/>
    </row>
    <row r="132" spans="2:5" s="9" customFormat="1" ht="20" customHeight="1" x14ac:dyDescent="0.2"/>
    <row r="133" spans="2:5" s="9" customFormat="1" ht="20" customHeight="1" x14ac:dyDescent="0.2">
      <c r="B133" s="609" t="s">
        <v>2411</v>
      </c>
      <c r="C133" s="609"/>
      <c r="D133" s="609"/>
      <c r="E133" s="609"/>
    </row>
    <row r="134" spans="2:5" s="9" customFormat="1" ht="20" customHeight="1" x14ac:dyDescent="0.2">
      <c r="B134" s="62" t="s">
        <v>254</v>
      </c>
      <c r="C134" s="62" t="s">
        <v>255</v>
      </c>
      <c r="D134" s="161" t="s">
        <v>20</v>
      </c>
      <c r="E134" s="62" t="s">
        <v>21</v>
      </c>
    </row>
    <row r="135" spans="2:5" s="9" customFormat="1" ht="20" customHeight="1" x14ac:dyDescent="0.2">
      <c r="B135" s="4" t="s">
        <v>2401</v>
      </c>
      <c r="C135" s="65"/>
      <c r="D135" s="8" t="str">
        <f>_xlfn.SINGLE(IF(mgmt_domain_chosen="First Domain",mgmt_nsxt_gm_vip_fqdn,mgmt_existing_active_nsx_gm))</f>
        <v>Value Missing</v>
      </c>
      <c r="E135" s="42"/>
    </row>
    <row r="136" spans="2:5" s="9" customFormat="1" ht="20" customHeight="1" x14ac:dyDescent="0.2">
      <c r="B136" s="4" t="s">
        <v>2402</v>
      </c>
      <c r="C136" s="65" t="str">
        <f>sample_mgmt_srm_recovery_nsx_location</f>
        <v>lax-m01</v>
      </c>
      <c r="D136" s="8" t="str">
        <f>mgmt_srm_recovery_nsx_location</f>
        <v>Value Missing</v>
      </c>
      <c r="E136" s="42"/>
    </row>
    <row r="137" spans="2:5" s="9" customFormat="1" ht="20" customHeight="1" x14ac:dyDescent="0.2">
      <c r="B137" s="28" t="s">
        <v>254</v>
      </c>
      <c r="C137" s="65" t="s">
        <v>2412</v>
      </c>
      <c r="D137" s="8" t="str">
        <f>C137</f>
        <v>vrops-https-monitor</v>
      </c>
      <c r="E137" s="42"/>
    </row>
    <row r="138" spans="2:5" s="9" customFormat="1" ht="20" customHeight="1" x14ac:dyDescent="0.2"/>
    <row r="139" spans="2:5" s="9" customFormat="1" ht="16" customHeight="1" x14ac:dyDescent="0.2">
      <c r="B139" s="609" t="s">
        <v>2413</v>
      </c>
      <c r="C139" s="609"/>
      <c r="D139" s="609"/>
      <c r="E139" s="609"/>
    </row>
    <row r="140" spans="2:5" s="9" customFormat="1" ht="34" customHeight="1" x14ac:dyDescent="0.2">
      <c r="B140" s="62" t="s">
        <v>254</v>
      </c>
      <c r="C140" s="62" t="s">
        <v>255</v>
      </c>
      <c r="D140" s="161" t="s">
        <v>20</v>
      </c>
      <c r="E140" s="62" t="s">
        <v>21</v>
      </c>
    </row>
    <row r="141" spans="2:5" s="9" customFormat="1" ht="20" customHeight="1" x14ac:dyDescent="0.2">
      <c r="B141" s="4" t="s">
        <v>2401</v>
      </c>
      <c r="C141" s="65"/>
      <c r="D141" s="8" t="str">
        <f>_xlfn.SINGLE(IF(mgmt_domain_chosen="First Domain",mgmt_nsxt_gm_vip_fqdn,mgmt_existing_active_nsx_gm))</f>
        <v>Value Missing</v>
      </c>
      <c r="E141" s="42"/>
    </row>
    <row r="142" spans="2:5" s="9" customFormat="1" ht="20" customHeight="1" x14ac:dyDescent="0.2">
      <c r="B142" s="4" t="s">
        <v>2402</v>
      </c>
      <c r="C142" s="65" t="str">
        <f>sample_mgmt_srm_recovery_nsx_location</f>
        <v>lax-m01</v>
      </c>
      <c r="D142" s="8" t="str">
        <f>mgmt_srm_recovery_nsx_location</f>
        <v>Value Missing</v>
      </c>
      <c r="E142" s="42"/>
    </row>
    <row r="143" spans="2:5" s="9" customFormat="1" ht="20" customHeight="1" x14ac:dyDescent="0.2">
      <c r="B143" s="28" t="s">
        <v>254</v>
      </c>
      <c r="C143" s="65" t="s">
        <v>2414</v>
      </c>
      <c r="D143" s="8" t="str">
        <f>C143</f>
        <v>vrops-server-pool</v>
      </c>
      <c r="E143" s="42"/>
    </row>
    <row r="144" spans="2:5" s="9" customFormat="1" ht="20" customHeight="1" x14ac:dyDescent="0.2">
      <c r="B144" s="28" t="s">
        <v>2415</v>
      </c>
      <c r="C144" s="65" t="s">
        <v>2416</v>
      </c>
      <c r="D144" s="8" t="str">
        <f>C144</f>
        <v>vrops01svr01a</v>
      </c>
      <c r="E144" s="42"/>
    </row>
    <row r="145" spans="2:5" s="9" customFormat="1" ht="20" customHeight="1" x14ac:dyDescent="0.2">
      <c r="B145" s="28" t="s">
        <v>2417</v>
      </c>
      <c r="C145" s="65" t="str">
        <f>sample_xreg_vrops_nodea_ip</f>
        <v>10.11.99.52</v>
      </c>
      <c r="D145" s="8" t="str">
        <f>xreg_vrops_nodea_ip</f>
        <v>Value Missing</v>
      </c>
      <c r="E145" s="42"/>
    </row>
    <row r="146" spans="2:5" s="9" customFormat="1" ht="20" customHeight="1" x14ac:dyDescent="0.2">
      <c r="B146" s="28" t="s">
        <v>2418</v>
      </c>
      <c r="C146" s="65" t="s">
        <v>2419</v>
      </c>
      <c r="D146" s="8" t="str">
        <f>C146</f>
        <v>vrops01svr01b</v>
      </c>
      <c r="E146" s="42"/>
    </row>
    <row r="147" spans="2:5" s="9" customFormat="1" ht="16" customHeight="1" x14ac:dyDescent="0.2">
      <c r="B147" s="28" t="s">
        <v>2420</v>
      </c>
      <c r="C147" s="65" t="str">
        <f>sample_xreg_vrops_nodeb_ip</f>
        <v>10.11.99.53</v>
      </c>
      <c r="D147" s="8" t="str">
        <f>xreg_vrops_nodeb_ip</f>
        <v>Value Missing</v>
      </c>
      <c r="E147" s="42"/>
    </row>
    <row r="148" spans="2:5" s="9" customFormat="1" ht="34" customHeight="1" x14ac:dyDescent="0.2">
      <c r="B148" s="4" t="s">
        <v>2421</v>
      </c>
      <c r="C148" s="65" t="s">
        <v>2422</v>
      </c>
      <c r="D148" s="8" t="str">
        <f>C148</f>
        <v>vrops01svr01c</v>
      </c>
      <c r="E148" s="42"/>
    </row>
    <row r="149" spans="2:5" s="9" customFormat="1" ht="20" customHeight="1" x14ac:dyDescent="0.2">
      <c r="B149" s="4" t="s">
        <v>2423</v>
      </c>
      <c r="C149" s="65" t="str">
        <f>sample_xreg_vrops_nodec_ip</f>
        <v>10.11.99.54</v>
      </c>
      <c r="D149" s="8" t="str">
        <f>xreg_vrops_nodec_ip</f>
        <v>Value Missing</v>
      </c>
      <c r="E149" s="42"/>
    </row>
    <row r="150" spans="2:5" s="9" customFormat="1" ht="20" customHeight="1" x14ac:dyDescent="0.2">
      <c r="B150" s="28" t="s">
        <v>2424</v>
      </c>
      <c r="C150" s="65" t="s">
        <v>2412</v>
      </c>
      <c r="D150" s="8" t="str">
        <f>C150</f>
        <v>vrops-https-monitor</v>
      </c>
      <c r="E150" s="42"/>
    </row>
    <row r="151" spans="2:5" s="9" customFormat="1" ht="20" customHeight="1" x14ac:dyDescent="0.2"/>
    <row r="152" spans="2:5" s="9" customFormat="1" ht="20" customHeight="1" x14ac:dyDescent="0.2">
      <c r="B152" s="609" t="s">
        <v>2425</v>
      </c>
      <c r="C152" s="609"/>
      <c r="D152" s="609"/>
      <c r="E152" s="609"/>
    </row>
    <row r="153" spans="2:5" s="9" customFormat="1" ht="20" customHeight="1" x14ac:dyDescent="0.2">
      <c r="B153" s="62" t="s">
        <v>254</v>
      </c>
      <c r="C153" s="62" t="s">
        <v>255</v>
      </c>
      <c r="D153" s="161" t="s">
        <v>20</v>
      </c>
      <c r="E153" s="62" t="s">
        <v>21</v>
      </c>
    </row>
    <row r="154" spans="2:5" s="9" customFormat="1" ht="20" customHeight="1" x14ac:dyDescent="0.2">
      <c r="B154" s="4" t="s">
        <v>2401</v>
      </c>
      <c r="C154" s="65"/>
      <c r="D154" s="8" t="str">
        <f>_xlfn.SINGLE(IF(mgmt_domain_chosen="First Domain",mgmt_nsxt_gm_vip_fqdn,mgmt_existing_active_nsx_gm))</f>
        <v>Value Missing</v>
      </c>
      <c r="E154" s="42"/>
    </row>
    <row r="155" spans="2:5" s="9" customFormat="1" ht="20" customHeight="1" x14ac:dyDescent="0.2">
      <c r="B155" s="4" t="s">
        <v>2402</v>
      </c>
      <c r="C155" s="65" t="str">
        <f>sample_mgmt_srm_recovery_nsx_location</f>
        <v>lax-m01</v>
      </c>
      <c r="D155" s="8" t="str">
        <f>mgmt_srm_recovery_nsx_location</f>
        <v>Value Missing</v>
      </c>
      <c r="E155" s="42"/>
    </row>
    <row r="156" spans="2:5" s="9" customFormat="1" ht="20" customHeight="1" x14ac:dyDescent="0.2">
      <c r="B156" s="28" t="s">
        <v>2426</v>
      </c>
      <c r="C156" s="65" t="s">
        <v>2427</v>
      </c>
      <c r="D156" s="8" t="str">
        <f>C156</f>
        <v>vrops-tcp-app-profile</v>
      </c>
      <c r="E156" s="42"/>
    </row>
    <row r="157" spans="2:5" s="9" customFormat="1" ht="20" customHeight="1" x14ac:dyDescent="0.2">
      <c r="B157" s="28" t="s">
        <v>2428</v>
      </c>
      <c r="C157" s="65" t="s">
        <v>2429</v>
      </c>
      <c r="D157" s="8" t="str">
        <f>C157</f>
        <v>vrops-http-app-profile-redirect</v>
      </c>
      <c r="E157" s="42"/>
    </row>
    <row r="158" spans="2:5" s="9" customFormat="1" ht="20" customHeight="1" x14ac:dyDescent="0.2">
      <c r="B158" s="28" t="s">
        <v>2430</v>
      </c>
      <c r="C158" s="65" t="s">
        <v>2431</v>
      </c>
      <c r="D158" s="8" t="str">
        <f>C158</f>
        <v>vrops-source-ip-persistence-profile</v>
      </c>
      <c r="E158" s="42"/>
    </row>
    <row r="159" spans="2:5" s="9" customFormat="1" ht="20" customHeight="1" x14ac:dyDescent="0.2"/>
    <row r="160" spans="2:5" s="9" customFormat="1" ht="20" customHeight="1" x14ac:dyDescent="0.2">
      <c r="B160" s="609" t="s">
        <v>2432</v>
      </c>
      <c r="C160" s="609"/>
      <c r="D160" s="609"/>
      <c r="E160" s="609"/>
    </row>
    <row r="161" spans="2:5" s="9" customFormat="1" ht="20" customHeight="1" x14ac:dyDescent="0.2">
      <c r="B161" s="62" t="s">
        <v>254</v>
      </c>
      <c r="C161" s="62" t="s">
        <v>255</v>
      </c>
      <c r="D161" s="161" t="s">
        <v>20</v>
      </c>
      <c r="E161" s="62" t="s">
        <v>21</v>
      </c>
    </row>
    <row r="162" spans="2:5" s="9" customFormat="1" ht="16" customHeight="1" x14ac:dyDescent="0.2">
      <c r="B162" s="4" t="s">
        <v>2401</v>
      </c>
      <c r="C162" s="65"/>
      <c r="D162" s="8" t="str">
        <f>_xlfn.SINGLE(IF(mgmt_domain_chosen="First Domain",mgmt_nsxt_gm_vip_fqdn,mgmt_existing_active_nsx_gm))</f>
        <v>Value Missing</v>
      </c>
      <c r="E162" s="42"/>
    </row>
    <row r="163" spans="2:5" s="9" customFormat="1" ht="34" customHeight="1" x14ac:dyDescent="0.2">
      <c r="B163" s="4" t="s">
        <v>2402</v>
      </c>
      <c r="C163" s="65" t="str">
        <f>sample_mgmt_srm_recovery_nsx_location</f>
        <v>lax-m01</v>
      </c>
      <c r="D163" s="8" t="str">
        <f>mgmt_srm_recovery_nsx_location</f>
        <v>Value Missing</v>
      </c>
      <c r="E163" s="42"/>
    </row>
    <row r="164" spans="2:5" s="9" customFormat="1" ht="20" customHeight="1" x14ac:dyDescent="0.2">
      <c r="B164" s="4" t="s">
        <v>2433</v>
      </c>
      <c r="C164" s="65" t="s">
        <v>2434</v>
      </c>
      <c r="D164" s="8" t="str">
        <f>C164</f>
        <v>vrops-https</v>
      </c>
      <c r="E164" s="42"/>
    </row>
    <row r="165" spans="2:5" s="9" customFormat="1" ht="20" customHeight="1" x14ac:dyDescent="0.2">
      <c r="B165" s="4" t="s">
        <v>2435</v>
      </c>
      <c r="C165" s="65" t="str">
        <f>sample_xreg_vrops_virtual_ip</f>
        <v>10.11.99.21</v>
      </c>
      <c r="D165" s="8" t="str">
        <f>xreg_vrops_virtual_ip</f>
        <v>Value Missing</v>
      </c>
      <c r="E165" s="42"/>
    </row>
    <row r="166" spans="2:5" s="9" customFormat="1" ht="20" customHeight="1" x14ac:dyDescent="0.2">
      <c r="B166" s="4" t="s">
        <v>2436</v>
      </c>
      <c r="C166" s="65" t="s">
        <v>2409</v>
      </c>
      <c r="D166" s="8" t="str">
        <f>C166</f>
        <v>recovery-lb01</v>
      </c>
      <c r="E166" s="42"/>
    </row>
    <row r="167" spans="2:5" s="9" customFormat="1" ht="20" customHeight="1" x14ac:dyDescent="0.2">
      <c r="B167" s="28" t="s">
        <v>2437</v>
      </c>
      <c r="C167" s="65" t="s">
        <v>2414</v>
      </c>
      <c r="D167" s="8" t="str">
        <f>C167</f>
        <v>vrops-server-pool</v>
      </c>
      <c r="E167" s="42"/>
    </row>
    <row r="168" spans="2:5" s="9" customFormat="1" ht="16" customHeight="1" x14ac:dyDescent="0.2">
      <c r="B168" s="28" t="s">
        <v>2438</v>
      </c>
      <c r="C168" s="65" t="s">
        <v>2431</v>
      </c>
      <c r="D168" s="8" t="str">
        <f>C168</f>
        <v>vrops-source-ip-persistence-profile</v>
      </c>
      <c r="E168" s="42"/>
    </row>
    <row r="169" spans="2:5" s="9" customFormat="1" ht="34" customHeight="1" x14ac:dyDescent="0.2">
      <c r="B169" s="28" t="s">
        <v>2439</v>
      </c>
      <c r="C169" s="65" t="s">
        <v>2427</v>
      </c>
      <c r="D169" s="8" t="str">
        <f>C169</f>
        <v>vrops-tcp-app-profile</v>
      </c>
      <c r="E169" s="42"/>
    </row>
    <row r="170" spans="2:5" s="9" customFormat="1" ht="20" customHeight="1" x14ac:dyDescent="0.2">
      <c r="B170" s="28" t="s">
        <v>2440</v>
      </c>
      <c r="C170" s="65" t="s">
        <v>2441</v>
      </c>
      <c r="D170" s="8" t="str">
        <f>C170</f>
        <v>vrops-http-redirect</v>
      </c>
      <c r="E170" s="42"/>
    </row>
    <row r="171" spans="2:5" s="9" customFormat="1" ht="20" customHeight="1" x14ac:dyDescent="0.2">
      <c r="B171" s="28" t="s">
        <v>2442</v>
      </c>
      <c r="C171" s="65" t="str">
        <f>sample_xreg_vrops_virtual_ip</f>
        <v>10.11.99.21</v>
      </c>
      <c r="D171" s="8" t="str">
        <f>xreg_vrops_virtual_ip</f>
        <v>Value Missing</v>
      </c>
      <c r="E171" s="42"/>
    </row>
    <row r="172" spans="2:5" s="9" customFormat="1" ht="20" customHeight="1" x14ac:dyDescent="0.2">
      <c r="B172" s="4" t="s">
        <v>2443</v>
      </c>
      <c r="C172" s="65" t="s">
        <v>2409</v>
      </c>
      <c r="D172" s="8" t="str">
        <f>C172</f>
        <v>recovery-lb01</v>
      </c>
      <c r="E172" s="42"/>
    </row>
    <row r="173" spans="2:5" s="9" customFormat="1" ht="20" customHeight="1" x14ac:dyDescent="0.2">
      <c r="B173" s="4" t="s">
        <v>2444</v>
      </c>
      <c r="C173" s="65" t="s">
        <v>2445</v>
      </c>
      <c r="D173" s="8" t="str">
        <f>C173</f>
        <v>wsa-http-app-profile-redirect</v>
      </c>
      <c r="E173" s="42"/>
    </row>
    <row r="174" spans="2:5" s="9" customFormat="1" ht="20" customHeight="1" x14ac:dyDescent="0.2"/>
    <row r="175" spans="2:5" s="9" customFormat="1" ht="20" customHeight="1" x14ac:dyDescent="0.2">
      <c r="B175" s="609" t="s">
        <v>2446</v>
      </c>
      <c r="C175" s="609"/>
      <c r="D175" s="609"/>
      <c r="E175" s="609"/>
    </row>
    <row r="176" spans="2:5" s="9" customFormat="1" ht="20" customHeight="1" x14ac:dyDescent="0.2">
      <c r="B176" s="62" t="s">
        <v>254</v>
      </c>
      <c r="C176" s="62" t="s">
        <v>255</v>
      </c>
      <c r="D176" s="161" t="s">
        <v>20</v>
      </c>
      <c r="E176" s="62" t="s">
        <v>21</v>
      </c>
    </row>
    <row r="177" spans="2:5" s="9" customFormat="1" ht="20" customHeight="1" x14ac:dyDescent="0.2">
      <c r="B177" s="4" t="s">
        <v>2401</v>
      </c>
      <c r="C177" s="65"/>
      <c r="D177" s="8" t="str">
        <f>_xlfn.SINGLE(IF(mgmt_domain_chosen="First Domain",mgmt_nsxt_gm_vip_fqdn,mgmt_existing_active_nsx_gm))</f>
        <v>Value Missing</v>
      </c>
      <c r="E177" s="42"/>
    </row>
    <row r="178" spans="2:5" s="9" customFormat="1" ht="20" customHeight="1" x14ac:dyDescent="0.2">
      <c r="B178" s="4" t="s">
        <v>2402</v>
      </c>
      <c r="C178" s="65" t="str">
        <f>sample_mgmt_srm_recovery_nsx_location</f>
        <v>lax-m01</v>
      </c>
      <c r="D178" s="8" t="str">
        <f>mgmt_srm_recovery_nsx_location</f>
        <v>Value Missing</v>
      </c>
      <c r="E178" s="42"/>
    </row>
    <row r="179" spans="2:5" s="9" customFormat="1" ht="20" customHeight="1" x14ac:dyDescent="0.2">
      <c r="B179" s="28" t="s">
        <v>254</v>
      </c>
      <c r="C179" s="65" t="s">
        <v>2447</v>
      </c>
      <c r="D179" s="8" t="str">
        <f>C179</f>
        <v>vra-http-monitor</v>
      </c>
      <c r="E179" s="42"/>
    </row>
    <row r="180" spans="2:5" s="9" customFormat="1" ht="20" customHeight="1" x14ac:dyDescent="0.2"/>
    <row r="181" spans="2:5" s="9" customFormat="1" ht="16" customHeight="1" x14ac:dyDescent="0.2">
      <c r="B181" s="609" t="s">
        <v>2448</v>
      </c>
      <c r="C181" s="609"/>
      <c r="D181" s="609"/>
      <c r="E181" s="609"/>
    </row>
    <row r="182" spans="2:5" s="9" customFormat="1" ht="34" customHeight="1" x14ac:dyDescent="0.2">
      <c r="B182" s="62" t="s">
        <v>254</v>
      </c>
      <c r="C182" s="62" t="s">
        <v>255</v>
      </c>
      <c r="D182" s="161" t="s">
        <v>20</v>
      </c>
      <c r="E182" s="62" t="s">
        <v>21</v>
      </c>
    </row>
    <row r="183" spans="2:5" s="9" customFormat="1" ht="20" customHeight="1" x14ac:dyDescent="0.2">
      <c r="B183" s="4" t="s">
        <v>2401</v>
      </c>
      <c r="C183" s="65"/>
      <c r="D183" s="8" t="str">
        <f>_xlfn.SINGLE(IF(mgmt_domain_chosen="First Domain",mgmt_nsxt_gm_vip_fqdn,mgmt_existing_active_nsx_gm))</f>
        <v>Value Missing</v>
      </c>
      <c r="E183" s="42"/>
    </row>
    <row r="184" spans="2:5" s="9" customFormat="1" ht="20" customHeight="1" x14ac:dyDescent="0.2">
      <c r="B184" s="4" t="s">
        <v>2402</v>
      </c>
      <c r="C184" s="65" t="str">
        <f>sample_mgmt_srm_recovery_nsx_location</f>
        <v>lax-m01</v>
      </c>
      <c r="D184" s="8" t="str">
        <f>mgmt_srm_recovery_nsx_location</f>
        <v>Value Missing</v>
      </c>
      <c r="E184" s="42"/>
    </row>
    <row r="185" spans="2:5" s="9" customFormat="1" ht="20" customHeight="1" x14ac:dyDescent="0.2">
      <c r="B185" s="28" t="s">
        <v>254</v>
      </c>
      <c r="C185" s="65" t="s">
        <v>2449</v>
      </c>
      <c r="D185" s="8" t="str">
        <f>C185</f>
        <v>vra-server-pool</v>
      </c>
      <c r="E185" s="42"/>
    </row>
    <row r="186" spans="2:5" s="9" customFormat="1" ht="20" customHeight="1" x14ac:dyDescent="0.2">
      <c r="B186" s="28" t="s">
        <v>2450</v>
      </c>
      <c r="C186" s="65" t="s">
        <v>2451</v>
      </c>
      <c r="D186" s="8" t="str">
        <f>C186</f>
        <v>vra01svr01a</v>
      </c>
      <c r="E186" s="42"/>
    </row>
    <row r="187" spans="2:5" s="9" customFormat="1" ht="20" customHeight="1" x14ac:dyDescent="0.2">
      <c r="B187" s="28" t="s">
        <v>2417</v>
      </c>
      <c r="C187" s="65"/>
      <c r="D187" s="8" t="str">
        <f>xreg_vra_nodea_ip</f>
        <v>Value Missing</v>
      </c>
      <c r="E187" s="42"/>
    </row>
    <row r="188" spans="2:5" s="9" customFormat="1" ht="16" customHeight="1" x14ac:dyDescent="0.2">
      <c r="B188" s="28" t="s">
        <v>2452</v>
      </c>
      <c r="C188" s="65" t="s">
        <v>2453</v>
      </c>
      <c r="D188" s="8" t="str">
        <f>C188</f>
        <v>vra01svr01b</v>
      </c>
      <c r="E188" s="42"/>
    </row>
    <row r="189" spans="2:5" s="9" customFormat="1" ht="34" customHeight="1" x14ac:dyDescent="0.2">
      <c r="B189" s="28" t="s">
        <v>2420</v>
      </c>
      <c r="C189" s="65"/>
      <c r="D189" s="8" t="str">
        <f>xreg_vra_nodeb_ip</f>
        <v>Value Missing</v>
      </c>
      <c r="E189" s="42"/>
    </row>
    <row r="190" spans="2:5" s="9" customFormat="1" ht="20" customHeight="1" x14ac:dyDescent="0.2">
      <c r="B190" s="4" t="s">
        <v>2454</v>
      </c>
      <c r="C190" s="65" t="s">
        <v>2455</v>
      </c>
      <c r="D190" s="8" t="str">
        <f>C190</f>
        <v>vra01svr01c</v>
      </c>
      <c r="E190" s="42"/>
    </row>
    <row r="191" spans="2:5" s="9" customFormat="1" ht="20" customHeight="1" x14ac:dyDescent="0.2">
      <c r="B191" s="4" t="s">
        <v>2423</v>
      </c>
      <c r="C191" s="65"/>
      <c r="D191" s="8" t="str">
        <f>xreg_vra_nodec_ip</f>
        <v>Value Missing</v>
      </c>
      <c r="E191" s="42"/>
    </row>
    <row r="192" spans="2:5" s="9" customFormat="1" ht="20" customHeight="1" x14ac:dyDescent="0.2">
      <c r="B192" s="28" t="s">
        <v>2424</v>
      </c>
      <c r="C192" s="65" t="s">
        <v>2447</v>
      </c>
      <c r="D192" s="8" t="str">
        <f>C192</f>
        <v>vra-http-monitor</v>
      </c>
      <c r="E192" s="42"/>
    </row>
    <row r="193" spans="2:5" s="9" customFormat="1" ht="20" customHeight="1" x14ac:dyDescent="0.2"/>
    <row r="194" spans="2:5" s="9" customFormat="1" ht="20" customHeight="1" x14ac:dyDescent="0.2">
      <c r="B194" s="609" t="s">
        <v>2456</v>
      </c>
      <c r="C194" s="609"/>
      <c r="D194" s="609"/>
      <c r="E194" s="609"/>
    </row>
    <row r="195" spans="2:5" s="9" customFormat="1" ht="20" customHeight="1" x14ac:dyDescent="0.2">
      <c r="B195" s="62" t="s">
        <v>254</v>
      </c>
      <c r="C195" s="62" t="s">
        <v>255</v>
      </c>
      <c r="D195" s="161" t="s">
        <v>20</v>
      </c>
      <c r="E195" s="62" t="s">
        <v>21</v>
      </c>
    </row>
    <row r="196" spans="2:5" s="9" customFormat="1" ht="20" customHeight="1" x14ac:dyDescent="0.2">
      <c r="B196" s="4" t="s">
        <v>2401</v>
      </c>
      <c r="C196" s="65"/>
      <c r="D196" s="8" t="str">
        <f>_xlfn.SINGLE(IF(mgmt_domain_chosen="First Domain",mgmt_nsxt_gm_vip_fqdn,mgmt_existing_active_nsx_gm))</f>
        <v>Value Missing</v>
      </c>
      <c r="E196" s="42"/>
    </row>
    <row r="197" spans="2:5" s="9" customFormat="1" ht="20" customHeight="1" x14ac:dyDescent="0.2">
      <c r="B197" s="4" t="s">
        <v>2402</v>
      </c>
      <c r="C197" s="65" t="str">
        <f>sample_mgmt_srm_recovery_nsx_location</f>
        <v>lax-m01</v>
      </c>
      <c r="D197" s="8" t="str">
        <f>mgmt_srm_recovery_nsx_location</f>
        <v>Value Missing</v>
      </c>
      <c r="E197" s="42"/>
    </row>
    <row r="198" spans="2:5" s="9" customFormat="1" ht="20" customHeight="1" x14ac:dyDescent="0.2">
      <c r="B198" s="28" t="s">
        <v>2426</v>
      </c>
      <c r="C198" s="65" t="s">
        <v>2457</v>
      </c>
      <c r="D198" s="8" t="str">
        <f>C198</f>
        <v>vra-tcp-app-profile</v>
      </c>
      <c r="E198" s="42"/>
    </row>
    <row r="199" spans="2:5" s="9" customFormat="1" ht="20" customHeight="1" x14ac:dyDescent="0.2">
      <c r="B199" s="28" t="s">
        <v>2428</v>
      </c>
      <c r="C199" s="65" t="s">
        <v>2458</v>
      </c>
      <c r="D199" s="8" t="str">
        <f>C199</f>
        <v>vra-http-app-profile-redirect</v>
      </c>
      <c r="E199" s="42"/>
    </row>
    <row r="200" spans="2:5" s="9" customFormat="1" ht="20" customHeight="1" x14ac:dyDescent="0.2"/>
    <row r="201" spans="2:5" s="9" customFormat="1" ht="20" customHeight="1" x14ac:dyDescent="0.2">
      <c r="B201" s="609" t="s">
        <v>2459</v>
      </c>
      <c r="C201" s="609"/>
      <c r="D201" s="609"/>
      <c r="E201" s="609"/>
    </row>
    <row r="202" spans="2:5" s="9" customFormat="1" ht="16" customHeight="1" x14ac:dyDescent="0.2">
      <c r="B202" s="62" t="s">
        <v>254</v>
      </c>
      <c r="C202" s="62" t="s">
        <v>255</v>
      </c>
      <c r="D202" s="161" t="s">
        <v>20</v>
      </c>
      <c r="E202" s="62" t="s">
        <v>21</v>
      </c>
    </row>
    <row r="203" spans="2:5" s="9" customFormat="1" ht="34" customHeight="1" x14ac:dyDescent="0.2">
      <c r="B203" s="4" t="s">
        <v>2401</v>
      </c>
      <c r="C203" s="65"/>
      <c r="D203" s="8" t="str">
        <f>_xlfn.SINGLE(IF(mgmt_domain_chosen="First Domain",mgmt_nsxt_gm_vip_fqdn,mgmt_existing_active_nsx_gm))</f>
        <v>Value Missing</v>
      </c>
      <c r="E203" s="42"/>
    </row>
    <row r="204" spans="2:5" s="9" customFormat="1" ht="20" customHeight="1" x14ac:dyDescent="0.2">
      <c r="B204" s="4" t="s">
        <v>2402</v>
      </c>
      <c r="C204" s="65" t="str">
        <f>sample_mgmt_srm_recovery_nsx_location</f>
        <v>lax-m01</v>
      </c>
      <c r="D204" s="8" t="str">
        <f>mgmt_srm_recovery_nsx_location</f>
        <v>Value Missing</v>
      </c>
      <c r="E204" s="42"/>
    </row>
    <row r="205" spans="2:5" s="9" customFormat="1" ht="20" customHeight="1" x14ac:dyDescent="0.2">
      <c r="B205" s="28" t="s">
        <v>2433</v>
      </c>
      <c r="C205" s="65" t="s">
        <v>2460</v>
      </c>
      <c r="D205" s="8" t="str">
        <f>C205</f>
        <v>vra-https</v>
      </c>
      <c r="E205" s="42"/>
    </row>
    <row r="206" spans="2:5" s="9" customFormat="1" ht="20" customHeight="1" x14ac:dyDescent="0.2">
      <c r="B206" s="28" t="s">
        <v>2461</v>
      </c>
      <c r="C206" s="65" t="str">
        <f>sample_xreg_vra_virtual_ip</f>
        <v>10.11.99.25</v>
      </c>
      <c r="D206" s="8" t="str">
        <f>xreg_vra_virtual_ip</f>
        <v>Value Missing</v>
      </c>
      <c r="E206" s="42"/>
    </row>
    <row r="207" spans="2:5" s="9" customFormat="1" ht="20" customHeight="1" x14ac:dyDescent="0.2">
      <c r="B207" s="28" t="s">
        <v>2436</v>
      </c>
      <c r="C207" s="65" t="s">
        <v>2409</v>
      </c>
      <c r="D207" s="8" t="str">
        <f>C207</f>
        <v>recovery-lb01</v>
      </c>
      <c r="E207" s="42"/>
    </row>
    <row r="208" spans="2:5" s="9" customFormat="1" ht="20" customHeight="1" x14ac:dyDescent="0.2">
      <c r="B208" s="28" t="s">
        <v>2462</v>
      </c>
      <c r="C208" s="65" t="s">
        <v>2449</v>
      </c>
      <c r="D208" s="8" t="str">
        <f>C208</f>
        <v>vra-server-pool</v>
      </c>
      <c r="E208" s="42"/>
    </row>
    <row r="209" spans="2:5" s="9" customFormat="1" ht="20" customHeight="1" x14ac:dyDescent="0.2">
      <c r="B209" s="28" t="s">
        <v>2463</v>
      </c>
      <c r="C209" s="65" t="s">
        <v>2457</v>
      </c>
      <c r="D209" s="8" t="str">
        <f>C209</f>
        <v>vra-tcp-app-profile</v>
      </c>
      <c r="E209" s="42"/>
    </row>
    <row r="210" spans="2:5" s="9" customFormat="1" ht="16" customHeight="1" x14ac:dyDescent="0.2">
      <c r="B210" s="4" t="s">
        <v>2464</v>
      </c>
      <c r="C210" s="65" t="s">
        <v>2465</v>
      </c>
      <c r="D210" s="8" t="str">
        <f>C210</f>
        <v>vra-http-redirect</v>
      </c>
      <c r="E210" s="42"/>
    </row>
    <row r="211" spans="2:5" s="9" customFormat="1" ht="34" customHeight="1" x14ac:dyDescent="0.2">
      <c r="B211" s="4" t="s">
        <v>2442</v>
      </c>
      <c r="C211" s="65" t="str">
        <f>sample_xreg_vra_virtual_ip</f>
        <v>10.11.99.25</v>
      </c>
      <c r="D211" s="8" t="str">
        <f>xreg_vra_virtual_ip</f>
        <v>Value Missing</v>
      </c>
      <c r="E211" s="42"/>
    </row>
    <row r="212" spans="2:5" s="9" customFormat="1" ht="20" customHeight="1" x14ac:dyDescent="0.2">
      <c r="B212" s="28" t="s">
        <v>2443</v>
      </c>
      <c r="C212" s="65" t="s">
        <v>2409</v>
      </c>
      <c r="D212" s="8" t="str">
        <f>C212</f>
        <v>recovery-lb01</v>
      </c>
      <c r="E212" s="42"/>
    </row>
    <row r="213" spans="2:5" s="9" customFormat="1" ht="20" customHeight="1" x14ac:dyDescent="0.2">
      <c r="B213" s="28" t="s">
        <v>2466</v>
      </c>
      <c r="C213" s="65" t="s">
        <v>2458</v>
      </c>
      <c r="D213" s="8" t="str">
        <f>C213</f>
        <v>vra-http-app-profile-redirect</v>
      </c>
      <c r="E213" s="42"/>
    </row>
    <row r="214" spans="2:5" s="9" customFormat="1" ht="20" customHeight="1" x14ac:dyDescent="0.2"/>
    <row r="216" spans="2:5" s="9" customFormat="1" ht="14" customHeight="1" x14ac:dyDescent="0.2"/>
    <row r="217" spans="2:5" s="9" customFormat="1" ht="20" customHeight="1" x14ac:dyDescent="0.2">
      <c r="B217" s="608" t="s">
        <v>1390</v>
      </c>
      <c r="C217" s="609"/>
      <c r="D217" s="609"/>
      <c r="E217" s="609"/>
    </row>
    <row r="218" spans="2:5" s="9" customFormat="1" ht="20" customHeight="1" x14ac:dyDescent="0.2"/>
    <row r="219" spans="2:5" s="9" customFormat="1" ht="20" customHeight="1" x14ac:dyDescent="0.2">
      <c r="B219" s="608" t="s">
        <v>2467</v>
      </c>
      <c r="C219" s="609"/>
      <c r="D219" s="609"/>
      <c r="E219" s="609"/>
    </row>
    <row r="220" spans="2:5" s="9" customFormat="1" ht="20" customHeight="1" x14ac:dyDescent="0.2"/>
    <row r="221" spans="2:5" s="9" customFormat="1" ht="20" customHeight="1" x14ac:dyDescent="0.2">
      <c r="B221" s="609" t="s">
        <v>2468</v>
      </c>
      <c r="C221" s="609"/>
      <c r="D221" s="609"/>
      <c r="E221" s="609"/>
    </row>
    <row r="222" spans="2:5" s="9" customFormat="1" ht="20" customHeight="1" x14ac:dyDescent="0.2">
      <c r="B222" s="62" t="s">
        <v>254</v>
      </c>
      <c r="C222" s="62" t="s">
        <v>255</v>
      </c>
      <c r="D222" s="161" t="s">
        <v>20</v>
      </c>
      <c r="E222" s="62" t="s">
        <v>21</v>
      </c>
    </row>
    <row r="223" spans="2:5" s="9" customFormat="1" ht="20" customHeight="1" x14ac:dyDescent="0.2">
      <c r="B223" s="4" t="s">
        <v>359</v>
      </c>
      <c r="C223" s="65" t="str">
        <f>sample_wld_vc_fqdn</f>
        <v>sfo-w01-vc01.sfo.rainpole.io</v>
      </c>
      <c r="D223" s="8" t="str">
        <f>wld_vc_fqdn</f>
        <v>Value Missing</v>
      </c>
      <c r="E223" s="42"/>
    </row>
    <row r="224" spans="2:5" s="9" customFormat="1" ht="16" customHeight="1" x14ac:dyDescent="0.2">
      <c r="B224" s="4" t="s">
        <v>2389</v>
      </c>
      <c r="C224" s="65" t="str">
        <f>sample_wld_vrms_vm_folder</f>
        <v>sfo-w01-fd-vrms</v>
      </c>
      <c r="D224" s="8" t="str">
        <f>wld_vrms_vm_folder</f>
        <v>Value Missing</v>
      </c>
      <c r="E224" s="42"/>
    </row>
    <row r="225" spans="2:5" s="9" customFormat="1" ht="34" customHeight="1" x14ac:dyDescent="0.2"/>
    <row r="226" spans="2:5" s="9" customFormat="1" ht="20" customHeight="1" x14ac:dyDescent="0.2">
      <c r="B226" s="609" t="s">
        <v>2469</v>
      </c>
      <c r="C226" s="609"/>
      <c r="D226" s="609"/>
      <c r="E226" s="609"/>
    </row>
    <row r="227" spans="2:5" s="9" customFormat="1" ht="20" customHeight="1" x14ac:dyDescent="0.2">
      <c r="B227" s="62" t="s">
        <v>254</v>
      </c>
      <c r="C227" s="62" t="s">
        <v>255</v>
      </c>
      <c r="D227" s="161" t="s">
        <v>20</v>
      </c>
      <c r="E227" s="62" t="s">
        <v>21</v>
      </c>
    </row>
    <row r="228" spans="2:5" s="9" customFormat="1" ht="20" customHeight="1" x14ac:dyDescent="0.2">
      <c r="B228" s="4" t="s">
        <v>359</v>
      </c>
      <c r="C228" s="65" t="str">
        <f>sample_wld_vc_fqdn</f>
        <v>sfo-w01-vc01.sfo.rainpole.io</v>
      </c>
      <c r="D228" s="8" t="str">
        <f>wld_vc_fqdn</f>
        <v>Value Missing</v>
      </c>
      <c r="E228" s="42"/>
    </row>
    <row r="229" spans="2:5" s="9" customFormat="1" ht="20" customHeight="1" x14ac:dyDescent="0.2">
      <c r="B229" s="28" t="s">
        <v>646</v>
      </c>
      <c r="C229" s="65" t="str">
        <f>sample_wld_cl01_cluster</f>
        <v>sfo-w01-cl01</v>
      </c>
      <c r="D229" s="8" t="str">
        <f>wld_cl01_cluster</f>
        <v>Value Missing</v>
      </c>
      <c r="E229" s="42"/>
    </row>
    <row r="230" spans="2:5" s="9" customFormat="1" ht="20" customHeight="1" x14ac:dyDescent="0.2">
      <c r="B230" s="28" t="s">
        <v>2470</v>
      </c>
      <c r="C230" s="65" t="str">
        <f>sample_wld_vrms_hostname</f>
        <v>sfo-w01-vrms01</v>
      </c>
      <c r="D230" s="8" t="str">
        <f>wld_vrms_hostname</f>
        <v>Value Missing</v>
      </c>
      <c r="E230" s="42"/>
    </row>
    <row r="231" spans="2:5" s="9" customFormat="1" ht="20" customHeight="1" x14ac:dyDescent="0.2">
      <c r="B231" s="28" t="s">
        <v>2471</v>
      </c>
      <c r="C231" s="65" t="str">
        <f>sample_wld_vrms_vm_folder</f>
        <v>sfo-w01-fd-vrms</v>
      </c>
      <c r="D231" s="8" t="str">
        <f>wld_vrms_vm_folder</f>
        <v>Value Missing</v>
      </c>
      <c r="E231" s="42"/>
    </row>
    <row r="232" spans="2:5" s="9" customFormat="1" ht="20" customHeight="1" x14ac:dyDescent="0.2">
      <c r="B232" s="28" t="s">
        <v>2472</v>
      </c>
      <c r="C232" s="65" t="str">
        <f>sample_wld_cl01_cluster</f>
        <v>sfo-w01-cl01</v>
      </c>
      <c r="D232" s="8" t="str">
        <f>wld_cl01_cluster</f>
        <v>Value Missing</v>
      </c>
      <c r="E232" s="42"/>
    </row>
    <row r="233" spans="2:5" s="9" customFormat="1" ht="17" x14ac:dyDescent="0.2">
      <c r="B233" s="28" t="s">
        <v>102</v>
      </c>
      <c r="C233" s="65" t="str">
        <f>sample_wld_cl01_vsan_datastore</f>
        <v>sfo-w01-sfo-w01-cl01-vsan01</v>
      </c>
      <c r="D233" s="8" t="str">
        <f>wld_cl01_vsan_datastore</f>
        <v>Value Missing</v>
      </c>
      <c r="E233" s="42"/>
    </row>
    <row r="234" spans="2:5" s="9" customFormat="1" ht="34" customHeight="1" x14ac:dyDescent="0.2">
      <c r="B234" s="4" t="s">
        <v>2473</v>
      </c>
      <c r="C234" s="65" t="str">
        <f>sample_wld_cl01_az1_mgmt_pg</f>
        <v>sfo-w01-cl01-vds01-pg-esx-mgmt</v>
      </c>
      <c r="D234" s="8" t="str">
        <f>wld_cl01_az1_mgmt_pg</f>
        <v>Value Missing</v>
      </c>
      <c r="E234" s="42"/>
    </row>
    <row r="235" spans="2:5" s="9" customFormat="1" ht="16" customHeight="1" x14ac:dyDescent="0.2">
      <c r="B235" s="4" t="s">
        <v>2474</v>
      </c>
      <c r="C235" s="65" t="str">
        <f>sample_wld_vrms_root_password</f>
        <v>VMw@re1!</v>
      </c>
      <c r="D235" s="8" t="str">
        <f>wld_vrms_root_password</f>
        <v>Value Missing</v>
      </c>
      <c r="E235" s="42"/>
    </row>
    <row r="236" spans="2:5" s="9" customFormat="1" ht="34" customHeight="1" x14ac:dyDescent="0.2">
      <c r="B236" s="28" t="s">
        <v>2475</v>
      </c>
      <c r="C236" s="65" t="str">
        <f>sample_wld_vrms_admin_password</f>
        <v>VMw@re1!</v>
      </c>
      <c r="D236" s="8" t="str">
        <f>wld_vrms_admin_password</f>
        <v>Value Missing</v>
      </c>
      <c r="E236" s="42"/>
    </row>
    <row r="237" spans="2:5" s="9" customFormat="1" ht="16" customHeight="1" x14ac:dyDescent="0.2">
      <c r="B237" s="28" t="s">
        <v>292</v>
      </c>
      <c r="C237" s="65" t="str">
        <f>sample_region_ntp1_server</f>
        <v>ntp0.sfo.rainpole.io</v>
      </c>
      <c r="D237" s="8" t="str">
        <f>region_ntp1_server</f>
        <v>Value Missing</v>
      </c>
      <c r="E237" s="42"/>
    </row>
    <row r="238" spans="2:5" s="9" customFormat="1" ht="34" customHeight="1" x14ac:dyDescent="0.2">
      <c r="B238" s="4" t="s">
        <v>295</v>
      </c>
      <c r="C238" s="65" t="str">
        <f>CONCATENATE(sample_wld_vrms_hostname,".",sample_child_dns_zone)</f>
        <v>sfo-w01-vrms01.sfo.rainpole.io</v>
      </c>
      <c r="D238" s="8" t="str">
        <f>wld_vrms_fqdn</f>
        <v>Value Missing.Value Missing</v>
      </c>
      <c r="E238" s="42"/>
    </row>
    <row r="239" spans="2:5" s="9" customFormat="1" ht="20" customHeight="1" x14ac:dyDescent="0.2">
      <c r="B239" s="4" t="s">
        <v>247</v>
      </c>
      <c r="C239" s="65"/>
      <c r="D239" s="8" t="str">
        <f>wld_az1_mgmt_vm_gateway_ip</f>
        <v>Value Missing</v>
      </c>
      <c r="E239" s="42"/>
    </row>
    <row r="240" spans="2:5" s="9" customFormat="1" ht="20" customHeight="1" x14ac:dyDescent="0.2">
      <c r="B240" s="28" t="s">
        <v>563</v>
      </c>
      <c r="C240" s="65" t="str">
        <f>sample_child_dns_zone</f>
        <v>sfo.rainpole.io</v>
      </c>
      <c r="D240" s="8" t="str">
        <f>child_dns_zone</f>
        <v>Value Missing</v>
      </c>
      <c r="E240" s="42"/>
    </row>
    <row r="241" spans="2:5" s="9" customFormat="1" ht="20" customHeight="1" x14ac:dyDescent="0.2">
      <c r="B241" s="28" t="s">
        <v>2476</v>
      </c>
      <c r="C241" s="65" t="str">
        <f>sample_child_dns_zone</f>
        <v>sfo.rainpole.io</v>
      </c>
      <c r="D241" s="8" t="str">
        <f>child_dns_zone</f>
        <v>Value Missing</v>
      </c>
      <c r="E241" s="42"/>
    </row>
    <row r="242" spans="2:5" s="9" customFormat="1" ht="16" customHeight="1" x14ac:dyDescent="0.2">
      <c r="B242" s="28" t="s">
        <v>2477</v>
      </c>
      <c r="C242" s="65" t="str">
        <f>CONCATENATE(sample_region_dns1_ip,",",sample_region_dns2_ip)</f>
        <v>10.11.10.4,10.11.10.5</v>
      </c>
      <c r="D242" s="8" t="str">
        <f>CONCATENATE(region_dns1_ip,",",region_dns2_ip)</f>
        <v>Value Missing,Value Missing</v>
      </c>
      <c r="E242" s="42"/>
    </row>
    <row r="243" spans="2:5" s="9" customFormat="1" ht="34" customHeight="1" x14ac:dyDescent="0.2">
      <c r="B243" s="28" t="s">
        <v>2478</v>
      </c>
      <c r="C243" s="65" t="str">
        <f>sample_wld_vrms_mgmt_ip</f>
        <v>10.13.10.125</v>
      </c>
      <c r="D243" s="8" t="str">
        <f>wld_vrms_mgmt_ip</f>
        <v>Value Missing</v>
      </c>
      <c r="E243" s="42"/>
    </row>
    <row r="244" spans="2:5" s="9" customFormat="1" ht="20" customHeight="1" x14ac:dyDescent="0.2">
      <c r="B244" s="28" t="s">
        <v>2479</v>
      </c>
      <c r="C244" s="65"/>
      <c r="D244" s="8" t="str">
        <f>IF(wld_az1_mgmt_cidr="Value Missing","Value Missing",IF(wld_az1_mgmt_cidr="Not Required","Not Required",INT(RIGHT(wld_az1_mgmt_cidr,LEN(wld_az1_mgmt_cidr)-FIND("/",wld_az1_mgmt_cidr)))))</f>
        <v>Value Missing</v>
      </c>
      <c r="E244" s="42"/>
    </row>
    <row r="245" spans="2:5" s="9" customFormat="1" ht="20" customHeight="1" x14ac:dyDescent="0.2"/>
    <row r="246" spans="2:5" s="9" customFormat="1" ht="20" customHeight="1" x14ac:dyDescent="0.2">
      <c r="B246" s="609" t="s">
        <v>2480</v>
      </c>
      <c r="C246" s="609"/>
      <c r="D246" s="609"/>
      <c r="E246" s="609"/>
    </row>
    <row r="247" spans="2:5" s="9" customFormat="1" ht="20" customHeight="1" x14ac:dyDescent="0.2">
      <c r="B247" s="62" t="s">
        <v>254</v>
      </c>
      <c r="C247" s="62" t="s">
        <v>255</v>
      </c>
      <c r="D247" s="161" t="s">
        <v>20</v>
      </c>
      <c r="E247" s="62" t="s">
        <v>21</v>
      </c>
    </row>
    <row r="248" spans="2:5" s="9" customFormat="1" ht="20" customHeight="1" x14ac:dyDescent="0.2">
      <c r="B248" s="4" t="s">
        <v>2481</v>
      </c>
      <c r="C248" s="65" t="str">
        <f>CONCATENATE(sample_wld_vrms_hostname,".",sample_child_dns_zone)</f>
        <v>sfo-w01-vrms01.sfo.rainpole.io</v>
      </c>
      <c r="D248" s="8" t="str">
        <f>wld_vrms_fqdn</f>
        <v>Value Missing.Value Missing</v>
      </c>
      <c r="E248" s="42"/>
    </row>
    <row r="249" spans="2:5" s="9" customFormat="1" ht="20" customHeight="1" x14ac:dyDescent="0.2">
      <c r="B249" s="4" t="s">
        <v>2482</v>
      </c>
      <c r="C249" s="65" t="str">
        <f>sample_wld_vrms_p12_password</f>
        <v>VMw@re1!</v>
      </c>
      <c r="D249" s="8" t="str">
        <f>wld_vrms_p12_password</f>
        <v>Value Missing</v>
      </c>
      <c r="E249" s="42"/>
    </row>
    <row r="250" spans="2:5" s="9" customFormat="1" ht="20" customHeight="1" x14ac:dyDescent="0.2"/>
    <row r="251" spans="2:5" s="9" customFormat="1" ht="20" customHeight="1" x14ac:dyDescent="0.2">
      <c r="B251" s="609" t="s">
        <v>2483</v>
      </c>
      <c r="C251" s="609"/>
      <c r="D251" s="609"/>
      <c r="E251" s="609"/>
    </row>
    <row r="252" spans="2:5" s="9" customFormat="1" ht="20" customHeight="1" x14ac:dyDescent="0.2">
      <c r="B252" s="62" t="s">
        <v>254</v>
      </c>
      <c r="C252" s="62" t="s">
        <v>255</v>
      </c>
      <c r="D252" s="161" t="s">
        <v>20</v>
      </c>
      <c r="E252" s="62" t="s">
        <v>21</v>
      </c>
    </row>
    <row r="253" spans="2:5" s="9" customFormat="1" ht="20" customHeight="1" x14ac:dyDescent="0.2">
      <c r="B253" s="4" t="s">
        <v>2481</v>
      </c>
      <c r="C253" s="65" t="str">
        <f>CONCATENATE(sample_wld_vrms_hostname,".",sample_child_dns_zone)</f>
        <v>sfo-w01-vrms01.sfo.rainpole.io</v>
      </c>
      <c r="D253" s="8" t="str">
        <f>wld_vrms_fqdn</f>
        <v>Value Missing.Value Missing</v>
      </c>
      <c r="E253" s="42"/>
    </row>
    <row r="254" spans="2:5" s="9" customFormat="1" ht="20" customHeight="1" x14ac:dyDescent="0.2">
      <c r="B254" s="28" t="s">
        <v>2484</v>
      </c>
      <c r="C254" s="65" t="str">
        <f>sample_wld_vc_fqdn</f>
        <v>sfo-w01-vc01.sfo.rainpole.io</v>
      </c>
      <c r="D254" s="8" t="str">
        <f>wld_vc_fqdn</f>
        <v>Value Missing</v>
      </c>
      <c r="E254" s="42"/>
    </row>
    <row r="255" spans="2:5" s="9" customFormat="1" ht="20" customHeight="1" x14ac:dyDescent="0.2">
      <c r="B255" s="28" t="s">
        <v>79</v>
      </c>
      <c r="C255" s="65" t="s">
        <v>1565</v>
      </c>
      <c r="D255" s="8" t="str">
        <f>C255</f>
        <v>administrator@vsphere.local</v>
      </c>
      <c r="E255" s="42"/>
    </row>
    <row r="256" spans="2:5" s="9" customFormat="1" ht="20" customHeight="1" x14ac:dyDescent="0.2">
      <c r="B256" s="28" t="s">
        <v>30</v>
      </c>
      <c r="C256" s="65" t="str">
        <f>sample_administrator_vsphere_local_password</f>
        <v>VMw@re1!VMw@re1!</v>
      </c>
      <c r="D256" s="8" t="str">
        <f>administrator_vsphere_local_password</f>
        <v>Value Missing</v>
      </c>
      <c r="E256" s="42"/>
    </row>
    <row r="257" spans="2:5" s="9" customFormat="1" ht="20" customHeight="1" x14ac:dyDescent="0.2">
      <c r="B257" s="28" t="s">
        <v>1415</v>
      </c>
      <c r="C257" s="65" t="str">
        <f>sample_wld_vc_fqdn</f>
        <v>sfo-w01-vc01.sfo.rainpole.io</v>
      </c>
      <c r="D257" s="8" t="str">
        <f>wld_vc_fqdn</f>
        <v>Value Missing</v>
      </c>
      <c r="E257" s="42"/>
    </row>
    <row r="258" spans="2:5" s="9" customFormat="1" ht="20" customHeight="1" x14ac:dyDescent="0.2">
      <c r="B258" s="28" t="s">
        <v>2368</v>
      </c>
      <c r="C258" s="65" t="str">
        <f>sample_wld_vrms_site_name</f>
        <v>SFO-W01</v>
      </c>
      <c r="D258" s="8" t="str">
        <f>wld_vrms_site_name</f>
        <v>Value Missing</v>
      </c>
      <c r="E258" s="42"/>
    </row>
    <row r="259" spans="2:5" s="9" customFormat="1" ht="20" customHeight="1" x14ac:dyDescent="0.2">
      <c r="B259" s="4" t="s">
        <v>2485</v>
      </c>
      <c r="C259" s="65" t="str">
        <f>sample_wld_vrms_admin_email</f>
        <v>vrms-administrator@rainpole.io</v>
      </c>
      <c r="D259" s="8" t="str">
        <f>wld_vrms_admin_email</f>
        <v>Value Missing</v>
      </c>
      <c r="E259" s="42"/>
    </row>
    <row r="260" spans="2:5" s="9" customFormat="1" ht="20" customHeight="1" x14ac:dyDescent="0.2">
      <c r="B260" s="4" t="s">
        <v>2486</v>
      </c>
      <c r="C260" s="65" t="str">
        <f>CONCATENATE(sample_wld_vrms_hostname,".",sample_child_dns_zone)</f>
        <v>sfo-w01-vrms01.sfo.rainpole.io</v>
      </c>
      <c r="D260" s="8" t="str">
        <f>wld_vrms_fqdn</f>
        <v>Value Missing.Value Missing</v>
      </c>
      <c r="E260" s="42"/>
    </row>
    <row r="261" spans="2:5" s="9" customFormat="1" ht="20" customHeight="1" x14ac:dyDescent="0.2"/>
    <row r="262" spans="2:5" s="9" customFormat="1" ht="16" customHeight="1" x14ac:dyDescent="0.2">
      <c r="B262" s="609" t="s">
        <v>2487</v>
      </c>
      <c r="C262" s="609"/>
      <c r="D262" s="609"/>
      <c r="E262" s="609"/>
    </row>
    <row r="263" spans="2:5" s="9" customFormat="1" ht="34" customHeight="1" x14ac:dyDescent="0.2">
      <c r="B263" s="62" t="s">
        <v>254</v>
      </c>
      <c r="C263" s="62" t="s">
        <v>255</v>
      </c>
      <c r="D263" s="161" t="s">
        <v>20</v>
      </c>
      <c r="E263" s="62" t="s">
        <v>21</v>
      </c>
    </row>
    <row r="264" spans="2:5" s="9" customFormat="1" ht="20" customHeight="1" x14ac:dyDescent="0.2">
      <c r="B264" s="28" t="s">
        <v>359</v>
      </c>
      <c r="C264" s="65" t="str">
        <f>sample_wld_vc_fqdn</f>
        <v>sfo-w01-vc01.sfo.rainpole.io</v>
      </c>
      <c r="D264" s="8" t="str">
        <f>wld_vc_fqdn</f>
        <v>Value Missing</v>
      </c>
      <c r="E264" s="42"/>
    </row>
    <row r="265" spans="2:5" s="9" customFormat="1" ht="20" customHeight="1" x14ac:dyDescent="0.2">
      <c r="B265" s="28" t="s">
        <v>2488</v>
      </c>
      <c r="C265" s="65" t="str">
        <f>sample_mgmt_cl01_vds01_name</f>
        <v>sfo-m01-cl01-vds01</v>
      </c>
      <c r="D265" s="8" t="str">
        <f>mgmt_cl01_vds01_name</f>
        <v>Value Missing</v>
      </c>
      <c r="E265" s="42"/>
    </row>
    <row r="266" spans="2:5" s="9" customFormat="1" ht="20" customHeight="1" x14ac:dyDescent="0.2">
      <c r="B266" s="550" t="s">
        <v>2489</v>
      </c>
      <c r="C266" s="551"/>
      <c r="D266" s="551"/>
      <c r="E266" s="552"/>
    </row>
    <row r="267" spans="2:5" s="9" customFormat="1" ht="16" customHeight="1" x14ac:dyDescent="0.2">
      <c r="B267" s="28" t="s">
        <v>254</v>
      </c>
      <c r="D267" s="8" t="str">
        <f>wld_vrms_pg</f>
        <v>Value Missing</v>
      </c>
      <c r="E267" s="42"/>
    </row>
    <row r="268" spans="2:5" s="9" customFormat="1" ht="34" customHeight="1" x14ac:dyDescent="0.2">
      <c r="B268" s="253" t="s">
        <v>85</v>
      </c>
      <c r="D268" s="66"/>
      <c r="E268" s="254"/>
    </row>
    <row r="269" spans="2:5" s="9" customFormat="1" ht="20" customHeight="1" x14ac:dyDescent="0.2">
      <c r="B269" s="253" t="s">
        <v>182</v>
      </c>
      <c r="C269" s="103" t="str">
        <f>CONCATENATE(prefix_wld_az1_cidr,"9.1")</f>
        <v>10.13.9.1</v>
      </c>
      <c r="D269" s="66"/>
      <c r="E269" s="65" t="s">
        <v>126</v>
      </c>
    </row>
    <row r="270" spans="2:5" s="9" customFormat="1" ht="20" customHeight="1" x14ac:dyDescent="0.2">
      <c r="B270" s="253" t="s">
        <v>183</v>
      </c>
      <c r="C270" s="103" t="str">
        <f>CONCATENATE(prefix_wld_az1_cidr,"9.0/24")</f>
        <v>10.13.9.0/24</v>
      </c>
      <c r="D270" s="66"/>
      <c r="E270" s="254"/>
    </row>
    <row r="271" spans="2:5" s="9" customFormat="1" ht="20" customHeight="1" x14ac:dyDescent="0.2">
      <c r="B271" s="30" t="s">
        <v>157</v>
      </c>
      <c r="C271" s="103">
        <v>9000</v>
      </c>
      <c r="D271" s="66"/>
      <c r="E271" s="254"/>
    </row>
    <row r="272" spans="2:5" s="9" customFormat="1" ht="20" customHeight="1" x14ac:dyDescent="0.2"/>
    <row r="273" spans="2:5" s="9" customFormat="1" ht="20" customHeight="1" x14ac:dyDescent="0.2">
      <c r="B273" s="609" t="s">
        <v>2490</v>
      </c>
      <c r="C273" s="609"/>
      <c r="D273" s="609"/>
      <c r="E273" s="609"/>
    </row>
    <row r="274" spans="2:5" s="9" customFormat="1" ht="20" customHeight="1" x14ac:dyDescent="0.2">
      <c r="B274" s="62" t="s">
        <v>254</v>
      </c>
      <c r="C274" s="62" t="s">
        <v>255</v>
      </c>
      <c r="D274" s="161" t="s">
        <v>20</v>
      </c>
      <c r="E274" s="62" t="s">
        <v>21</v>
      </c>
    </row>
    <row r="275" spans="2:5" s="9" customFormat="1" ht="20" customHeight="1" x14ac:dyDescent="0.2">
      <c r="B275" s="28" t="s">
        <v>359</v>
      </c>
      <c r="C275" s="65" t="str">
        <f>sample_wld_vc_fqdn</f>
        <v>sfo-w01-vc01.sfo.rainpole.io</v>
      </c>
      <c r="D275" s="8" t="str">
        <f>wld_vc_fqdn</f>
        <v>Value Missing</v>
      </c>
      <c r="E275" s="42"/>
    </row>
    <row r="276" spans="2:5" s="9" customFormat="1" ht="20" customHeight="1" x14ac:dyDescent="0.2">
      <c r="B276" s="28" t="s">
        <v>646</v>
      </c>
      <c r="C276" s="65" t="str">
        <f>sample_wld_cl01_cluster</f>
        <v>sfo-w01-cl01</v>
      </c>
      <c r="D276" s="8" t="str">
        <f>wld_cl01_cluster</f>
        <v>Value Missing</v>
      </c>
      <c r="E276" s="42"/>
    </row>
    <row r="277" spans="2:5" s="9" customFormat="1" ht="20" customHeight="1" x14ac:dyDescent="0.2">
      <c r="B277" s="28" t="s">
        <v>2491</v>
      </c>
      <c r="C277" s="65" t="str">
        <f>sample_wld_vrms_hostname</f>
        <v>sfo-w01-vrms01</v>
      </c>
      <c r="D277" s="8" t="str">
        <f>wld_vrms_hostname</f>
        <v>Value Missing</v>
      </c>
      <c r="E277" s="42"/>
    </row>
    <row r="278" spans="2:5" s="9" customFormat="1" ht="16" customHeight="1" x14ac:dyDescent="0.2">
      <c r="B278" s="28" t="s">
        <v>2492</v>
      </c>
      <c r="C278" s="65" t="str">
        <f>sample_wld_vrms_pg</f>
        <v>sfo-w01-cl01-vds01-pg-vrms</v>
      </c>
      <c r="D278" s="8" t="str">
        <f>wld_vrms_pg</f>
        <v>Value Missing</v>
      </c>
      <c r="E278" s="42"/>
    </row>
    <row r="279" spans="2:5" s="9" customFormat="1" ht="34" customHeight="1" x14ac:dyDescent="0.2">
      <c r="B279" s="28" t="s">
        <v>2493</v>
      </c>
      <c r="C279" s="65" t="str">
        <f>CONCATENATE(sample_wld_vrms_hostname,".",sample_child_dns_zone)</f>
        <v>sfo-w01-vrms01.sfo.rainpole.io</v>
      </c>
      <c r="D279" s="8" t="str">
        <f>wld_vrms_fqdn</f>
        <v>Value Missing.Value Missing</v>
      </c>
      <c r="E279" s="42"/>
    </row>
    <row r="280" spans="2:5" s="9" customFormat="1" ht="20" customHeight="1" x14ac:dyDescent="0.2">
      <c r="B280" s="28" t="s">
        <v>2494</v>
      </c>
      <c r="C280" s="65" t="str">
        <f>sample_wld_vrms_vrms_ip</f>
        <v>10.13.16.125</v>
      </c>
      <c r="D280" s="8" t="str">
        <f>wld_vrms_vrms_ip</f>
        <v>Value Missing</v>
      </c>
      <c r="E280" s="42"/>
    </row>
    <row r="281" spans="2:5" s="9" customFormat="1" ht="20" customHeight="1" x14ac:dyDescent="0.2">
      <c r="B281" s="28" t="s">
        <v>2495</v>
      </c>
      <c r="C281" s="65">
        <f>INT(RIGHT(sample_wld_az1_vrms_cidr,LEN(sample_wld_az1_vrms_cidr)-FIND("/",sample_wld_az1_vrms_cidr)))</f>
        <v>24</v>
      </c>
      <c r="D281" s="8" t="str">
        <f>IF(wld_az1_mgmt_cidr="Value Missing","Value Missing",IF(wld_az1_mgmt_cidr="Not Required","Not Required",INT(RIGHT(wld_az1_mgmt_cidr,LEN(wld_az1_mgmt_cidr)-FIND("/",wld_az1_mgmt_cidr)))))</f>
        <v>Value Missing</v>
      </c>
      <c r="E281" s="42"/>
    </row>
    <row r="282" spans="2:5" s="9" customFormat="1" ht="20" customHeight="1" x14ac:dyDescent="0.2">
      <c r="B282" s="4" t="s">
        <v>2496</v>
      </c>
      <c r="C282" s="65"/>
      <c r="D282" s="8" t="str">
        <f>wld_az1_mgmt_gateway_ip</f>
        <v>Value Missing</v>
      </c>
      <c r="E282" s="42"/>
    </row>
    <row r="283" spans="2:5" s="9" customFormat="1" ht="20" customHeight="1" x14ac:dyDescent="0.2">
      <c r="B283" s="4" t="s">
        <v>2497</v>
      </c>
      <c r="C283" s="65" t="str">
        <f>sample_wld_vrms_vrms_ip</f>
        <v>10.13.16.125</v>
      </c>
      <c r="D283" s="8" t="str">
        <f>wld_vrms_vrms_ip</f>
        <v>Value Missing</v>
      </c>
      <c r="E283" s="42"/>
    </row>
    <row r="284" spans="2:5" s="9" customFormat="1" ht="20" customHeight="1" x14ac:dyDescent="0.2">
      <c r="B284" s="28" t="s">
        <v>2498</v>
      </c>
      <c r="C284" s="65" t="str">
        <f>sample_wld_az1_vrms_gateway_ip</f>
        <v>10.13.9.1</v>
      </c>
      <c r="D284" s="8" t="str">
        <f>wld_az1_vrms_gateway_ip</f>
        <v>Value Missing</v>
      </c>
      <c r="E284" s="42"/>
    </row>
    <row r="285" spans="2:5" s="9" customFormat="1" ht="20" customHeight="1" x14ac:dyDescent="0.2">
      <c r="B285" s="28" t="s">
        <v>2499</v>
      </c>
      <c r="C285" s="65" t="str">
        <f>sample_wld_vrms_recovery_replication_cidr</f>
        <v>10.21.9.0/24</v>
      </c>
      <c r="D285" s="8" t="str">
        <f t="array" ref="D285">wld_vrms_recovery_replication_cidr</f>
        <v>Value Missing</v>
      </c>
      <c r="E285" s="42"/>
    </row>
    <row r="286" spans="2:5" s="9" customFormat="1" ht="20" customHeight="1" x14ac:dyDescent="0.2"/>
    <row r="287" spans="2:5" s="9" customFormat="1" ht="20" customHeight="1" x14ac:dyDescent="0.2">
      <c r="B287" s="609" t="s">
        <v>2500</v>
      </c>
      <c r="C287" s="609"/>
      <c r="D287" s="609"/>
      <c r="E287" s="609"/>
    </row>
    <row r="288" spans="2:5" s="9" customFormat="1" ht="20" customHeight="1" x14ac:dyDescent="0.2">
      <c r="B288" s="62" t="s">
        <v>254</v>
      </c>
      <c r="C288" s="62" t="s">
        <v>255</v>
      </c>
      <c r="D288" s="161" t="s">
        <v>20</v>
      </c>
      <c r="E288" s="62" t="s">
        <v>21</v>
      </c>
    </row>
    <row r="289" spans="2:5" s="9" customFormat="1" ht="20" customHeight="1" x14ac:dyDescent="0.2">
      <c r="B289" s="28" t="s">
        <v>359</v>
      </c>
      <c r="C289" s="65" t="str">
        <f>sample_wld_vc_fqdn</f>
        <v>sfo-w01-vc01.sfo.rainpole.io</v>
      </c>
      <c r="D289" s="8" t="str">
        <f>wld_vc_fqdn</f>
        <v>Value Missing</v>
      </c>
      <c r="E289" s="42"/>
    </row>
    <row r="290" spans="2:5" s="9" customFormat="1" ht="16" customHeight="1" x14ac:dyDescent="0.2">
      <c r="B290" s="28" t="s">
        <v>646</v>
      </c>
      <c r="C290" s="65" t="str">
        <f>sample_wld_cl01_cluster</f>
        <v>sfo-w01-cl01</v>
      </c>
      <c r="D290" s="8" t="str">
        <f>wld_cl01_cluster</f>
        <v>Value Missing</v>
      </c>
      <c r="E290" s="42"/>
    </row>
    <row r="291" spans="2:5" s="9" customFormat="1" ht="34" customHeight="1" x14ac:dyDescent="0.2">
      <c r="B291" s="4" t="s">
        <v>561</v>
      </c>
      <c r="C291" s="65" t="str">
        <f>sample_wld_vrms_pg</f>
        <v>sfo-w01-cl01-vds01-pg-vrms</v>
      </c>
      <c r="D291" s="8" t="str">
        <f>wld_vrms_pg</f>
        <v>Value Missing</v>
      </c>
      <c r="E291" s="42"/>
    </row>
    <row r="292" spans="2:5" s="9" customFormat="1" ht="20" customHeight="1" x14ac:dyDescent="0.2">
      <c r="B292" s="649" t="s">
        <v>2501</v>
      </c>
      <c r="C292" s="650"/>
      <c r="D292" s="650"/>
      <c r="E292" s="651"/>
    </row>
    <row r="293" spans="2:5" s="9" customFormat="1" ht="20" customHeight="1" x14ac:dyDescent="0.2">
      <c r="B293" s="28" t="str">
        <f t="array" ref="B293:B308">wld_az1_host_fqdns</f>
        <v>Value Missing</v>
      </c>
      <c r="C293" s="109" t="str">
        <f>CONCATENATE(prefix_wld_az1_cidr,"9.101")</f>
        <v>10.13.9.101</v>
      </c>
      <c r="D293" s="66"/>
      <c r="E293" s="121" t="s">
        <v>2502</v>
      </c>
    </row>
    <row r="294" spans="2:5" s="9" customFormat="1" ht="20" customHeight="1" x14ac:dyDescent="0.2">
      <c r="B294" s="28" t="str">
        <v>Value Missing</v>
      </c>
      <c r="C294" s="109" t="str">
        <f>CONCATENATE(prefix_wld_az1_cidr,"9.102")</f>
        <v>10.13.9.102</v>
      </c>
      <c r="D294" s="66"/>
      <c r="E294" s="121" t="s">
        <v>2503</v>
      </c>
    </row>
    <row r="295" spans="2:5" s="9" customFormat="1" ht="20" customHeight="1" x14ac:dyDescent="0.2">
      <c r="B295" s="28" t="str">
        <v>Value Missing</v>
      </c>
      <c r="C295" s="109" t="str">
        <f>CONCATENATE(prefix_wld_az1_cidr,"9.103")</f>
        <v>10.13.9.103</v>
      </c>
      <c r="D295" s="66"/>
      <c r="E295" s="121" t="s">
        <v>2504</v>
      </c>
    </row>
    <row r="296" spans="2:5" s="9" customFormat="1" ht="20" customHeight="1" x14ac:dyDescent="0.2">
      <c r="B296" s="28" t="str">
        <v>Value Missing</v>
      </c>
      <c r="C296" s="109" t="str">
        <f>CONCATENATE(prefix_wld_az1_cidr,"9.104")</f>
        <v>10.13.9.104</v>
      </c>
      <c r="D296" s="66"/>
      <c r="E296" s="121" t="s">
        <v>2505</v>
      </c>
    </row>
    <row r="297" spans="2:5" s="9" customFormat="1" ht="20" customHeight="1" x14ac:dyDescent="0.2">
      <c r="B297" s="28" t="str">
        <v>Value Missing</v>
      </c>
      <c r="C297" s="109" t="str">
        <f>CONCATENATE(prefix_wld_az1_cidr,"9.105")</f>
        <v>10.13.9.105</v>
      </c>
      <c r="D297" s="66"/>
      <c r="E297" s="121" t="s">
        <v>2506</v>
      </c>
    </row>
    <row r="298" spans="2:5" s="9" customFormat="1" ht="20" customHeight="1" x14ac:dyDescent="0.2">
      <c r="B298" s="28" t="str">
        <v>Value Missing</v>
      </c>
      <c r="C298" s="109" t="str">
        <f>CONCATENATE(prefix_wld_az1_cidr,"9.106")</f>
        <v>10.13.9.106</v>
      </c>
      <c r="D298" s="66"/>
      <c r="E298" s="121" t="s">
        <v>2507</v>
      </c>
    </row>
    <row r="299" spans="2:5" s="9" customFormat="1" ht="20" customHeight="1" x14ac:dyDescent="0.2">
      <c r="B299" s="4" t="str">
        <v>Value Missing</v>
      </c>
      <c r="C299" s="109" t="str">
        <f>CONCATENATE(prefix_wld_az1_cidr,"9.107")</f>
        <v>10.13.9.107</v>
      </c>
      <c r="D299" s="66"/>
      <c r="E299" s="121" t="s">
        <v>2508</v>
      </c>
    </row>
    <row r="300" spans="2:5" s="9" customFormat="1" ht="20" customHeight="1" x14ac:dyDescent="0.2">
      <c r="B300" s="4" t="str">
        <v>Value Missing</v>
      </c>
      <c r="C300" s="109" t="str">
        <f>CONCATENATE(prefix_wld_az1_cidr,"9.108")</f>
        <v>10.13.9.108</v>
      </c>
      <c r="D300" s="66"/>
      <c r="E300" s="121" t="s">
        <v>2509</v>
      </c>
    </row>
    <row r="301" spans="2:5" s="9" customFormat="1" ht="20" customHeight="1" x14ac:dyDescent="0.2">
      <c r="B301" s="4" t="str">
        <v>Value Missing</v>
      </c>
      <c r="C301" s="109" t="str">
        <f>CONCATENATE(prefix_wld_az1_cidr,"9.109")</f>
        <v>10.13.9.109</v>
      </c>
      <c r="D301" s="66"/>
      <c r="E301" s="121" t="s">
        <v>2510</v>
      </c>
    </row>
    <row r="302" spans="2:5" s="9" customFormat="1" ht="20" customHeight="1" x14ac:dyDescent="0.2">
      <c r="B302" s="28" t="str">
        <v>Value Missing</v>
      </c>
      <c r="C302" s="109" t="str">
        <f>CONCATENATE(prefix_wld_az1_cidr,"9.110")</f>
        <v>10.13.9.110</v>
      </c>
      <c r="D302" s="66"/>
      <c r="E302" s="121" t="s">
        <v>2511</v>
      </c>
    </row>
    <row r="303" spans="2:5" s="9" customFormat="1" ht="20" customHeight="1" x14ac:dyDescent="0.2">
      <c r="B303" s="28" t="str">
        <v>Value Missing</v>
      </c>
      <c r="C303" s="109" t="str">
        <f>CONCATENATE(prefix_wld_az1_cidr,"9.111")</f>
        <v>10.13.9.111</v>
      </c>
      <c r="D303" s="66"/>
      <c r="E303" s="121" t="s">
        <v>2512</v>
      </c>
    </row>
    <row r="304" spans="2:5" s="9" customFormat="1" ht="16" customHeight="1" x14ac:dyDescent="0.2">
      <c r="B304" s="28" t="str">
        <v>Value Missing</v>
      </c>
      <c r="C304" s="109" t="str">
        <f>CONCATENATE(prefix_wld_az1_cidr,"9.112")</f>
        <v>10.13.9.112</v>
      </c>
      <c r="D304" s="66"/>
      <c r="E304" s="121" t="s">
        <v>2513</v>
      </c>
    </row>
    <row r="305" spans="2:5" s="9" customFormat="1" ht="34" customHeight="1" x14ac:dyDescent="0.2">
      <c r="B305" s="31" t="str">
        <v>Value Missing</v>
      </c>
      <c r="C305" s="109" t="str">
        <f>CONCATENATE(prefix_wld_az1_cidr,"9.113")</f>
        <v>10.13.9.113</v>
      </c>
      <c r="D305" s="66"/>
      <c r="E305" s="121" t="s">
        <v>2514</v>
      </c>
    </row>
    <row r="306" spans="2:5" s="9" customFormat="1" ht="20" customHeight="1" x14ac:dyDescent="0.2">
      <c r="B306" s="31" t="str">
        <v>Value Missing</v>
      </c>
      <c r="C306" s="109" t="str">
        <f>CONCATENATE(prefix_wld_az1_cidr,"9.114")</f>
        <v>10.13.9.114</v>
      </c>
      <c r="D306" s="66"/>
      <c r="E306" s="121" t="s">
        <v>2515</v>
      </c>
    </row>
    <row r="307" spans="2:5" s="9" customFormat="1" ht="20" customHeight="1" x14ac:dyDescent="0.2">
      <c r="B307" s="31" t="str">
        <v>Value Missing</v>
      </c>
      <c r="C307" s="109" t="str">
        <f>CONCATENATE(prefix_wld_az1_cidr,"9.115")</f>
        <v>10.13.9.115</v>
      </c>
      <c r="D307" s="66"/>
      <c r="E307" s="121" t="s">
        <v>2516</v>
      </c>
    </row>
    <row r="308" spans="2:5" s="9" customFormat="1" ht="20" customHeight="1" x14ac:dyDescent="0.2">
      <c r="B308" s="31" t="str">
        <v>Value Missing</v>
      </c>
      <c r="C308" s="109" t="str">
        <f>CONCATENATE(prefix_wld_az1_cidr,"9.116")</f>
        <v>10.13.9.116</v>
      </c>
      <c r="D308" s="66"/>
      <c r="E308" s="121" t="s">
        <v>2517</v>
      </c>
    </row>
    <row r="309" spans="2:5" s="9" customFormat="1" ht="20" customHeight="1" x14ac:dyDescent="0.2">
      <c r="B309" s="649" t="s">
        <v>2518</v>
      </c>
      <c r="C309" s="650"/>
      <c r="D309" s="650"/>
      <c r="E309" s="651"/>
    </row>
    <row r="310" spans="2:5" s="9" customFormat="1" ht="20" customHeight="1" x14ac:dyDescent="0.2">
      <c r="B310" s="28" t="str">
        <f t="array" ref="B310:B325">wld_az2_host_fqdns</f>
        <v>Value Missing</v>
      </c>
      <c r="C310" s="109" t="str">
        <f>CONCATENATE(prefix_wld_az2_cidr,"9.101")</f>
        <v>10.14.9.101</v>
      </c>
      <c r="D310" s="66"/>
      <c r="E310" s="121" t="s">
        <v>2502</v>
      </c>
    </row>
    <row r="311" spans="2:5" s="9" customFormat="1" ht="20" customHeight="1" x14ac:dyDescent="0.2">
      <c r="B311" s="28" t="str">
        <v>Value Missing</v>
      </c>
      <c r="C311" s="109" t="str">
        <f>CONCATENATE(prefix_wld_az2_cidr,"9.102")</f>
        <v>10.14.9.102</v>
      </c>
      <c r="D311" s="66"/>
      <c r="E311" s="121" t="s">
        <v>2503</v>
      </c>
    </row>
    <row r="312" spans="2:5" s="9" customFormat="1" ht="20" customHeight="1" x14ac:dyDescent="0.2">
      <c r="B312" s="28" t="str">
        <v>Value Missing</v>
      </c>
      <c r="C312" s="109" t="str">
        <f>CONCATENATE(prefix_wld_az2_cidr,"9.103")</f>
        <v>10.14.9.103</v>
      </c>
      <c r="D312" s="66"/>
      <c r="E312" s="121" t="s">
        <v>2504</v>
      </c>
    </row>
    <row r="313" spans="2:5" s="9" customFormat="1" ht="20" customHeight="1" x14ac:dyDescent="0.2">
      <c r="B313" s="28" t="str">
        <v>Value Missing</v>
      </c>
      <c r="C313" s="109" t="str">
        <f>CONCATENATE(prefix_wld_az2_cidr,"9.104")</f>
        <v>10.14.9.104</v>
      </c>
      <c r="D313" s="66"/>
      <c r="E313" s="121" t="s">
        <v>2505</v>
      </c>
    </row>
    <row r="314" spans="2:5" s="9" customFormat="1" ht="20" customHeight="1" x14ac:dyDescent="0.2">
      <c r="B314" s="28" t="str">
        <v>Value Missing</v>
      </c>
      <c r="C314" s="109" t="str">
        <f>CONCATENATE(prefix_wld_az2_cidr,"9.105")</f>
        <v>10.14.9.105</v>
      </c>
      <c r="D314" s="66"/>
      <c r="E314" s="121" t="s">
        <v>2506</v>
      </c>
    </row>
    <row r="315" spans="2:5" s="9" customFormat="1" ht="20" customHeight="1" x14ac:dyDescent="0.2">
      <c r="B315" s="28" t="str">
        <v>Value Missing</v>
      </c>
      <c r="C315" s="109" t="str">
        <f>CONCATENATE(prefix_wld_az2_cidr,"9.106")</f>
        <v>10.14.9.106</v>
      </c>
      <c r="D315" s="66"/>
      <c r="E315" s="121" t="s">
        <v>2507</v>
      </c>
    </row>
    <row r="316" spans="2:5" s="9" customFormat="1" ht="20" customHeight="1" x14ac:dyDescent="0.2">
      <c r="B316" s="4" t="str">
        <v>Value Missing</v>
      </c>
      <c r="C316" s="109" t="str">
        <f>CONCATENATE(prefix_wld_az2_cidr,"9.107")</f>
        <v>10.14.9.107</v>
      </c>
      <c r="D316" s="66"/>
      <c r="E316" s="121" t="s">
        <v>2508</v>
      </c>
    </row>
    <row r="317" spans="2:5" s="9" customFormat="1" ht="20" customHeight="1" x14ac:dyDescent="0.2">
      <c r="B317" s="4" t="str">
        <v>Value Missing</v>
      </c>
      <c r="C317" s="109" t="str">
        <f>CONCATENATE(prefix_wld_az2_cidr,"9.108")</f>
        <v>10.14.9.108</v>
      </c>
      <c r="D317" s="66"/>
      <c r="E317" s="121" t="s">
        <v>2509</v>
      </c>
    </row>
    <row r="318" spans="2:5" s="9" customFormat="1" ht="20" customHeight="1" x14ac:dyDescent="0.2">
      <c r="B318" s="4" t="str">
        <v>Value Missing</v>
      </c>
      <c r="C318" s="109" t="str">
        <f>CONCATENATE(prefix_wld_az2_cidr,"9.109")</f>
        <v>10.14.9.109</v>
      </c>
      <c r="D318" s="66"/>
      <c r="E318" s="121" t="s">
        <v>2510</v>
      </c>
    </row>
    <row r="319" spans="2:5" s="9" customFormat="1" ht="20" customHeight="1" x14ac:dyDescent="0.2">
      <c r="B319" s="28" t="str">
        <v>Value Missing</v>
      </c>
      <c r="C319" s="109" t="str">
        <f>CONCATENATE(prefix_wld_az2_cidr,"9.110")</f>
        <v>10.14.9.110</v>
      </c>
      <c r="D319" s="66"/>
      <c r="E319" s="121" t="s">
        <v>2511</v>
      </c>
    </row>
    <row r="320" spans="2:5" s="9" customFormat="1" ht="20" customHeight="1" x14ac:dyDescent="0.2">
      <c r="B320" s="28" t="str">
        <v>Value Missing</v>
      </c>
      <c r="C320" s="109" t="str">
        <f>CONCATENATE(prefix_wld_az2_cidr,"9.111")</f>
        <v>10.14.9.111</v>
      </c>
      <c r="D320" s="66"/>
      <c r="E320" s="121" t="s">
        <v>2512</v>
      </c>
    </row>
    <row r="321" spans="2:5" s="9" customFormat="1" ht="20" customHeight="1" x14ac:dyDescent="0.2">
      <c r="B321" s="28" t="str">
        <v>Value Missing</v>
      </c>
      <c r="C321" s="109" t="str">
        <f>CONCATENATE(prefix_wld_az2_cidr,"9.112")</f>
        <v>10.14.9.112</v>
      </c>
      <c r="D321" s="66"/>
      <c r="E321" s="121" t="s">
        <v>2513</v>
      </c>
    </row>
    <row r="322" spans="2:5" s="9" customFormat="1" ht="20" customHeight="1" x14ac:dyDescent="0.2">
      <c r="B322" s="28" t="str">
        <v>Value Missing</v>
      </c>
      <c r="C322" s="109" t="str">
        <f>CONCATENATE(prefix_wld_az2_cidr,"9.113")</f>
        <v>10.14.9.113</v>
      </c>
      <c r="D322" s="66"/>
      <c r="E322" s="121" t="s">
        <v>2514</v>
      </c>
    </row>
    <row r="323" spans="2:5" s="9" customFormat="1" ht="20" customHeight="1" x14ac:dyDescent="0.2">
      <c r="B323" s="28" t="str">
        <v>Value Missing</v>
      </c>
      <c r="C323" s="109" t="str">
        <f>CONCATENATE(prefix_wld_az2_cidr,"9.114")</f>
        <v>10.14.9.114</v>
      </c>
      <c r="D323" s="66"/>
      <c r="E323" s="121" t="s">
        <v>2515</v>
      </c>
    </row>
    <row r="324" spans="2:5" s="9" customFormat="1" ht="20" customHeight="1" x14ac:dyDescent="0.2">
      <c r="B324" s="28" t="str">
        <v>Value Missing</v>
      </c>
      <c r="C324" s="109" t="str">
        <f>CONCATENATE(prefix_wld_az2_cidr,"9.115")</f>
        <v>10.14.9.115</v>
      </c>
      <c r="D324" s="66"/>
      <c r="E324" s="121" t="s">
        <v>2516</v>
      </c>
    </row>
    <row r="325" spans="2:5" s="9" customFormat="1" ht="20" customHeight="1" x14ac:dyDescent="0.2">
      <c r="B325" s="28" t="str">
        <v>Value Missing</v>
      </c>
      <c r="C325" s="109" t="str">
        <f>CONCATENATE(prefix_wld_az2_cidr,"9.116")</f>
        <v>10.14.9.116</v>
      </c>
      <c r="D325" s="66"/>
      <c r="E325" s="121" t="s">
        <v>2517</v>
      </c>
    </row>
    <row r="326" spans="2:5" s="9" customFormat="1" ht="20" customHeight="1" x14ac:dyDescent="0.2"/>
    <row r="327" spans="2:5" s="9" customFormat="1" ht="20" customHeight="1" x14ac:dyDescent="0.2">
      <c r="B327" s="609" t="s">
        <v>2519</v>
      </c>
      <c r="C327" s="609"/>
      <c r="D327" s="609"/>
      <c r="E327" s="609"/>
    </row>
    <row r="328" spans="2:5" s="9" customFormat="1" ht="20" customHeight="1" x14ac:dyDescent="0.2">
      <c r="B328" s="62" t="s">
        <v>254</v>
      </c>
      <c r="C328" s="62" t="s">
        <v>255</v>
      </c>
      <c r="D328" s="161" t="s">
        <v>20</v>
      </c>
      <c r="E328" s="62" t="s">
        <v>21</v>
      </c>
    </row>
    <row r="329" spans="2:5" s="9" customFormat="1" ht="20" customHeight="1" x14ac:dyDescent="0.2">
      <c r="B329" s="649" t="s">
        <v>2501</v>
      </c>
      <c r="C329" s="650"/>
      <c r="D329" s="650"/>
      <c r="E329" s="651"/>
    </row>
    <row r="330" spans="2:5" s="9" customFormat="1" ht="20" customHeight="1" x14ac:dyDescent="0.2">
      <c r="B330" s="4" t="s">
        <v>2520</v>
      </c>
      <c r="C330" s="65" t="str">
        <f>sample_wld_az1_host1_fqdn</f>
        <v>sfo01-w01-r01-esx01.sfo.rainpole.io</v>
      </c>
      <c r="D330" s="8" t="str">
        <f>wld_az1_host1_fqdn</f>
        <v>Value Missing</v>
      </c>
      <c r="E330" s="42"/>
    </row>
    <row r="331" spans="2:5" s="9" customFormat="1" ht="20" customHeight="1" x14ac:dyDescent="0.2">
      <c r="B331" s="4" t="s">
        <v>2521</v>
      </c>
      <c r="C331" s="65" t="str">
        <f>sample_wld_az1_vrms_gateway_ip</f>
        <v>10.13.9.1</v>
      </c>
      <c r="D331" s="8" t="str">
        <f>wld_az1_vrms_gateway_ip</f>
        <v>Value Missing</v>
      </c>
      <c r="E331" s="42"/>
    </row>
    <row r="332" spans="2:5" s="9" customFormat="1" ht="20" customHeight="1" x14ac:dyDescent="0.2">
      <c r="B332" s="28" t="s">
        <v>2522</v>
      </c>
      <c r="C332" s="65" t="str">
        <f t="array" ref="C332">sample_wld_vrms_recovery_replication_cidr</f>
        <v>10.21.9.0/24</v>
      </c>
      <c r="D332" s="8" t="str">
        <f t="array" ref="D332">wld_vrms_recovery_replication_cidr</f>
        <v>Value Missing</v>
      </c>
      <c r="E332" s="42"/>
    </row>
    <row r="333" spans="2:5" s="9" customFormat="1" ht="20" customHeight="1" x14ac:dyDescent="0.2">
      <c r="B333" s="28" t="s">
        <v>2523</v>
      </c>
      <c r="C333" s="65" t="str">
        <f>sample_wld_az1_host2_fqdn</f>
        <v>sfo01-w01-r01-esx02.sfo.rainpole.io</v>
      </c>
      <c r="D333" s="8" t="str">
        <f>wld_az1_host2_fqdn</f>
        <v>Value Missing</v>
      </c>
      <c r="E333" s="42"/>
    </row>
    <row r="334" spans="2:5" s="9" customFormat="1" ht="20" customHeight="1" x14ac:dyDescent="0.2">
      <c r="B334" s="28" t="s">
        <v>2524</v>
      </c>
      <c r="C334" s="65" t="str">
        <f>sample_wld_az1_vrms_gateway_ip</f>
        <v>10.13.9.1</v>
      </c>
      <c r="D334" s="8" t="str">
        <f>wld_az1_vrms_gateway_ip</f>
        <v>Value Missing</v>
      </c>
      <c r="E334" s="42"/>
    </row>
    <row r="335" spans="2:5" s="9" customFormat="1" ht="20" customHeight="1" x14ac:dyDescent="0.2">
      <c r="B335" s="28" t="s">
        <v>2525</v>
      </c>
      <c r="C335" s="65" t="str">
        <f t="array" ref="C335">sample_wld_vrms_recovery_replication_cidr</f>
        <v>10.21.9.0/24</v>
      </c>
      <c r="D335" s="8" t="str">
        <f t="array" ref="D335">wld_vrms_recovery_replication_cidr</f>
        <v>Value Missing</v>
      </c>
      <c r="E335" s="42"/>
    </row>
    <row r="336" spans="2:5" s="9" customFormat="1" ht="20" customHeight="1" x14ac:dyDescent="0.2">
      <c r="B336" s="28" t="s">
        <v>2526</v>
      </c>
      <c r="C336" s="65" t="str">
        <f>sample_wld_az1_host3_fqdn</f>
        <v>sfo01-w01-r01-esx03.sfo.rainpole.io</v>
      </c>
      <c r="D336" s="8" t="str">
        <f>wld_az1_host3_fqdn</f>
        <v>Value Missing</v>
      </c>
      <c r="E336" s="42"/>
    </row>
    <row r="337" spans="2:5" s="9" customFormat="1" ht="20" customHeight="1" x14ac:dyDescent="0.2">
      <c r="B337" s="4" t="s">
        <v>2527</v>
      </c>
      <c r="C337" s="65" t="str">
        <f>sample_wld_az1_vrms_gateway_ip</f>
        <v>10.13.9.1</v>
      </c>
      <c r="D337" s="8" t="str">
        <f>wld_az1_vrms_gateway_ip</f>
        <v>Value Missing</v>
      </c>
      <c r="E337" s="42"/>
    </row>
    <row r="338" spans="2:5" s="9" customFormat="1" ht="20" customHeight="1" x14ac:dyDescent="0.2">
      <c r="B338" s="4" t="s">
        <v>2528</v>
      </c>
      <c r="C338" s="65" t="str">
        <f t="array" ref="C338">sample_wld_vrms_recovery_replication_cidr</f>
        <v>10.21.9.0/24</v>
      </c>
      <c r="D338" s="8" t="str">
        <f t="array" ref="D338">wld_vrms_recovery_replication_cidr</f>
        <v>Value Missing</v>
      </c>
      <c r="E338" s="42"/>
    </row>
    <row r="339" spans="2:5" s="9" customFormat="1" ht="20" customHeight="1" x14ac:dyDescent="0.2">
      <c r="B339" s="28" t="s">
        <v>2529</v>
      </c>
      <c r="C339" s="65" t="str">
        <f>sample_wld_az1_host4_fqdn</f>
        <v>sfo01-w01-r01-esx04.sfo.rainpole.io</v>
      </c>
      <c r="D339" s="8" t="str">
        <f>wld_az1_host4_fqdn</f>
        <v>Value Missing</v>
      </c>
      <c r="E339" s="42"/>
    </row>
    <row r="340" spans="2:5" s="9" customFormat="1" ht="20" customHeight="1" x14ac:dyDescent="0.2">
      <c r="B340" s="28" t="s">
        <v>2530</v>
      </c>
      <c r="C340" s="65" t="str">
        <f>sample_wld_az1_vrms_gateway_ip</f>
        <v>10.13.9.1</v>
      </c>
      <c r="D340" s="8" t="str">
        <f>wld_az1_vrms_gateway_ip</f>
        <v>Value Missing</v>
      </c>
      <c r="E340" s="42"/>
    </row>
    <row r="341" spans="2:5" s="9" customFormat="1" ht="20" customHeight="1" x14ac:dyDescent="0.2">
      <c r="B341" s="4" t="s">
        <v>2531</v>
      </c>
      <c r="C341" s="65" t="str">
        <f t="array" ref="C341">sample_wld_vrms_recovery_replication_cidr</f>
        <v>10.21.9.0/24</v>
      </c>
      <c r="D341" s="8" t="str">
        <f t="array" ref="D341">wld_vrms_recovery_replication_cidr</f>
        <v>Value Missing</v>
      </c>
      <c r="E341" s="42"/>
    </row>
    <row r="342" spans="2:5" s="9" customFormat="1" ht="20" customHeight="1" x14ac:dyDescent="0.2">
      <c r="B342" s="649" t="s">
        <v>2518</v>
      </c>
      <c r="C342" s="650"/>
      <c r="D342" s="650"/>
      <c r="E342" s="651"/>
    </row>
    <row r="343" spans="2:5" s="9" customFormat="1" ht="20" customHeight="1" x14ac:dyDescent="0.2">
      <c r="B343" s="4" t="s">
        <v>2520</v>
      </c>
      <c r="C343" s="65" t="str">
        <f>sample_wld_az2_host1_fqdn</f>
        <v>sfo02-w01-r01-esx01.sfo.rainpole.io</v>
      </c>
      <c r="D343" s="8" t="str">
        <f>wld_az2_host1_fqdn</f>
        <v>Value Missing</v>
      </c>
      <c r="E343" s="42"/>
    </row>
    <row r="344" spans="2:5" s="9" customFormat="1" ht="16" customHeight="1" x14ac:dyDescent="0.2">
      <c r="B344" s="4" t="s">
        <v>2521</v>
      </c>
      <c r="C344" s="65" t="str">
        <f>sample_wld_az1_vrms_gateway_ip</f>
        <v>10.13.9.1</v>
      </c>
      <c r="D344" s="8" t="str">
        <f>wld_az1_vrms_gateway_ip</f>
        <v>Value Missing</v>
      </c>
      <c r="E344" s="42"/>
    </row>
    <row r="345" spans="2:5" s="9" customFormat="1" ht="34" customHeight="1" x14ac:dyDescent="0.2">
      <c r="B345" s="28" t="s">
        <v>2522</v>
      </c>
      <c r="C345" s="65" t="str">
        <f t="array" ref="C345">sample_wld_vrms_recovery_replication_cidr</f>
        <v>10.21.9.0/24</v>
      </c>
      <c r="D345" s="8" t="str">
        <f t="array" ref="D345">wld_vrms_recovery_replication_cidr</f>
        <v>Value Missing</v>
      </c>
      <c r="E345" s="42"/>
    </row>
    <row r="346" spans="2:5" s="9" customFormat="1" ht="20" customHeight="1" x14ac:dyDescent="0.2">
      <c r="B346" s="28" t="s">
        <v>2523</v>
      </c>
      <c r="C346" s="65" t="str">
        <f>sample_wld_az2_host2_fqdn</f>
        <v>sfo02-w01-r01-esx02.sfo.rainpole.io</v>
      </c>
      <c r="D346" s="8" t="str">
        <f>wld_az2_host2_fqdn</f>
        <v>Value Missing</v>
      </c>
      <c r="E346" s="42"/>
    </row>
    <row r="347" spans="2:5" s="9" customFormat="1" ht="20" customHeight="1" x14ac:dyDescent="0.2">
      <c r="B347" s="28" t="s">
        <v>2524</v>
      </c>
      <c r="C347" s="65" t="str">
        <f>sample_wld_az1_vrms_gateway_ip</f>
        <v>10.13.9.1</v>
      </c>
      <c r="D347" s="8" t="str">
        <f>wld_az1_vrms_gateway_ip</f>
        <v>Value Missing</v>
      </c>
      <c r="E347" s="42"/>
    </row>
    <row r="348" spans="2:5" s="9" customFormat="1" ht="20" customHeight="1" x14ac:dyDescent="0.2">
      <c r="B348" s="28" t="s">
        <v>2525</v>
      </c>
      <c r="C348" s="65" t="str">
        <f t="array" ref="C348">sample_wld_vrms_recovery_replication_cidr</f>
        <v>10.21.9.0/24</v>
      </c>
      <c r="D348" s="8" t="str">
        <f t="array" ref="D348">wld_vrms_recovery_replication_cidr</f>
        <v>Value Missing</v>
      </c>
      <c r="E348" s="42"/>
    </row>
    <row r="349" spans="2:5" s="9" customFormat="1" ht="20" customHeight="1" x14ac:dyDescent="0.2">
      <c r="B349" s="28" t="s">
        <v>2526</v>
      </c>
      <c r="C349" s="65" t="str">
        <f>sample_wld_az2_host3_fqdn</f>
        <v>sfo02-w01-r01-esx03.sfo.rainpole.io</v>
      </c>
      <c r="D349" s="8" t="str">
        <f>wld_az2_host3_fqdn</f>
        <v>Value Missing</v>
      </c>
      <c r="E349" s="42"/>
    </row>
    <row r="350" spans="2:5" s="9" customFormat="1" ht="20" customHeight="1" x14ac:dyDescent="0.2">
      <c r="B350" s="4" t="s">
        <v>2527</v>
      </c>
      <c r="C350" s="65" t="str">
        <f>sample_wld_az1_vrms_gateway_ip</f>
        <v>10.13.9.1</v>
      </c>
      <c r="D350" s="8" t="str">
        <f>wld_az1_vrms_gateway_ip</f>
        <v>Value Missing</v>
      </c>
      <c r="E350" s="42"/>
    </row>
    <row r="351" spans="2:5" s="9" customFormat="1" ht="20" customHeight="1" x14ac:dyDescent="0.2">
      <c r="B351" s="4" t="s">
        <v>2528</v>
      </c>
      <c r="C351" s="65" t="str">
        <f t="array" ref="C351">sample_wld_vrms_recovery_replication_cidr</f>
        <v>10.21.9.0/24</v>
      </c>
      <c r="D351" s="8" t="str">
        <f t="array" ref="D351">wld_vrms_recovery_replication_cidr</f>
        <v>Value Missing</v>
      </c>
      <c r="E351" s="42"/>
    </row>
    <row r="352" spans="2:5" s="9" customFormat="1" ht="20" customHeight="1" x14ac:dyDescent="0.2">
      <c r="B352" s="28" t="s">
        <v>2529</v>
      </c>
      <c r="C352" s="65" t="str">
        <f>sample_wld_az2_host14_fqdn</f>
        <v>sfo02-w01-r01-esx14.sfo.rainpole.io</v>
      </c>
      <c r="D352" s="8" t="str">
        <f>wld_az2_host4_fqdn</f>
        <v>Value Missing</v>
      </c>
      <c r="E352" s="42"/>
    </row>
    <row r="353" spans="2:5" s="9" customFormat="1" ht="20" customHeight="1" x14ac:dyDescent="0.2">
      <c r="B353" s="28" t="s">
        <v>2530</v>
      </c>
      <c r="C353" s="65" t="str">
        <f>sample_wld_az1_vrms_gateway_ip</f>
        <v>10.13.9.1</v>
      </c>
      <c r="D353" s="8" t="str">
        <f>wld_az1_vrms_gateway_ip</f>
        <v>Value Missing</v>
      </c>
      <c r="E353" s="42"/>
    </row>
    <row r="354" spans="2:5" s="9" customFormat="1" ht="20" customHeight="1" x14ac:dyDescent="0.2">
      <c r="B354" s="4" t="s">
        <v>2531</v>
      </c>
      <c r="C354" s="65" t="str">
        <f>sample_wld_vrms_recovery_replication_cidr</f>
        <v>10.21.9.0/24</v>
      </c>
      <c r="D354" s="8" t="str">
        <f t="array" ref="D354">wld_vrms_recovery_replication_cidr</f>
        <v>Value Missing</v>
      </c>
      <c r="E354" s="42"/>
    </row>
    <row r="355" spans="2:5" s="9" customFormat="1" ht="20" customHeight="1" x14ac:dyDescent="0.2"/>
    <row r="356" spans="2:5" s="9" customFormat="1" ht="20" customHeight="1" x14ac:dyDescent="0.2">
      <c r="B356" s="608" t="s">
        <v>2532</v>
      </c>
      <c r="C356" s="609"/>
      <c r="D356" s="609"/>
      <c r="E356" s="609"/>
    </row>
    <row r="357" spans="2:5" s="9" customFormat="1" ht="20" customHeight="1" x14ac:dyDescent="0.2"/>
    <row r="358" spans="2:5" s="9" customFormat="1" ht="20" customHeight="1" x14ac:dyDescent="0.2">
      <c r="B358" s="609" t="s">
        <v>2533</v>
      </c>
      <c r="C358" s="609"/>
      <c r="D358" s="609"/>
      <c r="E358" s="609"/>
    </row>
    <row r="359" spans="2:5" s="9" customFormat="1" ht="20" customHeight="1" x14ac:dyDescent="0.2">
      <c r="B359" s="62" t="s">
        <v>254</v>
      </c>
      <c r="C359" s="62" t="s">
        <v>255</v>
      </c>
      <c r="D359" s="161" t="s">
        <v>20</v>
      </c>
      <c r="E359" s="62" t="s">
        <v>21</v>
      </c>
    </row>
    <row r="360" spans="2:5" s="9" customFormat="1" ht="20" customHeight="1" x14ac:dyDescent="0.2">
      <c r="B360" s="28" t="s">
        <v>359</v>
      </c>
      <c r="C360" s="65" t="str">
        <f>sample_mgmt_vc_fqdn</f>
        <v>sfo-m01-vc01.sfo.rainpole.io</v>
      </c>
      <c r="D360" s="8" t="str">
        <f>mgmt_vc_fqdn</f>
        <v>Value Missing</v>
      </c>
      <c r="E360" s="42"/>
    </row>
    <row r="361" spans="2:5" s="9" customFormat="1" ht="20" customHeight="1" x14ac:dyDescent="0.2">
      <c r="B361" s="4" t="s">
        <v>2389</v>
      </c>
      <c r="C361" s="65" t="str">
        <f>sample_wld_srm_vm_folder</f>
        <v>sfo-w01-fd-srm</v>
      </c>
      <c r="D361" s="8" t="str">
        <f>wld_srm_vm_folder</f>
        <v>Value Missing</v>
      </c>
      <c r="E361" s="42"/>
    </row>
    <row r="362" spans="2:5" s="9" customFormat="1" ht="20" customHeight="1" x14ac:dyDescent="0.2"/>
    <row r="363" spans="2:5" s="9" customFormat="1" ht="20" customHeight="1" x14ac:dyDescent="0.2">
      <c r="B363" s="609" t="s">
        <v>2534</v>
      </c>
      <c r="C363" s="570"/>
      <c r="D363" s="570"/>
      <c r="E363" s="571"/>
    </row>
    <row r="364" spans="2:5" s="9" customFormat="1" ht="20" customHeight="1" x14ac:dyDescent="0.2">
      <c r="B364" s="62" t="s">
        <v>254</v>
      </c>
      <c r="C364" s="62" t="s">
        <v>255</v>
      </c>
      <c r="D364" s="161" t="s">
        <v>20</v>
      </c>
      <c r="E364" s="62" t="s">
        <v>21</v>
      </c>
    </row>
    <row r="365" spans="2:5" s="9" customFormat="1" ht="20" customHeight="1" x14ac:dyDescent="0.2">
      <c r="B365" s="4" t="s">
        <v>2535</v>
      </c>
      <c r="C365" s="65" t="str">
        <f>sample_mgmt_vc_fqdn</f>
        <v>sfo-m01-vc01.sfo.rainpole.io</v>
      </c>
      <c r="D365" s="8" t="str">
        <f>mgmt_vc_fqdn</f>
        <v>Value Missing</v>
      </c>
      <c r="E365" s="42"/>
    </row>
    <row r="366" spans="2:5" s="9" customFormat="1" ht="20" customHeight="1" x14ac:dyDescent="0.2">
      <c r="B366" s="28" t="s">
        <v>646</v>
      </c>
      <c r="C366" s="65" t="str">
        <f>sample_mgmt_cl01_cluster</f>
        <v>sfo-m01-cl01</v>
      </c>
      <c r="D366" s="8" t="str">
        <f>mgmt_cl01_cluster</f>
        <v>Value Missing</v>
      </c>
      <c r="E366" s="42"/>
    </row>
    <row r="367" spans="2:5" s="9" customFormat="1" ht="20" customHeight="1" x14ac:dyDescent="0.2">
      <c r="B367" s="28" t="s">
        <v>2470</v>
      </c>
      <c r="C367" s="65" t="str">
        <f>sample_wld_srm_hostname</f>
        <v>sfo-w01-srm01</v>
      </c>
      <c r="D367" s="8" t="str">
        <f>wld_srm_hostname</f>
        <v>Value Missing</v>
      </c>
      <c r="E367" s="42"/>
    </row>
    <row r="368" spans="2:5" s="9" customFormat="1" ht="20" customHeight="1" x14ac:dyDescent="0.2">
      <c r="B368" s="28" t="s">
        <v>2471</v>
      </c>
      <c r="C368" s="65" t="str">
        <f>sample_wld_srm_vm_folder</f>
        <v>sfo-w01-fd-srm</v>
      </c>
      <c r="D368" s="8" t="str">
        <f>wld_srm_vm_folder</f>
        <v>Value Missing</v>
      </c>
      <c r="E368" s="42"/>
    </row>
    <row r="369" spans="2:5" s="9" customFormat="1" ht="20" customHeight="1" x14ac:dyDescent="0.2">
      <c r="B369" s="28" t="s">
        <v>2472</v>
      </c>
      <c r="C369" s="65" t="str">
        <f>sample_mgmt_cl01_cluster</f>
        <v>sfo-m01-cl01</v>
      </c>
      <c r="D369" s="8" t="str">
        <f>mgmt_cl01_cluster</f>
        <v>Value Missing</v>
      </c>
      <c r="E369" s="42"/>
    </row>
    <row r="370" spans="2:5" s="9" customFormat="1" ht="20" customHeight="1" x14ac:dyDescent="0.2">
      <c r="B370" s="28" t="s">
        <v>102</v>
      </c>
      <c r="C370" s="65" t="str">
        <f>sample_mgmt_cl01_vsan_datastore</f>
        <v>sfo-m01-cl01-ds-vsan01</v>
      </c>
      <c r="D370" s="8" t="str">
        <f>mgmt_cl01_vsan_datastore</f>
        <v>Value Missing</v>
      </c>
      <c r="E370" s="42"/>
    </row>
    <row r="371" spans="2:5" s="9" customFormat="1" ht="20" customHeight="1" x14ac:dyDescent="0.2">
      <c r="B371" s="4" t="s">
        <v>2473</v>
      </c>
      <c r="C371" s="65" t="str">
        <f>sample_mgmt_cl01_az1_mgmt_pg</f>
        <v>sfo-m01-cl01-vds01-pg-esx-mgmt</v>
      </c>
      <c r="D371" s="8" t="str">
        <f>mgmt_cl01_az1_mgmt_pg</f>
        <v>Value Missing</v>
      </c>
      <c r="E371" s="42"/>
    </row>
    <row r="372" spans="2:5" s="9" customFormat="1" ht="20" customHeight="1" x14ac:dyDescent="0.2">
      <c r="B372" s="4" t="s">
        <v>2474</v>
      </c>
      <c r="C372" s="65" t="str">
        <f>sample_wld_srm_root_password</f>
        <v>VMw@re1!</v>
      </c>
      <c r="D372" s="8" t="str">
        <f>wld_srm_root_password</f>
        <v>Value Missing</v>
      </c>
      <c r="E372" s="42"/>
    </row>
    <row r="373" spans="2:5" s="9" customFormat="1" ht="16" customHeight="1" x14ac:dyDescent="0.2">
      <c r="B373" s="28" t="s">
        <v>2475</v>
      </c>
      <c r="C373" s="65" t="str">
        <f>sample_wld_srm_admin_password</f>
        <v>VMw@re1!</v>
      </c>
      <c r="D373" s="8" t="str">
        <f>wld_srm_admin_password</f>
        <v>Value Missing</v>
      </c>
      <c r="E373" s="42"/>
    </row>
    <row r="374" spans="2:5" s="9" customFormat="1" ht="34" customHeight="1" x14ac:dyDescent="0.2">
      <c r="B374" s="28" t="s">
        <v>292</v>
      </c>
      <c r="C374" s="65" t="str">
        <f>sample_region_ntp1_server</f>
        <v>ntp0.sfo.rainpole.io</v>
      </c>
      <c r="D374" s="8" t="str">
        <f>region_ntp1_server</f>
        <v>Value Missing</v>
      </c>
      <c r="E374" s="42"/>
    </row>
    <row r="375" spans="2:5" s="9" customFormat="1" ht="16" customHeight="1" x14ac:dyDescent="0.2">
      <c r="B375" s="4" t="s">
        <v>295</v>
      </c>
      <c r="C375" s="65" t="str">
        <f>CONCATENATE(sample_wld_srm_hostname,".",sample_child_dns_zone)</f>
        <v>sfo-w01-srm01.sfo.rainpole.io</v>
      </c>
      <c r="D375" s="8" t="str">
        <f>wld_srm_fqdn</f>
        <v>Value Missing.Value Missing</v>
      </c>
      <c r="E375" s="42"/>
    </row>
    <row r="376" spans="2:5" s="9" customFormat="1" ht="34" customHeight="1" x14ac:dyDescent="0.2">
      <c r="B376" s="28" t="s">
        <v>2536</v>
      </c>
      <c r="C376" s="65" t="str">
        <f>sample_wld_srm_database_password</f>
        <v>VMw@re1!</v>
      </c>
      <c r="D376" s="8" t="str">
        <f>wld_srm_database_password</f>
        <v>Value Missing</v>
      </c>
      <c r="E376" s="42"/>
    </row>
    <row r="377" spans="2:5" s="9" customFormat="1" ht="20" customHeight="1" x14ac:dyDescent="0.2">
      <c r="B377" s="4" t="s">
        <v>247</v>
      </c>
      <c r="C377" s="65" t="str">
        <f>sample_mgmt_az1_mgmt_vm_gateway_cidr</f>
        <v>10.11.10.1/24</v>
      </c>
      <c r="D377" s="8" t="str">
        <f>mgmt_az1_mgmt_vm_gateway_ip</f>
        <v>Value Missing</v>
      </c>
      <c r="E377" s="42"/>
    </row>
    <row r="378" spans="2:5" s="9" customFormat="1" ht="20" customHeight="1" x14ac:dyDescent="0.2">
      <c r="B378" s="28" t="s">
        <v>563</v>
      </c>
      <c r="C378" s="65" t="str">
        <f>sample_child_dns_zone</f>
        <v>sfo.rainpole.io</v>
      </c>
      <c r="D378" s="8" t="str">
        <f>child_dns_zone</f>
        <v>Value Missing</v>
      </c>
      <c r="E378" s="42"/>
    </row>
    <row r="379" spans="2:5" s="9" customFormat="1" ht="20" customHeight="1" x14ac:dyDescent="0.2">
      <c r="B379" s="28" t="s">
        <v>2476</v>
      </c>
      <c r="C379" s="65" t="str">
        <f>sample_child_dns_zone</f>
        <v>sfo.rainpole.io</v>
      </c>
      <c r="D379" s="8" t="str">
        <f>child_dns_zone</f>
        <v>Value Missing</v>
      </c>
      <c r="E379" s="42"/>
    </row>
    <row r="380" spans="2:5" s="9" customFormat="1" ht="16" customHeight="1" x14ac:dyDescent="0.2">
      <c r="B380" s="28" t="s">
        <v>2477</v>
      </c>
      <c r="C380" s="65" t="str">
        <f>CONCATENATE(sample_region_dns1_ip,",",sample_region_dns2_ip)</f>
        <v>10.11.10.4,10.11.10.5</v>
      </c>
      <c r="D380" s="8" t="str">
        <f>CONCATENATE(region_dns1_ip,",",region_dns2_ip)</f>
        <v>Value Missing,Value Missing</v>
      </c>
      <c r="E380" s="42"/>
    </row>
    <row r="381" spans="2:5" s="9" customFormat="1" ht="34" customHeight="1" x14ac:dyDescent="0.2">
      <c r="B381" s="28" t="s">
        <v>2478</v>
      </c>
      <c r="C381" s="65" t="str">
        <f>sample_wld_srm_ip</f>
        <v>10.11.10.127</v>
      </c>
      <c r="D381" s="8" t="str">
        <f>wld_srm_ip</f>
        <v>Value Missing</v>
      </c>
      <c r="E381" s="42"/>
    </row>
    <row r="382" spans="2:5" s="9" customFormat="1" ht="20" customHeight="1" x14ac:dyDescent="0.2">
      <c r="B382" s="28" t="s">
        <v>2479</v>
      </c>
      <c r="C382" s="65"/>
      <c r="D382" s="8" t="str">
        <f>IF(mgmt_az1_mgmt_cidr="Value Missing","Value Missing",INT(RIGHT(mgmt_az1_mgmt_cidr,LEN(mgmt_az1_mgmt_cidr)-FIND("/",mgmt_az1_mgmt_cidr))))</f>
        <v>Value Missing</v>
      </c>
      <c r="E382" s="42"/>
    </row>
    <row r="383" spans="2:5" s="9" customFormat="1" ht="20" customHeight="1" x14ac:dyDescent="0.2"/>
    <row r="384" spans="2:5" s="9" customFormat="1" ht="20" customHeight="1" x14ac:dyDescent="0.2">
      <c r="B384" s="569" t="s">
        <v>2537</v>
      </c>
      <c r="C384" s="570"/>
      <c r="D384" s="570"/>
      <c r="E384" s="571"/>
    </row>
    <row r="385" spans="2:5" s="9" customFormat="1" ht="20" customHeight="1" x14ac:dyDescent="0.2">
      <c r="B385" s="62" t="s">
        <v>254</v>
      </c>
      <c r="C385" s="62" t="s">
        <v>255</v>
      </c>
      <c r="D385" s="161" t="s">
        <v>20</v>
      </c>
      <c r="E385" s="62" t="s">
        <v>21</v>
      </c>
    </row>
    <row r="386" spans="2:5" s="9" customFormat="1" ht="20" customHeight="1" x14ac:dyDescent="0.2">
      <c r="B386" s="4" t="s">
        <v>2538</v>
      </c>
      <c r="C386" s="65" t="str">
        <f>CONCATENATE(sample_wld_srm_hostname,".",sample_child_dns_zone)</f>
        <v>sfo-w01-srm01.sfo.rainpole.io</v>
      </c>
      <c r="D386" s="8" t="str">
        <f>wld_srm_fqdn</f>
        <v>Value Missing.Value Missing</v>
      </c>
      <c r="E386" s="42"/>
    </row>
    <row r="387" spans="2:5" s="9" customFormat="1" ht="20" customHeight="1" x14ac:dyDescent="0.2">
      <c r="B387" s="4" t="s">
        <v>2482</v>
      </c>
      <c r="C387" s="65" t="str">
        <f>sample_wld_srm_p12_password</f>
        <v>VMw@re1!</v>
      </c>
      <c r="D387" s="8" t="str">
        <f>wld_srm_p12_password</f>
        <v>Value Missing</v>
      </c>
      <c r="E387" s="42"/>
    </row>
    <row r="388" spans="2:5" s="9" customFormat="1" ht="20" customHeight="1" x14ac:dyDescent="0.2"/>
    <row r="389" spans="2:5" s="9" customFormat="1" ht="20" customHeight="1" x14ac:dyDescent="0.2">
      <c r="B389" s="569" t="s">
        <v>2539</v>
      </c>
      <c r="C389" s="570"/>
      <c r="D389" s="570"/>
      <c r="E389" s="571"/>
    </row>
    <row r="390" spans="2:5" s="9" customFormat="1" ht="20" customHeight="1" x14ac:dyDescent="0.2">
      <c r="B390" s="62" t="s">
        <v>254</v>
      </c>
      <c r="C390" s="62" t="s">
        <v>255</v>
      </c>
      <c r="D390" s="161" t="s">
        <v>20</v>
      </c>
      <c r="E390" s="62" t="s">
        <v>21</v>
      </c>
    </row>
    <row r="391" spans="2:5" s="9" customFormat="1" ht="20" customHeight="1" x14ac:dyDescent="0.2">
      <c r="B391" s="4" t="s">
        <v>2538</v>
      </c>
      <c r="C391" s="65" t="str">
        <f>CONCATENATE(sample_wld_srm_hostname,".",sample_child_dns_zone)</f>
        <v>sfo-w01-srm01.sfo.rainpole.io</v>
      </c>
      <c r="D391" s="8" t="str">
        <f>wld_srm_fqdn</f>
        <v>Value Missing.Value Missing</v>
      </c>
      <c r="E391" s="42"/>
    </row>
    <row r="392" spans="2:5" s="9" customFormat="1" ht="20" customHeight="1" x14ac:dyDescent="0.2">
      <c r="B392" s="28" t="s">
        <v>2484</v>
      </c>
      <c r="C392" s="65" t="str">
        <f>sample_wld_vc_fqdn</f>
        <v>sfo-w01-vc01.sfo.rainpole.io</v>
      </c>
      <c r="D392" s="8" t="str">
        <f>wld_vc_fqdn</f>
        <v>Value Missing</v>
      </c>
      <c r="E392" s="42"/>
    </row>
    <row r="393" spans="2:5" s="9" customFormat="1" ht="20" customHeight="1" x14ac:dyDescent="0.2">
      <c r="B393" s="28" t="s">
        <v>79</v>
      </c>
      <c r="C393" s="65" t="s">
        <v>1565</v>
      </c>
      <c r="D393" s="8" t="str">
        <f>C393</f>
        <v>administrator@vsphere.local</v>
      </c>
      <c r="E393" s="42"/>
    </row>
    <row r="394" spans="2:5" s="9" customFormat="1" ht="20" customHeight="1" x14ac:dyDescent="0.2">
      <c r="B394" s="28" t="s">
        <v>30</v>
      </c>
      <c r="C394" s="65" t="str">
        <f>sample_administrator_vsphere_local_password</f>
        <v>VMw@re1!VMw@re1!</v>
      </c>
      <c r="D394" s="8" t="str">
        <f>administrator_vsphere_local_password</f>
        <v>Value Missing</v>
      </c>
      <c r="E394" s="42"/>
    </row>
    <row r="395" spans="2:5" s="9" customFormat="1" ht="20" customHeight="1" x14ac:dyDescent="0.2">
      <c r="B395" s="28" t="s">
        <v>1415</v>
      </c>
      <c r="C395" s="65" t="str">
        <f>sample_wld_vc_fqdn</f>
        <v>sfo-w01-vc01.sfo.rainpole.io</v>
      </c>
      <c r="D395" s="8" t="str">
        <f>wld_vc_fqdn</f>
        <v>Value Missing</v>
      </c>
      <c r="E395" s="42"/>
    </row>
    <row r="396" spans="2:5" s="9" customFormat="1" ht="20" customHeight="1" x14ac:dyDescent="0.2">
      <c r="B396" s="28" t="s">
        <v>2368</v>
      </c>
      <c r="C396" s="65" t="str">
        <f>sample_wld_srm_site_name</f>
        <v>SFO-W01</v>
      </c>
      <c r="D396" s="8" t="str">
        <f>wld_srm_site_name</f>
        <v>Value Missing</v>
      </c>
      <c r="E396" s="42"/>
    </row>
    <row r="397" spans="2:5" s="9" customFormat="1" ht="20" customHeight="1" x14ac:dyDescent="0.2">
      <c r="B397" s="4" t="s">
        <v>2485</v>
      </c>
      <c r="C397" s="65" t="str">
        <f>sample_wld_srm_admin_email</f>
        <v>srm-administrator@rainpole.io</v>
      </c>
      <c r="D397" s="8" t="str">
        <f>wld_srm_admin_email</f>
        <v>Value Missing</v>
      </c>
      <c r="E397" s="42"/>
    </row>
    <row r="398" spans="2:5" s="9" customFormat="1" ht="20" customHeight="1" x14ac:dyDescent="0.2">
      <c r="B398" s="4" t="s">
        <v>2486</v>
      </c>
      <c r="C398" s="65" t="str">
        <f>CONCATENATE(sample_wld_srm_hostname,".",sample_child_dns_zone)</f>
        <v>sfo-w01-srm01.sfo.rainpole.io</v>
      </c>
      <c r="D398" s="8" t="str">
        <f>wld_srm_fqdn</f>
        <v>Value Missing.Value Missing</v>
      </c>
      <c r="E398" s="42"/>
    </row>
    <row r="399" spans="2:5" s="9" customFormat="1" ht="20" customHeight="1" x14ac:dyDescent="0.2"/>
    <row r="400" spans="2:5" s="9" customFormat="1" ht="20" customHeight="1" x14ac:dyDescent="0.2">
      <c r="B400" s="569" t="s">
        <v>2540</v>
      </c>
      <c r="C400" s="570"/>
      <c r="D400" s="570"/>
      <c r="E400" s="571"/>
    </row>
    <row r="401" spans="2:5" s="9" customFormat="1" ht="16" customHeight="1" x14ac:dyDescent="0.2">
      <c r="B401" s="62" t="s">
        <v>254</v>
      </c>
      <c r="C401" s="62" t="s">
        <v>255</v>
      </c>
      <c r="D401" s="161" t="s">
        <v>20</v>
      </c>
      <c r="E401" s="62" t="s">
        <v>21</v>
      </c>
    </row>
    <row r="402" spans="2:5" s="9" customFormat="1" ht="34" customHeight="1" x14ac:dyDescent="0.2">
      <c r="B402" s="28" t="s">
        <v>359</v>
      </c>
      <c r="C402" s="65" t="str">
        <f>sample_wld_vc_fqdn</f>
        <v>sfo-w01-vc01.sfo.rainpole.io</v>
      </c>
      <c r="D402" s="8" t="str">
        <f>wld_vc_fqdn</f>
        <v>Value Missing</v>
      </c>
      <c r="E402" s="42"/>
    </row>
    <row r="403" spans="2:5" s="9" customFormat="1" ht="20" customHeight="1" x14ac:dyDescent="0.2">
      <c r="B403" s="4" t="s">
        <v>2541</v>
      </c>
      <c r="C403" s="65"/>
      <c r="D403" s="8"/>
      <c r="E403" s="42"/>
    </row>
    <row r="404" spans="2:5" s="9" customFormat="1" ht="20" customHeight="1" x14ac:dyDescent="0.2">
      <c r="B404" s="28" t="s">
        <v>2542</v>
      </c>
      <c r="C404" s="65" t="s">
        <v>1815</v>
      </c>
      <c r="D404" s="8" t="str">
        <f>C404</f>
        <v>Site Recovery Manager</v>
      </c>
      <c r="E404" s="42"/>
    </row>
    <row r="405" spans="2:5" s="9" customFormat="1" ht="20" customHeight="1" x14ac:dyDescent="0.2">
      <c r="B405" s="28" t="s">
        <v>2543</v>
      </c>
      <c r="C405" s="65" t="str">
        <f>sample_wld_srm_site_name</f>
        <v>SFO-W01</v>
      </c>
      <c r="D405" s="8" t="str">
        <f>wld_srm_site_name</f>
        <v>Value Missing</v>
      </c>
      <c r="E405" s="42"/>
    </row>
    <row r="406" spans="2:5" s="9" customFormat="1" ht="16" customHeight="1" x14ac:dyDescent="0.2">
      <c r="B406" s="28" t="s">
        <v>2544</v>
      </c>
      <c r="C406" s="65"/>
      <c r="D406" s="8"/>
      <c r="E406" s="42"/>
    </row>
    <row r="407" spans="2:5" s="9" customFormat="1" ht="34" customHeight="1" x14ac:dyDescent="0.2"/>
    <row r="408" spans="2:5" s="9" customFormat="1" ht="20" customHeight="1" x14ac:dyDescent="0.2">
      <c r="B408" s="608" t="s">
        <v>2545</v>
      </c>
      <c r="C408" s="609"/>
      <c r="D408" s="609"/>
      <c r="E408" s="609"/>
    </row>
    <row r="409" spans="2:5" s="9" customFormat="1" ht="20" customHeight="1" x14ac:dyDescent="0.2"/>
    <row r="410" spans="2:5" s="9" customFormat="1" ht="20" customHeight="1" x14ac:dyDescent="0.2">
      <c r="B410" s="609" t="s">
        <v>2546</v>
      </c>
      <c r="C410" s="609"/>
      <c r="D410" s="609"/>
      <c r="E410" s="609"/>
    </row>
    <row r="411" spans="2:5" s="9" customFormat="1" ht="20" customHeight="1" x14ac:dyDescent="0.2">
      <c r="B411" s="62" t="s">
        <v>254</v>
      </c>
      <c r="C411" s="62" t="s">
        <v>255</v>
      </c>
      <c r="D411" s="161" t="s">
        <v>20</v>
      </c>
      <c r="E411" s="62" t="s">
        <v>21</v>
      </c>
    </row>
    <row r="412" spans="2:5" s="9" customFormat="1" ht="20" customHeight="1" x14ac:dyDescent="0.2">
      <c r="B412" s="28" t="s">
        <v>2388</v>
      </c>
      <c r="C412" s="65" t="str">
        <f>sample_wld_vc_fqdn</f>
        <v>sfo-w01-vc01.sfo.rainpole.io</v>
      </c>
      <c r="D412" s="8" t="str">
        <f>wld_vc_fqdn</f>
        <v>Value Missing</v>
      </c>
      <c r="E412" s="42"/>
    </row>
    <row r="413" spans="2:5" s="9" customFormat="1" ht="20" customHeight="1" x14ac:dyDescent="0.2">
      <c r="B413" s="28" t="s">
        <v>2547</v>
      </c>
      <c r="C413" s="65" t="str">
        <f>sample_wld_vc_fqdn</f>
        <v>sfo-w01-vc01.sfo.rainpole.io</v>
      </c>
      <c r="D413" s="8" t="str">
        <f>wld_vc_fqdn</f>
        <v>Value Missing</v>
      </c>
      <c r="E413" s="42"/>
    </row>
    <row r="414" spans="2:5" s="9" customFormat="1" ht="20" customHeight="1" x14ac:dyDescent="0.2">
      <c r="B414" s="28" t="s">
        <v>2548</v>
      </c>
      <c r="C414" s="65" t="s">
        <v>2549</v>
      </c>
      <c r="D414" s="8" t="str">
        <f>IF(wld_srm_sso_domain_membership="Value Missing","Value Missing",IF(wld_srm_sso_domain_membership="Same SSO Domain","Pair with a peer vCenter Server located in the same SSO domain","Pair with a peer vCenter Server located in a different SSO domain"))</f>
        <v>Value Missing</v>
      </c>
      <c r="E414" s="42"/>
    </row>
    <row r="415" spans="2:5" s="9" customFormat="1" ht="20" customHeight="1" x14ac:dyDescent="0.2">
      <c r="B415" s="28" t="s">
        <v>2484</v>
      </c>
      <c r="C415" s="65" t="str">
        <f>sample_wld_srm_recovery_vcenter_fqdn</f>
        <v>lax-w01-vc01.lax.rainpole.io</v>
      </c>
      <c r="D415" s="8" t="str">
        <f>wld_srm_recovery_vcenter_fqdn</f>
        <v>Value Missing</v>
      </c>
      <c r="E415" s="42"/>
    </row>
    <row r="416" spans="2:5" s="9" customFormat="1" ht="20" customHeight="1" x14ac:dyDescent="0.2">
      <c r="B416" s="28" t="s">
        <v>79</v>
      </c>
      <c r="C416" s="65" t="str">
        <f>sample_wld_srm_recovery_vcenter_username</f>
        <v>administrator@vsphere.local</v>
      </c>
      <c r="D416" s="8" t="str">
        <f>wld_srm_recovery_vcenter_username</f>
        <v>Value Missing</v>
      </c>
      <c r="E416" s="42"/>
    </row>
    <row r="417" spans="2:5" s="9" customFormat="1" ht="16" customHeight="1" x14ac:dyDescent="0.2">
      <c r="B417" s="4" t="s">
        <v>30</v>
      </c>
      <c r="C417" s="65" t="str">
        <f>sample_wld_srm_recovery_vcenter_password</f>
        <v>VMw@re1!</v>
      </c>
      <c r="D417" s="8" t="str">
        <f>wld_srm_recovery_vcenter_password</f>
        <v>Value Missing</v>
      </c>
      <c r="E417" s="42"/>
    </row>
    <row r="418" spans="2:5" s="9" customFormat="1" ht="34" customHeight="1" x14ac:dyDescent="0.2">
      <c r="B418" s="4" t="s">
        <v>2550</v>
      </c>
      <c r="C418" s="65" t="str">
        <f>sample_wld_srm_recovery_vcenter_fqdn</f>
        <v>lax-w01-vc01.lax.rainpole.io</v>
      </c>
      <c r="D418" s="8" t="str">
        <f>wld_srm_recovery_vcenter_fqdn</f>
        <v>Value Missing</v>
      </c>
      <c r="E418" s="42"/>
    </row>
    <row r="419" spans="2:5" s="9" customFormat="1" ht="20" customHeight="1" x14ac:dyDescent="0.2"/>
    <row r="507" spans="2:5" ht="20" customHeight="1" x14ac:dyDescent="0.2">
      <c r="B507" s="424" t="str">
        <f>IF(OR(cluster_secondary_storage_chosen="Secondary NFS Storage Network",wld_secondary_storage_chosen="Secondary NFS Storage Network"),"NFS Storage Network","vSAN Storage Client")</f>
        <v>vSAN Storage Client</v>
      </c>
      <c r="C507" s="425"/>
      <c r="D507" s="425"/>
      <c r="E507" s="426"/>
    </row>
    <row r="508" spans="2:5" ht="20" customHeight="1" x14ac:dyDescent="0.2">
      <c r="B508" s="4" t="s">
        <v>85</v>
      </c>
      <c r="C508" s="103" t="str">
        <f>IF(cluster_wld_domain_chosen&lt;&gt;"MGMT Workload Domain",CONCATENATE(prefix_wld_az1_rack_vlan,"26"),CONCATENATE(prefix_mgmt_az1_vlan,"26"))</f>
        <v>1326</v>
      </c>
      <c r="D508" s="66"/>
      <c r="E508" s="42"/>
    </row>
    <row r="509" spans="2:5" ht="20" customHeight="1" x14ac:dyDescent="0.2">
      <c r="B509" s="4" t="s">
        <v>157</v>
      </c>
      <c r="C509" s="103">
        <v>9000</v>
      </c>
      <c r="D509" s="66"/>
      <c r="E509" s="80"/>
    </row>
    <row r="510" spans="2:5" ht="20" customHeight="1" x14ac:dyDescent="0.2">
      <c r="B510" s="4" t="s">
        <v>183</v>
      </c>
      <c r="C510" s="103" t="str">
        <f>IF(cluster_wld_domain_chosen&lt;&gt;"MGMT Workload Domain",CONCATENATE(prefix_wld_az1_rack_cidr,"26.0"),CONCATENATE(prefix_mgmt_az1_cidr,"26.0"))</f>
        <v>10.13.26.0</v>
      </c>
      <c r="D510" s="66"/>
      <c r="E510" s="42"/>
    </row>
    <row r="511" spans="2:5" ht="20" customHeight="1" x14ac:dyDescent="0.2">
      <c r="B511" s="4" t="s">
        <v>278</v>
      </c>
      <c r="C511" s="103" t="s">
        <v>126</v>
      </c>
      <c r="D511" s="66"/>
      <c r="E511" s="42"/>
    </row>
    <row r="512" spans="2:5" ht="20" customHeight="1" x14ac:dyDescent="0.2">
      <c r="B512" s="4" t="s">
        <v>182</v>
      </c>
      <c r="C512" s="103" t="str">
        <f>IF(cluster_wld_domain_chosen&lt;&gt;"MGMT Workload Domain",CONCATENATE(prefix_wld_az1_rack_cidr,"26.1"),CONCATENATE(prefix_mgmt_az1_cidr,"26.1"))</f>
        <v>10.13.26.1</v>
      </c>
      <c r="D512" s="66"/>
      <c r="E512" s="42" t="str">
        <f>IF(AND(mgmt_stretched_cluster_result="Included",mgmt_dpg_reuse_result="Excluded"),"Stretched L2","")</f>
        <v/>
      </c>
    </row>
    <row r="513" spans="2:5" ht="20" customHeight="1" x14ac:dyDescent="0.2">
      <c r="B513" s="23" t="s">
        <v>248</v>
      </c>
      <c r="C513" s="103" t="str">
        <f>IF(cluster_wld_domain_chosen&lt;&gt;"MGMT Workload Domain",CONCATENATE(prefix_wld_az1_rack_cidr,"26.101"),CONCATENATE(prefix_mgmt_az1_cidr,"26.101"))</f>
        <v>10.13.26.101</v>
      </c>
      <c r="D513" s="171"/>
      <c r="E513"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14" spans="2:5" ht="20" customHeight="1" x14ac:dyDescent="0.2">
      <c r="B514" s="23" t="s">
        <v>249</v>
      </c>
      <c r="C514" s="103" t="str">
        <f>IF(cluster_wld_domain_chosen&lt;&gt;"MGMT Workload Domain",CONCATENATE(prefix_wld_az1_rack_cidr,"26.116"),CONCATENATE(prefix_mgmt_az1_cidr,"26.116"))</f>
        <v>10.13.26.116</v>
      </c>
      <c r="D514" s="171"/>
      <c r="E514"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row r="515" spans="2:5" ht="20" customHeight="1" x14ac:dyDescent="0.2">
      <c r="B515" s="424" t="str">
        <f>IF(OR(cluster_secondary_storage_chosen="Secondary NFS Storage Network",wld_secondary_storage_chosen="Secondary NFS Storage Network"),"NFS Storage Network","vSAN Storage Client")</f>
        <v>vSAN Storage Client</v>
      </c>
      <c r="C515" s="425"/>
      <c r="D515" s="425"/>
      <c r="E515" s="426"/>
    </row>
    <row r="516" spans="2:5" ht="20" customHeight="1" x14ac:dyDescent="0.2">
      <c r="B516" s="4" t="s">
        <v>85</v>
      </c>
      <c r="C516" s="109" t="str">
        <f>IF(cluster_wld_domain_chosen&lt;&gt;"MGMT Workload Domain",CONCATENATE(prefix_wld_az1_rack_vlan,"37"),CONCATENATE(prefix_mgmt_az1_vlan,"37"))</f>
        <v>1337</v>
      </c>
      <c r="D516" s="66"/>
      <c r="E516" s="42"/>
    </row>
    <row r="517" spans="2:5" ht="20" customHeight="1" x14ac:dyDescent="0.2">
      <c r="B517" s="4" t="s">
        <v>157</v>
      </c>
      <c r="C517" s="109">
        <v>9000</v>
      </c>
      <c r="D517" s="66"/>
      <c r="E517" s="80"/>
    </row>
    <row r="518" spans="2:5" ht="20" customHeight="1" x14ac:dyDescent="0.2">
      <c r="B518" s="4" t="s">
        <v>183</v>
      </c>
      <c r="C518" s="109" t="str">
        <f>IF(cluster_wld_domain_chosen&lt;&gt;"MGMT Workload Domain",CONCATENATE(prefix_wld_az1_rack_cidr,"37.0"),CONCATENATE(prefix_mgmt_az1_cidr,"37.0"))</f>
        <v>10.13.37.0</v>
      </c>
      <c r="D518" s="66"/>
      <c r="E518" s="42"/>
    </row>
    <row r="519" spans="2:5" ht="20" customHeight="1" x14ac:dyDescent="0.2">
      <c r="B519" s="4" t="s">
        <v>278</v>
      </c>
      <c r="C519" s="109" t="s">
        <v>126</v>
      </c>
      <c r="D519" s="66"/>
      <c r="E519" s="42"/>
    </row>
    <row r="520" spans="2:5" ht="20" customHeight="1" x14ac:dyDescent="0.2">
      <c r="B520" s="4" t="s">
        <v>182</v>
      </c>
      <c r="C520" s="109" t="str">
        <f>IF(cluster_wld_domain_chosen&lt;&gt;"MGMT Workload Domain",CONCATENATE(prefix_wld_az1_rack_cidr,"37.1"),CONCATENATE(prefix_mgmt_az1_cidr,"37.1"))</f>
        <v>10.13.37.1</v>
      </c>
      <c r="D520" s="66"/>
      <c r="E520" s="42" t="str">
        <f>IF(AND(mgmt_stretched_cluster_result="Included",mgmt_dpg_reuse_result="Excluded"),"Stretched L2","")</f>
        <v/>
      </c>
    </row>
    <row r="521" spans="2:5" ht="20" customHeight="1" x14ac:dyDescent="0.2">
      <c r="B521" s="23" t="s">
        <v>248</v>
      </c>
      <c r="C521" s="109" t="str">
        <f>IF(cluster_wld_domain_chosen&lt;&gt;"MGMT Workload Domain",CONCATENATE(prefix_wld_az1_rack_cidr,"37.101"),CONCATENATE(prefix_mgmt_az1_cidr,"37.101"))</f>
        <v>10.13.37.101</v>
      </c>
      <c r="D521" s="66"/>
      <c r="E521"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22" spans="2:5" ht="20" customHeight="1" x14ac:dyDescent="0.2">
      <c r="B522" s="23" t="s">
        <v>249</v>
      </c>
      <c r="C522" s="109" t="str">
        <f>IF(cluster_wld_domain_chosen&lt;&gt;"MGMT Workload Domain",CONCATENATE(prefix_wld_az1_rack_cidr,"37.116"),CONCATENATE(prefix_mgmt_az1_cidr,"37.116"))</f>
        <v>10.13.37.116</v>
      </c>
      <c r="D522" s="66"/>
      <c r="E522"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row r="523" spans="2:5" ht="20" customHeight="1" x14ac:dyDescent="0.2">
      <c r="B523" s="424" t="str">
        <f>IF(OR(cluster_secondary_storage_chosen="Secondary NFS Storage Network",wld_secondary_storage_chosen="Secondary NFS Storage Network"),"NFS Storage Network","vSAN Storage Client")</f>
        <v>vSAN Storage Client</v>
      </c>
      <c r="C523" s="425"/>
      <c r="D523" s="425"/>
      <c r="E523" s="426"/>
    </row>
    <row r="524" spans="2:5" ht="20" customHeight="1" x14ac:dyDescent="0.2">
      <c r="B524" s="4" t="s">
        <v>85</v>
      </c>
      <c r="C524" s="65" t="str">
        <f>IF(cluster_wld_domain_chosen&lt;&gt;"MGMT Workload Domain",CONCATENATE(prefix_wld_az1_rack_vlan,"48"),CONCATENATE(prefix_mgmt_az1_vlan,"48"))</f>
        <v>1348</v>
      </c>
      <c r="D524" s="66"/>
      <c r="E524" s="42"/>
    </row>
    <row r="525" spans="2:5" ht="20" customHeight="1" x14ac:dyDescent="0.2">
      <c r="B525" s="4" t="s">
        <v>157</v>
      </c>
      <c r="C525" s="65">
        <v>9000</v>
      </c>
      <c r="D525" s="66"/>
      <c r="E525" s="80"/>
    </row>
    <row r="526" spans="2:5" ht="20" customHeight="1" x14ac:dyDescent="0.2">
      <c r="B526" s="4" t="s">
        <v>183</v>
      </c>
      <c r="C526" s="154" t="str">
        <f>IF(cluster_wld_domain_chosen&lt;&gt;"MGMT Workload Domain",CONCATENATE(prefix_wld_az1_rack_cidr,"48.0"),CONCATENATE(prefix_mgmt_az1_cidr,"48.0"))</f>
        <v>10.13.48.0</v>
      </c>
      <c r="D526" s="66"/>
      <c r="E526" s="42"/>
    </row>
    <row r="527" spans="2:5" ht="20" customHeight="1" x14ac:dyDescent="0.2">
      <c r="B527" s="4" t="s">
        <v>278</v>
      </c>
      <c r="C527" s="154" t="s">
        <v>126</v>
      </c>
      <c r="D527" s="66"/>
      <c r="E527" s="42"/>
    </row>
    <row r="528" spans="2:5" ht="20" customHeight="1" x14ac:dyDescent="0.2">
      <c r="B528" s="4" t="s">
        <v>182</v>
      </c>
      <c r="C528" s="65" t="str">
        <f>IF(cluster_wld_domain_chosen&lt;&gt;"MGMT Workload Domain",CONCATENATE(prefix_wld_az1_rack_cidr,"48.1"),CONCATENATE(prefix_mgmt_az1_cidr,"48.1"))</f>
        <v>10.13.48.1</v>
      </c>
      <c r="D528" s="66"/>
      <c r="E528" s="42" t="str">
        <f>IF(AND(mgmt_stretched_cluster_result="Included",mgmt_dpg_reuse_result="Excluded"),"Stretched L2","")</f>
        <v/>
      </c>
    </row>
    <row r="529" spans="2:5" ht="20" customHeight="1" x14ac:dyDescent="0.2">
      <c r="B529" s="23" t="s">
        <v>248</v>
      </c>
      <c r="C529" s="65" t="str">
        <f>IF(cluster_wld_domain_chosen&lt;&gt;"MGMT Workload Domain",CONCATENATE(prefix_wld_az1_rack_cidr,"48.101"),CONCATENATE(prefix_mgmt_az1_cidr,"48.101"))</f>
        <v>10.13.48.101</v>
      </c>
      <c r="D529" s="66"/>
      <c r="E529"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30" spans="2:5" ht="20" customHeight="1" x14ac:dyDescent="0.2">
      <c r="B530" s="23" t="s">
        <v>249</v>
      </c>
      <c r="C530" s="65" t="str">
        <f>IF(cluster_wld_domain_chosen&lt;&gt;"MGMT Workload Domain",CONCATENATE(prefix_wld_az1_rack_cidr,"48.116"),CONCATENATE(prefix_mgmt_az1_cidr,"48.116"))</f>
        <v>10.13.48.116</v>
      </c>
      <c r="D530" s="66"/>
      <c r="E530"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row r="531" spans="2:5" ht="20" customHeight="1" x14ac:dyDescent="0.2">
      <c r="B531" s="424" t="str">
        <f>IF(OR(cluster_secondary_storage_chosen="Secondary NFS Storage Network",wld_secondary_storage_chosen="Secondary NFS Storage Network"),"NFS Storage Network","vSAN Storage Client")</f>
        <v>vSAN Storage Client</v>
      </c>
      <c r="C531" s="425"/>
      <c r="D531" s="425"/>
      <c r="E531" s="426"/>
    </row>
    <row r="532" spans="2:5" ht="20" customHeight="1" x14ac:dyDescent="0.2">
      <c r="B532" s="4" t="s">
        <v>85</v>
      </c>
      <c r="C532" s="65" t="str">
        <f>IF(cluster_wld_domain_chosen&lt;&gt;"MGMT Workload Domain",CONCATENATE(prefix_wld_az1_rack_vlan,"59"),CONCATENATE(prefix_mgmt_az1_vlan,"59"))</f>
        <v>1359</v>
      </c>
      <c r="D532" s="66"/>
      <c r="E532" s="42"/>
    </row>
    <row r="533" spans="2:5" ht="20" customHeight="1" x14ac:dyDescent="0.2">
      <c r="B533" s="4" t="s">
        <v>157</v>
      </c>
      <c r="C533" s="65">
        <v>9000</v>
      </c>
      <c r="D533" s="66"/>
      <c r="E533" s="80"/>
    </row>
    <row r="534" spans="2:5" ht="20" customHeight="1" x14ac:dyDescent="0.2">
      <c r="B534" s="4" t="s">
        <v>183</v>
      </c>
      <c r="C534" s="154" t="str">
        <f>IF(cluster_wld_domain_chosen&lt;&gt;"MGMT Workload Domain",CONCATENATE(prefix_wld_az1_rack_cidr,"59.0"),CONCATENATE(prefix_mgmt_az1_cidr,"59.0"))</f>
        <v>10.13.59.0</v>
      </c>
      <c r="D534" s="66"/>
      <c r="E534" s="42"/>
    </row>
    <row r="535" spans="2:5" ht="20" customHeight="1" x14ac:dyDescent="0.2">
      <c r="B535" s="4" t="s">
        <v>278</v>
      </c>
      <c r="C535" s="154" t="s">
        <v>126</v>
      </c>
      <c r="D535" s="66"/>
      <c r="E535" s="42"/>
    </row>
    <row r="536" spans="2:5" ht="20" customHeight="1" x14ac:dyDescent="0.2">
      <c r="B536" s="4" t="s">
        <v>182</v>
      </c>
      <c r="C536" s="65" t="str">
        <f>IF(cluster_wld_domain_chosen&lt;&gt;"MGMT Workload Domain",CONCATENATE(prefix_wld_az1_rack_cidr,"59.1"),CONCATENATE(prefix_mgmt_az1_cidr,"59.1"))</f>
        <v>10.13.59.1</v>
      </c>
      <c r="D536" s="66"/>
      <c r="E536" s="42" t="str">
        <f>IF(AND(mgmt_stretched_cluster_result="Included",mgmt_dpg_reuse_result="Excluded"),"Stretched L2","")</f>
        <v/>
      </c>
    </row>
    <row r="537" spans="2:5" ht="20" customHeight="1" x14ac:dyDescent="0.2">
      <c r="B537" s="23" t="s">
        <v>248</v>
      </c>
      <c r="C537" s="65" t="str">
        <f>IF(cluster_wld_domain_chosen&lt;&gt;"MGMT Workload Domain",CONCATENATE(prefix_wld_az1_rack_cidr,"59.101"),CONCATENATE(prefix_mgmt_az1_cidr,"59.101"))</f>
        <v>10.13.59.101</v>
      </c>
      <c r="D537" s="66"/>
      <c r="E537"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38" spans="2:5" ht="20" customHeight="1" x14ac:dyDescent="0.2">
      <c r="B538" s="23" t="s">
        <v>249</v>
      </c>
      <c r="C538" s="65" t="str">
        <f>IF(cluster_wld_domain_chosen&lt;&gt;"MGMT Workload Domain",CONCATENATE(prefix_wld_az1_rack_cidr,"59.116"),CONCATENATE(prefix_mgmt_az1_cidr,"59.116"))</f>
        <v>10.13.59.116</v>
      </c>
      <c r="D538" s="66"/>
      <c r="E538"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row r="539" spans="2:5" ht="20" customHeight="1" x14ac:dyDescent="0.2">
      <c r="B539" s="424" t="str">
        <f>IF(OR(cluster_secondary_storage_chosen="Secondary NFS Storage Network",wld_secondary_storage_chosen="Secondary NFS Storage Network"),"NFS Storage Network","vSAN Storage Client")</f>
        <v>vSAN Storage Client</v>
      </c>
      <c r="C539" s="425"/>
      <c r="D539" s="425"/>
      <c r="E539" s="426"/>
    </row>
    <row r="540" spans="2:5" ht="20" customHeight="1" x14ac:dyDescent="0.2">
      <c r="B540" s="4" t="s">
        <v>85</v>
      </c>
      <c r="C540" s="65" t="str">
        <f>IF(cluster_wld_domain_chosen&lt;&gt;"MGMT Workload Domain",CONCATENATE(prefix_wld_az1_rack_vlan,"70"),CONCATENATE(prefix_mgmt_az1_vlan,"70"))</f>
        <v>1370</v>
      </c>
      <c r="D540" s="66"/>
      <c r="E540" s="42"/>
    </row>
    <row r="541" spans="2:5" ht="20" customHeight="1" x14ac:dyDescent="0.2">
      <c r="B541" s="4" t="s">
        <v>157</v>
      </c>
      <c r="C541" s="65">
        <v>9000</v>
      </c>
      <c r="D541" s="66"/>
      <c r="E541" s="80"/>
    </row>
    <row r="542" spans="2:5" ht="20" customHeight="1" x14ac:dyDescent="0.2">
      <c r="B542" s="4" t="s">
        <v>183</v>
      </c>
      <c r="C542" s="154" t="str">
        <f>IF(cluster_wld_domain_chosen&lt;&gt;"MGMT Workload Domain",CONCATENATE(prefix_wld_az1_rack_cidr,"70.0"),CONCATENATE(prefix_mgmt_az1_cidr,"70.0"))</f>
        <v>10.13.70.0</v>
      </c>
      <c r="D542" s="66"/>
      <c r="E542" s="42"/>
    </row>
    <row r="543" spans="2:5" ht="20" customHeight="1" x14ac:dyDescent="0.2">
      <c r="B543" s="4" t="s">
        <v>278</v>
      </c>
      <c r="C543" s="154" t="s">
        <v>126</v>
      </c>
      <c r="D543" s="66"/>
      <c r="E543" s="42"/>
    </row>
    <row r="544" spans="2:5" ht="20" customHeight="1" x14ac:dyDescent="0.2">
      <c r="B544" s="4" t="s">
        <v>182</v>
      </c>
      <c r="C544" s="65" t="str">
        <f>IF(cluster_wld_domain_chosen&lt;&gt;"MGMT Workload Domain",CONCATENATE(prefix_wld_az1_rack_cidr,"70.1"),CONCATENATE(prefix_mgmt_az1_cidr,"70.1"))</f>
        <v>10.13.70.1</v>
      </c>
      <c r="D544" s="66"/>
      <c r="E544" s="42" t="str">
        <f>IF(AND(mgmt_stretched_cluster_result="Included",mgmt_dpg_reuse_result="Excluded"),"Stretched L2","")</f>
        <v/>
      </c>
    </row>
    <row r="545" spans="2:5" ht="20" customHeight="1" x14ac:dyDescent="0.2">
      <c r="B545" s="23" t="s">
        <v>248</v>
      </c>
      <c r="C545" s="65" t="str">
        <f>IF(cluster_wld_domain_chosen&lt;&gt;"MGMT Workload Domain",CONCATENATE(prefix_wld_az1_rack_cidr,"70.101"),CONCATENATE(prefix_mgmt_az1_cidr,"70.101"))</f>
        <v>10.13.70.101</v>
      </c>
      <c r="D545" s="66"/>
      <c r="E545"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46" spans="2:5" ht="20" customHeight="1" x14ac:dyDescent="0.2">
      <c r="B546" s="23" t="s">
        <v>249</v>
      </c>
      <c r="C546" s="65" t="str">
        <f>IF(cluster_wld_domain_chosen&lt;&gt;"MGMT Workload Domain",CONCATENATE(prefix_wld_az1_rack_cidr,"70.116"),CONCATENATE(prefix_mgmt_az1_cidr,"70.116"))</f>
        <v>10.13.70.116</v>
      </c>
      <c r="D546" s="66"/>
      <c r="E546"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row r="547" spans="2:5" ht="20" customHeight="1" x14ac:dyDescent="0.2">
      <c r="B547" s="424" t="str">
        <f>IF(OR(cluster_secondary_storage_chosen="Secondary NFS Storage Network",wld_secondary_storage_chosen="Secondary NFS Storage Network"),"NFS Storage Network","vSAN Storage Client")</f>
        <v>vSAN Storage Client</v>
      </c>
      <c r="C547" s="425"/>
      <c r="D547" s="425"/>
      <c r="E547" s="426"/>
    </row>
    <row r="548" spans="2:5" ht="20" customHeight="1" x14ac:dyDescent="0.2">
      <c r="B548" s="4" t="s">
        <v>85</v>
      </c>
      <c r="C548" s="65" t="str">
        <f>IF(cluster_wld_domain_chosen&lt;&gt;"MGMT Workload Domain",CONCATENATE(prefix_wld_az1_rack_vlan,"81"),CONCATENATE(prefix_mgmt_az1_vlan,"81"))</f>
        <v>1381</v>
      </c>
      <c r="D548" s="66"/>
      <c r="E548" s="42"/>
    </row>
    <row r="549" spans="2:5" ht="20" customHeight="1" x14ac:dyDescent="0.2">
      <c r="B549" s="4" t="s">
        <v>157</v>
      </c>
      <c r="C549" s="65">
        <v>9000</v>
      </c>
      <c r="D549" s="66"/>
      <c r="E549" s="80"/>
    </row>
    <row r="550" spans="2:5" ht="20" customHeight="1" x14ac:dyDescent="0.2">
      <c r="B550" s="4" t="s">
        <v>183</v>
      </c>
      <c r="C550" s="154" t="str">
        <f>IF(cluster_wld_domain_chosen&lt;&gt;"MGMT Workload Domain",CONCATENATE(prefix_wld_az1_rack_cidr,"81.0"),CONCATENATE(prefix_mgmt_az1_cidr,"81.0"))</f>
        <v>10.13.81.0</v>
      </c>
      <c r="D550" s="66"/>
      <c r="E550" s="42"/>
    </row>
    <row r="551" spans="2:5" ht="20" customHeight="1" x14ac:dyDescent="0.2">
      <c r="B551" s="4" t="s">
        <v>278</v>
      </c>
      <c r="C551" s="154" t="s">
        <v>126</v>
      </c>
      <c r="D551" s="66"/>
      <c r="E551" s="42"/>
    </row>
    <row r="552" spans="2:5" ht="20" customHeight="1" x14ac:dyDescent="0.2">
      <c r="B552" s="4" t="s">
        <v>182</v>
      </c>
      <c r="C552" s="65" t="str">
        <f>IF(cluster_wld_domain_chosen&lt;&gt;"MGMT Workload Domain",CONCATENATE(prefix_wld_az1_rack_cidr,"81.1"),CONCATENATE(prefix_mgmt_az1_cidr,"81.1"))</f>
        <v>10.13.81.1</v>
      </c>
      <c r="D552" s="66"/>
      <c r="E552" s="42" t="str">
        <f>IF(AND(mgmt_stretched_cluster_result="Included",mgmt_dpg_reuse_result="Excluded"),"Stretched L2","")</f>
        <v/>
      </c>
    </row>
    <row r="553" spans="2:5" ht="20" customHeight="1" x14ac:dyDescent="0.2">
      <c r="B553" s="23" t="s">
        <v>248</v>
      </c>
      <c r="C553" s="65" t="str">
        <f>IF(cluster_wld_domain_chosen&lt;&gt;"MGMT Workload Domain",CONCATENATE(prefix_wld_az1_rack_cidr,"81.101"),CONCATENATE(prefix_mgmt_az1_cidr,"81.101"))</f>
        <v>10.13.81.101</v>
      </c>
      <c r="D553" s="66"/>
      <c r="E553"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54" spans="2:5" ht="20" customHeight="1" x14ac:dyDescent="0.2">
      <c r="B554" s="23" t="s">
        <v>249</v>
      </c>
      <c r="C554" s="65" t="str">
        <f>IF(cluster_wld_domain_chosen&lt;&gt;"MGMT Workload Domain",CONCATENATE(prefix_wld_az1_rack_cidr,"81.116"),CONCATENATE(prefix_mgmt_az1_cidr,"81.116"))</f>
        <v>10.13.81.116</v>
      </c>
      <c r="D554" s="66"/>
      <c r="E554"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row r="555" spans="2:5" ht="20" customHeight="1" x14ac:dyDescent="0.2">
      <c r="B555" s="424" t="str">
        <f>IF(OR(cluster_secondary_storage_chosen="Secondary NFS Storage Network",wld_secondary_storage_chosen="Secondary NFS Storage Network"),"NFS Storage Network","vSAN Storage Client")</f>
        <v>vSAN Storage Client</v>
      </c>
      <c r="C555" s="425"/>
      <c r="D555" s="425"/>
      <c r="E555" s="426"/>
    </row>
    <row r="556" spans="2:5" ht="20" customHeight="1" x14ac:dyDescent="0.2">
      <c r="B556" s="4" t="s">
        <v>85</v>
      </c>
      <c r="C556" s="65" t="str">
        <f>IF(cluster_wld_domain_chosen&lt;&gt;"MGMT Workload Domain",CONCATENATE(prefix_wld_az1_rack_vlan,"92"),CONCATENATE(prefix_mgmt_az1_vlan,"92"))</f>
        <v>1392</v>
      </c>
      <c r="D556" s="66"/>
      <c r="E556" s="42"/>
    </row>
    <row r="557" spans="2:5" ht="20" customHeight="1" x14ac:dyDescent="0.2">
      <c r="B557" s="4" t="s">
        <v>157</v>
      </c>
      <c r="C557" s="65">
        <v>9200</v>
      </c>
      <c r="D557" s="66"/>
      <c r="E557" s="80"/>
    </row>
    <row r="558" spans="2:5" ht="20" customHeight="1" x14ac:dyDescent="0.2">
      <c r="B558" s="4" t="s">
        <v>183</v>
      </c>
      <c r="C558" s="154" t="str">
        <f>IF(cluster_wld_domain_chosen&lt;&gt;"MGMT Workload Domain",CONCATENATE(prefix_wld_az1_rack_cidr,"92.0"),CONCATENATE(prefix_mgmt_az1_cidr,"92.0"))</f>
        <v>10.13.92.0</v>
      </c>
      <c r="D558" s="66"/>
      <c r="E558" s="42"/>
    </row>
    <row r="559" spans="2:5" ht="20" customHeight="1" x14ac:dyDescent="0.2">
      <c r="B559" s="4" t="s">
        <v>278</v>
      </c>
      <c r="C559" s="154" t="s">
        <v>126</v>
      </c>
      <c r="D559" s="66"/>
      <c r="E559" s="42"/>
    </row>
    <row r="560" spans="2:5" ht="20" customHeight="1" x14ac:dyDescent="0.2">
      <c r="B560" s="4" t="s">
        <v>182</v>
      </c>
      <c r="C560" s="65" t="str">
        <f>IF(cluster_wld_domain_chosen&lt;&gt;"MGMT Workload Domain",CONCATENATE(prefix_wld_az1_rack_cidr,"92.1"),CONCATENATE(prefix_mgmt_az1_cidr,"92.1"))</f>
        <v>10.13.92.1</v>
      </c>
      <c r="D560" s="66"/>
      <c r="E560" s="42" t="str">
        <f>IF(AND(mgmt_stretched_cluster_result="Included",mgmt_dpg_reuse_result="Excluded"),"Stretched L2","")</f>
        <v/>
      </c>
    </row>
    <row r="561" spans="2:5" ht="20" customHeight="1" x14ac:dyDescent="0.2">
      <c r="B561" s="23" t="s">
        <v>248</v>
      </c>
      <c r="C561" s="65" t="str">
        <f>IF(cluster_wld_domain_chosen&lt;&gt;"MGMT Workload Domain",CONCATENATE(prefix_wld_az1_rack_cidr,"92.101"),CONCATENATE(prefix_mgmt_az1_cidr,"92.101"))</f>
        <v>10.13.92.101</v>
      </c>
      <c r="D561" s="66"/>
      <c r="E561" s="120" t="str">
        <f>IF(OR(cluster_secondary_storage_chosen="Secondary NFS Storage Network",wld_secondary_storage_chosen="Secondary NFS Storage Network"),"Start IP of the Secondary Storage NFS Pool Range","Start IP of the vSAN Storage Client Pool Range")</f>
        <v>Start IP of the vSAN Storage Client Pool Range</v>
      </c>
    </row>
    <row r="562" spans="2:5" ht="20" customHeight="1" x14ac:dyDescent="0.2">
      <c r="B562" s="23" t="s">
        <v>249</v>
      </c>
      <c r="C562" s="65" t="str">
        <f>IF(cluster_wld_domain_chosen&lt;&gt;"MGMT Workload Domain",CONCATENATE(prefix_wld_az1_rack_cidr,"92.116"),CONCATENATE(prefix_mgmt_az1_cidr,"92.116"))</f>
        <v>10.13.92.116</v>
      </c>
      <c r="D562" s="66"/>
      <c r="E562" s="120" t="str">
        <f>IF(OR(cluster_secondary_storage_chosen="Secondary NFS Storage Network",wld_secondary_storage_chosen="Secondary NFS Storage Network"),"Start IP of the Secondary Storage NFS Pool Range","End IP of the vSAN Storage Client Pool Range")</f>
        <v>End IP of the vSAN Storage Client Pool Range</v>
      </c>
    </row>
  </sheetData>
  <sheetProtection algorithmName="SHA-512" hashValue="1vtGKzy5GuWNdbg7nVXRyNOt0OzUZmoT3HzRNiYuVnClEKn5F8f6+Ov34axM1xWU3gqfDttvalDYhw75CDp5WQ==" saltValue="JGNPGyXnt7I/fKEOsReMKA==" spinCount="100000" sheet="1" objects="1" scenarios="1"/>
  <mergeCells count="66">
    <mergeCell ref="B547:E547"/>
    <mergeCell ref="B555:E555"/>
    <mergeCell ref="B507:E507"/>
    <mergeCell ref="B515:E515"/>
    <mergeCell ref="B523:E523"/>
    <mergeCell ref="B531:E531"/>
    <mergeCell ref="B539:E539"/>
    <mergeCell ref="B410:E410"/>
    <mergeCell ref="B389:E389"/>
    <mergeCell ref="B400:E400"/>
    <mergeCell ref="B408:E408"/>
    <mergeCell ref="B251:E251"/>
    <mergeCell ref="B363:E363"/>
    <mergeCell ref="B384:E384"/>
    <mergeCell ref="B358:E358"/>
    <mergeCell ref="B266:E266"/>
    <mergeCell ref="B262:E262"/>
    <mergeCell ref="B287:E287"/>
    <mergeCell ref="B292:E292"/>
    <mergeCell ref="B356:E356"/>
    <mergeCell ref="B327:E327"/>
    <mergeCell ref="B329:E329"/>
    <mergeCell ref="B342:E342"/>
    <mergeCell ref="B309:E309"/>
    <mergeCell ref="B127:E127"/>
    <mergeCell ref="B201:E201"/>
    <mergeCell ref="B273:E273"/>
    <mergeCell ref="B246:E246"/>
    <mergeCell ref="B217:E217"/>
    <mergeCell ref="B175:E175"/>
    <mergeCell ref="B152:E152"/>
    <mergeCell ref="B194:E194"/>
    <mergeCell ref="B181:E181"/>
    <mergeCell ref="B133:E133"/>
    <mergeCell ref="B160:E160"/>
    <mergeCell ref="B139:E139"/>
    <mergeCell ref="B219:E219"/>
    <mergeCell ref="B221:E221"/>
    <mergeCell ref="B226:E226"/>
    <mergeCell ref="B76:E76"/>
    <mergeCell ref="B66:E66"/>
    <mergeCell ref="B93:E93"/>
    <mergeCell ref="B95:E95"/>
    <mergeCell ref="B121:E121"/>
    <mergeCell ref="B101:E101"/>
    <mergeCell ref="B109:E109"/>
    <mergeCell ref="B84:E84"/>
    <mergeCell ref="B35:E35"/>
    <mergeCell ref="B52:E52"/>
    <mergeCell ref="B54:E54"/>
    <mergeCell ref="B68:E68"/>
    <mergeCell ref="B14:E14"/>
    <mergeCell ref="B2:J2"/>
    <mergeCell ref="B1:J1"/>
    <mergeCell ref="B16:E16"/>
    <mergeCell ref="B27:E27"/>
    <mergeCell ref="B25:E25"/>
    <mergeCell ref="H3:J3"/>
    <mergeCell ref="H11:J11"/>
    <mergeCell ref="H10:J10"/>
    <mergeCell ref="H12:J12"/>
    <mergeCell ref="H9:J9"/>
    <mergeCell ref="B8:J8"/>
    <mergeCell ref="H5:J5"/>
    <mergeCell ref="H7:J7"/>
    <mergeCell ref="H6:J6"/>
  </mergeCells>
  <conditionalFormatting sqref="D508:D514">
    <cfRule type="expression" dxfId="463" priority="45">
      <formula>wld_az1_rack2_reuse_vcf_networkpool_chosen="Re-use an existing VCF Network Pool"</formula>
    </cfRule>
    <cfRule type="expression" dxfId="462" priority="46">
      <formula>wld_multirack_result="Excluded"</formula>
    </cfRule>
    <cfRule type="expression" dxfId="461" priority="47">
      <formula>AND((cluster_secondary_storage_result="Excluded"),(wld_secondary_storage_result="Excluded"))</formula>
    </cfRule>
    <cfRule type="notContainsBlanks" dxfId="459" priority="49">
      <formula>LEN(TRIM(D508))&gt;0</formula>
    </cfRule>
    <cfRule type="containsBlanks" dxfId="458" priority="50">
      <formula>LEN(TRIM(D508))=0</formula>
    </cfRule>
  </conditionalFormatting>
  <conditionalFormatting sqref="D516:D522">
    <cfRule type="expression" dxfId="457" priority="39">
      <formula>wld_az1_rack3_reuse_vcf_networkpool_chosen="Re-use an existing VCF Network Pool"</formula>
    </cfRule>
    <cfRule type="expression" dxfId="456" priority="40">
      <formula>wld_multirack_result="Excluded"</formula>
    </cfRule>
    <cfRule type="expression" dxfId="455" priority="41">
      <formula>AND((cluster_secondary_storage_result="Excluded"),(wld_secondary_storage_result="Excluded"))</formula>
    </cfRule>
    <cfRule type="notContainsBlanks" dxfId="453" priority="43">
      <formula>LEN(TRIM(D516))&gt;0</formula>
    </cfRule>
    <cfRule type="containsBlanks" dxfId="452" priority="44">
      <formula>LEN(TRIM(D516))=0</formula>
    </cfRule>
  </conditionalFormatting>
  <conditionalFormatting sqref="D524:D530">
    <cfRule type="expression" dxfId="451" priority="33">
      <formula>wld_az1_rack4_reuse_vcf_networkpool_chosen="Re-use an existing VCF Network Pool"</formula>
    </cfRule>
    <cfRule type="expression" dxfId="450" priority="34">
      <formula>wld_multirack_result="Excluded"</formula>
    </cfRule>
    <cfRule type="expression" dxfId="449" priority="35">
      <formula>AND((cluster_secondary_storage_result="Excluded"),(wld_secondary_storage_result="Excluded"))</formula>
    </cfRule>
    <cfRule type="notContainsBlanks" dxfId="447" priority="37">
      <formula>LEN(TRIM(D524))&gt;0</formula>
    </cfRule>
    <cfRule type="containsBlanks" dxfId="446" priority="38">
      <formula>LEN(TRIM(D524))=0</formula>
    </cfRule>
  </conditionalFormatting>
  <conditionalFormatting sqref="D532:D538">
    <cfRule type="expression" dxfId="445" priority="26">
      <formula>wld_az1_rack5_reuse_vcf_networkpool_chosen="Re-use an existing VCF Network Pool"</formula>
    </cfRule>
    <cfRule type="expression" dxfId="444" priority="27">
      <formula>wld_multirack_result="Excluded"</formula>
    </cfRule>
    <cfRule type="expression" dxfId="443" priority="28">
      <formula>AND((cluster_secondary_storage_result="Excluded"),(wld_secondary_storage_result="Excluded"))</formula>
    </cfRule>
    <cfRule type="expression" dxfId="442" priority="29">
      <formula>wld_multi_rack_count_chosen&lt;4</formula>
    </cfRule>
    <cfRule type="notContainsBlanks" dxfId="440" priority="31">
      <formula>LEN(TRIM(D532))&gt;0</formula>
    </cfRule>
    <cfRule type="containsBlanks" dxfId="439" priority="32">
      <formula>LEN(TRIM(D532))=0</formula>
    </cfRule>
  </conditionalFormatting>
  <conditionalFormatting sqref="D540:D546">
    <cfRule type="expression" dxfId="438" priority="19">
      <formula>wld_az1_rack6_reuse_vcf_networkpool_chosen="Re-use an existing VCF Network Pool"</formula>
    </cfRule>
    <cfRule type="expression" dxfId="437" priority="20">
      <formula>wld_multirack_result="Excluded"</formula>
    </cfRule>
    <cfRule type="expression" dxfId="436" priority="21">
      <formula>AND((cluster_secondary_storage_result="Excluded"),(wld_secondary_storage_result="Excluded"))</formula>
    </cfRule>
    <cfRule type="expression" dxfId="435" priority="22">
      <formula>wld_multi_rack_count_chosen&lt;5</formula>
    </cfRule>
    <cfRule type="notContainsBlanks" dxfId="433" priority="24">
      <formula>LEN(TRIM(D540))&gt;0</formula>
    </cfRule>
    <cfRule type="containsBlanks" dxfId="432" priority="25">
      <formula>LEN(TRIM(D540))=0</formula>
    </cfRule>
  </conditionalFormatting>
  <conditionalFormatting sqref="D548:D554">
    <cfRule type="expression" dxfId="431" priority="12">
      <formula>wld_az1_rack7_reuse_vcf_networkpool_chosen="Re-use an existing VCF Network Pool"</formula>
    </cfRule>
    <cfRule type="expression" dxfId="430" priority="13">
      <formula>wld_multirack_result="Excluded"</formula>
    </cfRule>
    <cfRule type="expression" dxfId="429" priority="14">
      <formula>AND((cluster_secondary_storage_result="Excluded"),(wld_secondary_storage_result="Excluded"))</formula>
    </cfRule>
    <cfRule type="expression" dxfId="428" priority="15">
      <formula>wld_multi_rack_count_chosen&lt;6</formula>
    </cfRule>
    <cfRule type="notContainsBlanks" dxfId="426" priority="17">
      <formula>LEN(TRIM(D548))&gt;0</formula>
    </cfRule>
    <cfRule type="containsBlanks" dxfId="425" priority="18">
      <formula>LEN(TRIM(D548))=0</formula>
    </cfRule>
  </conditionalFormatting>
  <conditionalFormatting sqref="D556:D562">
    <cfRule type="expression" dxfId="424" priority="5">
      <formula>wld_az1_rack8_reuse_vcf_networkpool_chosen="Re-use an existing VCF Network Pool"</formula>
    </cfRule>
    <cfRule type="expression" dxfId="423" priority="6">
      <formula>wld_multirack_result="Excluded"</formula>
    </cfRule>
    <cfRule type="expression" dxfId="422" priority="7">
      <formula>AND((cluster_secondary_storage_result="Excluded"),(wld_secondary_storage_result="Excluded"))</formula>
    </cfRule>
    <cfRule type="expression" dxfId="421" priority="8">
      <formula>wld_multi_rack_count_chosen&lt;7</formula>
    </cfRule>
    <cfRule type="notContainsBlanks" dxfId="419" priority="10">
      <formula>LEN(TRIM(D556))&gt;0</formula>
    </cfRule>
    <cfRule type="containsBlanks" dxfId="418" priority="11">
      <formula>LEN(TRIM(D556))=0</formula>
    </cfRule>
  </conditionalFormatting>
  <conditionalFormatting sqref="S7">
    <cfRule type="expression" dxfId="417" priority="1">
      <formula>wld_domain_result="Excluded"</formula>
    </cfRule>
    <cfRule type="expression" dxfId="416" priority="2">
      <formula>mgmt_domain_result="Excluded"</formula>
    </cfRule>
    <cfRule type="notContainsBlanks" dxfId="415" priority="3">
      <formula>LEN(TRIM(S7))&gt;0</formula>
    </cfRule>
    <cfRule type="containsBlanks" dxfId="414" priority="4">
      <formula>LEN(TRIM(S7))=0</formula>
    </cfRule>
  </conditionalFormatting>
  <dataValidations count="3">
    <dataValidation type="list" allowBlank="1" showInputMessage="1" showErrorMessage="1" sqref="C15:D15 C26" xr:uid="{4BEA9190-F800-344C-9020-B8C55E48864B}">
      <formula1>"Standard,Consolidated"</formula1>
    </dataValidation>
    <dataValidation type="list" allowBlank="1" showInputMessage="1" showErrorMessage="1" sqref="C64:D64 C89:D89" xr:uid="{F6BD0DA2-C340-4D45-B623-C1DC9E1F8C89}">
      <formula1>"Same SSO Domain,Different SSO Domain"</formula1>
    </dataValidation>
    <dataValidation type="list" allowBlank="1" showInputMessage="1" showErrorMessage="1" sqref="C53:D53" xr:uid="{3015415A-7C1C-CF4C-8C61-F8EE485E76C0}">
      <formula1>"User Interface,PowerShell"</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48" operator="containsText" id="{AD33D65D-6814-4240-869F-C80BD31C8F37}">
            <xm:f>NOT(ISERROR(SEARCH("Value Missing",D508)))</xm:f>
            <xm:f>"Value Missing"</xm:f>
            <x14:dxf>
              <font>
                <color rgb="FF0E223A"/>
              </font>
              <fill>
                <patternFill>
                  <bgColor rgb="FFFFBE29"/>
                </patternFill>
              </fill>
            </x14:dxf>
          </x14:cfRule>
          <xm:sqref>D508:D514</xm:sqref>
        </x14:conditionalFormatting>
        <x14:conditionalFormatting xmlns:xm="http://schemas.microsoft.com/office/excel/2006/main">
          <x14:cfRule type="containsText" priority="42" operator="containsText" id="{A048F58B-06EB-8848-9A55-BCC5EEC7D84C}">
            <xm:f>NOT(ISERROR(SEARCH("Value Missing",D516)))</xm:f>
            <xm:f>"Value Missing"</xm:f>
            <x14:dxf>
              <font>
                <color rgb="FF0E223A"/>
              </font>
              <fill>
                <patternFill>
                  <bgColor rgb="FFFFBE29"/>
                </patternFill>
              </fill>
            </x14:dxf>
          </x14:cfRule>
          <xm:sqref>D516:D522</xm:sqref>
        </x14:conditionalFormatting>
        <x14:conditionalFormatting xmlns:xm="http://schemas.microsoft.com/office/excel/2006/main">
          <x14:cfRule type="containsText" priority="36" operator="containsText" id="{F0FD4B9B-BB02-C349-8838-ABC7D6C78C5B}">
            <xm:f>NOT(ISERROR(SEARCH("Value Missing",D524)))</xm:f>
            <xm:f>"Value Missing"</xm:f>
            <x14:dxf>
              <font>
                <color rgb="FF0E223A"/>
              </font>
              <fill>
                <patternFill>
                  <bgColor rgb="FFFFBE29"/>
                </patternFill>
              </fill>
            </x14:dxf>
          </x14:cfRule>
          <xm:sqref>D524:D530</xm:sqref>
        </x14:conditionalFormatting>
        <x14:conditionalFormatting xmlns:xm="http://schemas.microsoft.com/office/excel/2006/main">
          <x14:cfRule type="containsText" priority="30" operator="containsText" id="{0418E6D3-E2E9-AD45-9EFF-B86DD5A86B97}">
            <xm:f>NOT(ISERROR(SEARCH("Value Missing",D532)))</xm:f>
            <xm:f>"Value Missing"</xm:f>
            <x14:dxf>
              <font>
                <color rgb="FF0E223A"/>
              </font>
              <fill>
                <patternFill>
                  <bgColor rgb="FFFFBE29"/>
                </patternFill>
              </fill>
            </x14:dxf>
          </x14:cfRule>
          <xm:sqref>D532:D538</xm:sqref>
        </x14:conditionalFormatting>
        <x14:conditionalFormatting xmlns:xm="http://schemas.microsoft.com/office/excel/2006/main">
          <x14:cfRule type="containsText" priority="23" operator="containsText" id="{51E4AF8D-DD3E-3448-BF62-C0FF2F8040EA}">
            <xm:f>NOT(ISERROR(SEARCH("Value Missing",D540)))</xm:f>
            <xm:f>"Value Missing"</xm:f>
            <x14:dxf>
              <font>
                <color rgb="FF0E223A"/>
              </font>
              <fill>
                <patternFill>
                  <bgColor rgb="FFFFBE29"/>
                </patternFill>
              </fill>
            </x14:dxf>
          </x14:cfRule>
          <xm:sqref>D540:D546</xm:sqref>
        </x14:conditionalFormatting>
        <x14:conditionalFormatting xmlns:xm="http://schemas.microsoft.com/office/excel/2006/main">
          <x14:cfRule type="containsText" priority="16" operator="containsText" id="{ADD8C2A2-9A27-C247-96FA-A3E154397623}">
            <xm:f>NOT(ISERROR(SEARCH("Value Missing",D548)))</xm:f>
            <xm:f>"Value Missing"</xm:f>
            <x14:dxf>
              <font>
                <color rgb="FF0E223A"/>
              </font>
              <fill>
                <patternFill>
                  <bgColor rgb="FFFFBE29"/>
                </patternFill>
              </fill>
            </x14:dxf>
          </x14:cfRule>
          <xm:sqref>D548:D554</xm:sqref>
        </x14:conditionalFormatting>
        <x14:conditionalFormatting xmlns:xm="http://schemas.microsoft.com/office/excel/2006/main">
          <x14:cfRule type="containsText" priority="9" operator="containsText" id="{4050537B-F511-BA42-A3A7-EBD16B9D0506}">
            <xm:f>NOT(ISERROR(SEARCH("Value Missing",D556)))</xm:f>
            <xm:f>"Value Missing"</xm:f>
            <x14:dxf>
              <font>
                <color rgb="FF0E223A"/>
              </font>
              <fill>
                <patternFill>
                  <bgColor rgb="FFFFBE29"/>
                </patternFill>
              </fill>
            </x14:dxf>
          </x14:cfRule>
          <xm:sqref>D556:D562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0476-CC84-E044-9A93-EB76B090E826}">
  <sheetPr codeName="Sheet7">
    <tabColor theme="7" tint="0.59999389629810485"/>
  </sheetPr>
  <dimension ref="A1:J656"/>
  <sheetViews>
    <sheetView showGridLines="0" workbookViewId="0">
      <pane ySplit="4" topLeftCell="A5" activePane="bottomLeft" state="frozen"/>
      <selection pane="bottomLeft"/>
    </sheetView>
  </sheetViews>
  <sheetFormatPr baseColWidth="10" defaultRowHeight="16" x14ac:dyDescent="0.2"/>
  <cols>
    <col min="1" max="1" width="2.83203125" customWidth="1"/>
    <col min="2" max="4" width="75.83203125" customWidth="1"/>
    <col min="5" max="5" width="125.83203125" customWidth="1"/>
  </cols>
  <sheetData>
    <row r="1" spans="1:10" s="2" customFormat="1" ht="16" customHeight="1" x14ac:dyDescent="0.2">
      <c r="A1" s="1"/>
      <c r="F1" s="9"/>
      <c r="G1" s="9"/>
      <c r="H1" s="9"/>
      <c r="I1" s="9"/>
      <c r="J1" s="9"/>
    </row>
    <row r="2" spans="1:10" s="2" customFormat="1" ht="54" customHeight="1" x14ac:dyDescent="0.2">
      <c r="B2" s="602" t="s">
        <v>2551</v>
      </c>
      <c r="C2" s="603"/>
      <c r="D2" s="603"/>
      <c r="E2" s="604"/>
      <c r="F2" s="9"/>
      <c r="G2" s="9"/>
      <c r="H2" s="9"/>
      <c r="I2" s="9"/>
      <c r="J2" s="9"/>
    </row>
    <row r="3" spans="1:10" s="2" customFormat="1" ht="20" customHeight="1" x14ac:dyDescent="0.2">
      <c r="B3" s="605" t="s">
        <v>660</v>
      </c>
      <c r="C3" s="606"/>
      <c r="D3" s="606"/>
      <c r="E3" s="607"/>
      <c r="F3" s="9"/>
      <c r="G3" s="9"/>
      <c r="H3" s="9"/>
      <c r="I3" s="9"/>
      <c r="J3" s="9"/>
    </row>
    <row r="4" spans="1:10" s="2" customFormat="1" x14ac:dyDescent="0.2">
      <c r="B4" s="2" t="s">
        <v>836</v>
      </c>
      <c r="D4" s="11"/>
      <c r="E4" s="3"/>
      <c r="F4" s="3"/>
    </row>
    <row r="5" spans="1:10" s="9" customFormat="1" ht="16" customHeight="1" x14ac:dyDescent="0.2"/>
    <row r="6" spans="1:10" ht="34" customHeight="1" x14ac:dyDescent="0.2">
      <c r="B6" s="569" t="s">
        <v>2552</v>
      </c>
      <c r="C6" s="570"/>
      <c r="D6" s="570"/>
      <c r="E6" s="571"/>
    </row>
    <row r="7" spans="1:10" ht="20" customHeight="1" x14ac:dyDescent="0.2">
      <c r="B7" s="62" t="s">
        <v>254</v>
      </c>
      <c r="C7" s="62" t="s">
        <v>255</v>
      </c>
      <c r="D7" s="161" t="s">
        <v>20</v>
      </c>
      <c r="E7" s="62" t="s">
        <v>256</v>
      </c>
    </row>
    <row r="8" spans="1:10" ht="20" customHeight="1" x14ac:dyDescent="0.2">
      <c r="B8" s="424" t="s">
        <v>206</v>
      </c>
      <c r="C8" s="425"/>
      <c r="D8" s="425"/>
      <c r="E8" s="426"/>
    </row>
    <row r="9" spans="1:10" ht="20" customHeight="1" x14ac:dyDescent="0.2">
      <c r="B9" s="4" t="s">
        <v>85</v>
      </c>
      <c r="C9" s="103" t="str">
        <f>IF(cluster_wld_domain_chosen&lt;&gt;"MGMT Workload Domain",CONCATENATE(prefix_wld_az1_rack_vlan,"22"),CONCATENATE(prefix_mgmt_az1_vlan,"22"))</f>
        <v>1322</v>
      </c>
      <c r="D9" s="66"/>
      <c r="E9" s="113"/>
    </row>
    <row r="10" spans="1:10" ht="20" customHeight="1" x14ac:dyDescent="0.2">
      <c r="B10" s="4" t="s">
        <v>182</v>
      </c>
      <c r="C10" s="103" t="str">
        <f>IF(cluster_wld_domain_chosen&lt;&gt;"MGMT Workload Domain",CONCATENATE(prefix_wld_az1_rack_cidr,"22.1"),CONCATENATE(prefix_mgmt_az1_cidr,"22.1"))</f>
        <v>10.13.22.1</v>
      </c>
      <c r="D10" s="66"/>
      <c r="E10" s="42"/>
    </row>
    <row r="11" spans="1:10" ht="20" customHeight="1" x14ac:dyDescent="0.2">
      <c r="B11" s="4" t="s">
        <v>183</v>
      </c>
      <c r="C11" s="103" t="str">
        <f>IF(cluster_wld_domain_chosen&lt;&gt;"MGMT Workload Domain",CONCATENATE(prefix_wld_az1_rack_cidr,"22.0/24"),CONCATENATE(prefix_mgmt_az1_cidr,"22.0/24"))</f>
        <v>10.13.22.0/24</v>
      </c>
      <c r="D11" s="66"/>
      <c r="E11" s="42"/>
    </row>
    <row r="12" spans="1:10" ht="20" customHeight="1" x14ac:dyDescent="0.2">
      <c r="B12" s="4" t="s">
        <v>157</v>
      </c>
      <c r="C12" s="103">
        <v>1500</v>
      </c>
      <c r="D12" s="66"/>
      <c r="E12" s="42"/>
    </row>
    <row r="13" spans="1:10" ht="20" customHeight="1" x14ac:dyDescent="0.2">
      <c r="B13" s="556" t="s">
        <v>207</v>
      </c>
      <c r="C13" s="557"/>
      <c r="D13" s="557"/>
      <c r="E13" s="558"/>
    </row>
    <row r="14" spans="1:10" ht="20" customHeight="1" x14ac:dyDescent="0.2">
      <c r="B14" s="23" t="s">
        <v>208</v>
      </c>
      <c r="C14" s="103" t="str">
        <f>IF(cluster_wld_domain_chosen&lt;&gt;"MGMT Workload Domain",CONCATENATE(prefix_wld_az1_rack_cidr,"22.101"),CONCATENATE(prefix_mgmt_az1_cidr,"22.101"))</f>
        <v>10.13.22.101</v>
      </c>
      <c r="D14" s="66"/>
      <c r="E14" s="163" t="s">
        <v>209</v>
      </c>
    </row>
    <row r="15" spans="1:10" ht="20" customHeight="1" x14ac:dyDescent="0.2">
      <c r="B15" s="23" t="s">
        <v>210</v>
      </c>
      <c r="C15" s="103" t="str">
        <f>IF(cluster_wld_domain_chosen&lt;&gt;"MGMT Workload Domain",CONCATENATE(prefix_wld_az1_rack_cidr,"22.102"),CONCATENATE(prefix_mgmt_az1_cidr,"22.102"))</f>
        <v>10.13.22.102</v>
      </c>
      <c r="D15" s="66"/>
      <c r="E15" s="163" t="s">
        <v>211</v>
      </c>
    </row>
    <row r="16" spans="1:10" ht="20" customHeight="1" x14ac:dyDescent="0.2">
      <c r="B16" s="23" t="s">
        <v>212</v>
      </c>
      <c r="C16" s="103" t="str">
        <f>IF(cluster_wld_domain_chosen&lt;&gt;"MGMT Workload Domain",CONCATENATE(prefix_wld_az1_rack_cidr,"22.103"),CONCATENATE(prefix_mgmt_az1_cidr,"22.103"))</f>
        <v>10.13.22.103</v>
      </c>
      <c r="D16" s="66"/>
      <c r="E16" s="163" t="s">
        <v>213</v>
      </c>
    </row>
    <row r="17" spans="2:5" ht="20" customHeight="1" x14ac:dyDescent="0.2">
      <c r="B17" s="23" t="s">
        <v>214</v>
      </c>
      <c r="C17" s="103" t="str">
        <f>IF(cluster_wld_domain_chosen&lt;&gt;"MGMT Workload Domain",CONCATENATE(prefix_wld_az1_rack_cidr,"22.104"),CONCATENATE(prefix_mgmt_az1_cidr,"22.104"))</f>
        <v>10.13.22.104</v>
      </c>
      <c r="D17" s="66"/>
      <c r="E17" s="163" t="s">
        <v>215</v>
      </c>
    </row>
    <row r="18" spans="2:5" ht="20" customHeight="1" x14ac:dyDescent="0.2">
      <c r="B18" s="23" t="s">
        <v>216</v>
      </c>
      <c r="C18" s="103" t="str">
        <f>IF(cluster_wld_domain_chosen&lt;&gt;"MGMT Workload Domain",CONCATENATE(prefix_wld_az1_rack_cidr,"22.105"),CONCATENATE(prefix_mgmt_az1_cidr,"22.105"))</f>
        <v>10.13.22.105</v>
      </c>
      <c r="D18" s="66"/>
      <c r="E18" s="163" t="s">
        <v>217</v>
      </c>
    </row>
    <row r="19" spans="2:5" ht="20" customHeight="1" x14ac:dyDescent="0.2">
      <c r="B19" s="23" t="s">
        <v>218</v>
      </c>
      <c r="C19" s="103" t="str">
        <f>IF(cluster_wld_domain_chosen&lt;&gt;"MGMT Workload Domain",CONCATENATE(prefix_wld_az1_rack_cidr,"22.106"),CONCATENATE(prefix_mgmt_az1_cidr,"22.106"))</f>
        <v>10.13.22.106</v>
      </c>
      <c r="D19" s="66"/>
      <c r="E19" s="163" t="s">
        <v>219</v>
      </c>
    </row>
    <row r="20" spans="2:5" ht="20" customHeight="1" x14ac:dyDescent="0.2">
      <c r="B20" s="23" t="s">
        <v>220</v>
      </c>
      <c r="C20" s="103" t="str">
        <f>IF(cluster_wld_domain_chosen&lt;&gt;"MGMT Workload Domain",CONCATENATE(prefix_wld_az1_rack_cidr,"22.107"),CONCATENATE(prefix_mgmt_az1_cidr,"22.107"))</f>
        <v>10.13.22.107</v>
      </c>
      <c r="D20" s="66"/>
      <c r="E20" s="163" t="s">
        <v>221</v>
      </c>
    </row>
    <row r="21" spans="2:5" ht="20" customHeight="1" x14ac:dyDescent="0.2">
      <c r="B21" s="23" t="s">
        <v>222</v>
      </c>
      <c r="C21" s="103" t="str">
        <f>IF(cluster_wld_domain_chosen&lt;&gt;"MGMT Workload Domain",CONCATENATE(prefix_wld_az1_rack_cidr,"22.108"),CONCATENATE(prefix_mgmt_az1_cidr,"22.108"))</f>
        <v>10.13.22.108</v>
      </c>
      <c r="D21" s="66"/>
      <c r="E21" s="163" t="s">
        <v>223</v>
      </c>
    </row>
    <row r="22" spans="2:5" ht="20" customHeight="1" x14ac:dyDescent="0.2">
      <c r="B22" s="23" t="s">
        <v>224</v>
      </c>
      <c r="C22" s="103" t="str">
        <f>IF(cluster_wld_domain_chosen&lt;&gt;"MGMT Workload Domain",CONCATENATE(prefix_wld_az1_rack_cidr,"22.109"),CONCATENATE(prefix_mgmt_az1_cidr,"22.109"))</f>
        <v>10.13.22.109</v>
      </c>
      <c r="D22" s="66"/>
      <c r="E22" s="163" t="s">
        <v>225</v>
      </c>
    </row>
    <row r="23" spans="2:5" ht="20" customHeight="1" x14ac:dyDescent="0.2">
      <c r="B23" s="23" t="s">
        <v>226</v>
      </c>
      <c r="C23" s="103" t="str">
        <f>IF(cluster_wld_domain_chosen&lt;&gt;"MGMT Workload Domain",CONCATENATE(prefix_wld_az1_rack_cidr,"22.110"),CONCATENATE(prefix_mgmt_az1_cidr,"22.110"))</f>
        <v>10.13.22.110</v>
      </c>
      <c r="D23" s="66"/>
      <c r="E23" s="163" t="s">
        <v>227</v>
      </c>
    </row>
    <row r="24" spans="2:5" ht="20" customHeight="1" x14ac:dyDescent="0.2">
      <c r="B24" s="23" t="s">
        <v>228</v>
      </c>
      <c r="C24" s="103" t="str">
        <f>IF(cluster_wld_domain_chosen&lt;&gt;"MGMT Workload Domain",CONCATENATE(prefix_wld_az1_rack_cidr,"22.111"),CONCATENATE(prefix_mgmt_az1_cidr,"22.111"))</f>
        <v>10.13.22.111</v>
      </c>
      <c r="D24" s="66"/>
      <c r="E24" s="163" t="s">
        <v>229</v>
      </c>
    </row>
    <row r="25" spans="2:5" ht="20" customHeight="1" x14ac:dyDescent="0.2">
      <c r="B25" s="23" t="s">
        <v>230</v>
      </c>
      <c r="C25" s="103" t="str">
        <f>IF(cluster_wld_domain_chosen&lt;&gt;"MGMT Workload Domain",CONCATENATE(prefix_wld_az1_rack_cidr,"22.112"),CONCATENATE(prefix_mgmt_az1_cidr,"22.112"))</f>
        <v>10.13.22.112</v>
      </c>
      <c r="D25" s="66"/>
      <c r="E25" s="163" t="s">
        <v>231</v>
      </c>
    </row>
    <row r="26" spans="2:5" ht="20" customHeight="1" x14ac:dyDescent="0.2">
      <c r="B26" s="23" t="s">
        <v>232</v>
      </c>
      <c r="C26" s="103" t="str">
        <f>IF(cluster_wld_domain_chosen&lt;&gt;"MGMT Workload Domain",CONCATENATE(prefix_wld_az1_rack_cidr,"22.113"),CONCATENATE(prefix_mgmt_az1_cidr,"22.113"))</f>
        <v>10.13.22.113</v>
      </c>
      <c r="D26" s="66"/>
      <c r="E26" s="163" t="s">
        <v>233</v>
      </c>
    </row>
    <row r="27" spans="2:5" ht="20" customHeight="1" x14ac:dyDescent="0.2">
      <c r="B27" s="23" t="s">
        <v>234</v>
      </c>
      <c r="C27" s="103" t="str">
        <f>IF(cluster_wld_domain_chosen&lt;&gt;"MGMT Workload Domain",CONCATENATE(prefix_wld_az1_rack_cidr,"22.114"),CONCATENATE(prefix_mgmt_az1_cidr,"22.114"))</f>
        <v>10.13.22.114</v>
      </c>
      <c r="D27" s="66"/>
      <c r="E27" s="163" t="s">
        <v>235</v>
      </c>
    </row>
    <row r="28" spans="2:5" ht="20" customHeight="1" x14ac:dyDescent="0.2">
      <c r="B28" s="23" t="s">
        <v>236</v>
      </c>
      <c r="C28" s="103" t="str">
        <f>IF(cluster_wld_domain_chosen&lt;&gt;"MGMT Workload Domain",CONCATENATE(prefix_wld_az1_rack_cidr,"22.115"),CONCATENATE(prefix_mgmt_az1_cidr,"22.115"))</f>
        <v>10.13.22.115</v>
      </c>
      <c r="D28" s="66"/>
      <c r="E28" s="163" t="s">
        <v>237</v>
      </c>
    </row>
    <row r="29" spans="2:5" ht="20" customHeight="1" x14ac:dyDescent="0.2">
      <c r="B29" s="23" t="s">
        <v>238</v>
      </c>
      <c r="C29" s="103" t="str">
        <f>IF(cluster_wld_domain_chosen&lt;&gt;"MGMT Workload Domain",CONCATENATE(prefix_wld_az1_rack_cidr,"22.116"),CONCATENATE(prefix_mgmt_az1_cidr,"22.116"))</f>
        <v>10.13.22.116</v>
      </c>
      <c r="D29" s="66"/>
      <c r="E29" s="163" t="s">
        <v>239</v>
      </c>
    </row>
    <row r="30" spans="2:5" ht="16" customHeight="1" x14ac:dyDescent="0.2">
      <c r="B30" s="9"/>
      <c r="C30" s="9"/>
      <c r="D30" s="9"/>
      <c r="E30" s="9"/>
    </row>
    <row r="31" spans="2:5" ht="34" customHeight="1" x14ac:dyDescent="0.2">
      <c r="B31" s="569" t="s">
        <v>2553</v>
      </c>
      <c r="C31" s="570"/>
      <c r="D31" s="570"/>
      <c r="E31" s="571"/>
    </row>
    <row r="32" spans="2:5" ht="20" customHeight="1" x14ac:dyDescent="0.2">
      <c r="B32" s="62" t="s">
        <v>254</v>
      </c>
      <c r="C32" s="62" t="s">
        <v>255</v>
      </c>
      <c r="D32" s="161" t="s">
        <v>20</v>
      </c>
      <c r="E32" s="62" t="s">
        <v>256</v>
      </c>
    </row>
    <row r="33" spans="2:5" ht="20" customHeight="1" x14ac:dyDescent="0.2">
      <c r="B33" s="4" t="s">
        <v>2554</v>
      </c>
      <c r="C33" s="65" t="s">
        <v>242</v>
      </c>
      <c r="D33" s="155" t="s">
        <v>242</v>
      </c>
      <c r="E33" s="4" t="str">
        <f>IF(wld_az1_rack2_reuse_vcf_networkpool_chosen="Re-use an existing  VCF Network Pool","An exisiting VCF Network Pool will be reused for Host TEP assignment","A new VCF Network Pool will be created")</f>
        <v>A new VCF Network Pool will be created</v>
      </c>
    </row>
    <row r="34" spans="2:5" ht="20" customHeight="1" x14ac:dyDescent="0.2">
      <c r="B34" s="23" t="s">
        <v>243</v>
      </c>
      <c r="C34" s="109" t="str">
        <f>IF(cluster_wld_domain_chosen="Workload Domain",CONCATENATE(this_instance,"01-w0",wld_domain_number_chosen,"-r02-network-pool-01"),CONCATENATE(this_instance,"01-m01","-r02-network-pool-01"))</f>
        <v>sfo01-w01-r02-network-pool-01</v>
      </c>
      <c r="D34" s="171"/>
      <c r="E34" s="42"/>
    </row>
    <row r="35" spans="2:5" ht="20" customHeight="1" x14ac:dyDescent="0.2">
      <c r="B35" s="424" t="s">
        <v>244</v>
      </c>
      <c r="C35" s="425"/>
      <c r="D35" s="425"/>
      <c r="E35" s="426"/>
    </row>
    <row r="36" spans="2:5" ht="20" customHeight="1" x14ac:dyDescent="0.2">
      <c r="B36" s="4" t="s">
        <v>85</v>
      </c>
      <c r="C36" s="103" t="str">
        <f>IF(cluster_wld_domain_chosen&lt;&gt;"MGMT Workload Domain",CONCATENATE(prefix_wld_az1_rack_vlan,"23"),CONCATENATE(prefix_mgmt_az1_vlan,"23"))</f>
        <v>1323</v>
      </c>
      <c r="D36" s="66"/>
      <c r="E36" s="113"/>
    </row>
    <row r="37" spans="2:5" ht="20" customHeight="1" x14ac:dyDescent="0.2">
      <c r="B37" s="4" t="s">
        <v>157</v>
      </c>
      <c r="C37" s="103">
        <v>9000</v>
      </c>
      <c r="D37" s="66"/>
      <c r="E37" s="42"/>
    </row>
    <row r="38" spans="2:5" ht="20" customHeight="1" x14ac:dyDescent="0.2">
      <c r="B38" s="4" t="s">
        <v>183</v>
      </c>
      <c r="C38" s="103" t="str">
        <f>IF(cluster_wld_domain_chosen&lt;&gt;"MGMT Workload Domain",CONCATENATE(prefix_wld_az1_rack_cidr,"23.0"),CONCATENATE(prefix_mgmt_az1_cidr,"23.0"))</f>
        <v>10.13.23.0</v>
      </c>
      <c r="D38" s="66"/>
      <c r="E38" s="42"/>
    </row>
    <row r="39" spans="2:5" ht="20" customHeight="1" x14ac:dyDescent="0.2">
      <c r="B39" s="4" t="s">
        <v>278</v>
      </c>
      <c r="C39" s="103" t="s">
        <v>126</v>
      </c>
      <c r="D39" s="66"/>
      <c r="E39" s="42"/>
    </row>
    <row r="40" spans="2:5" ht="20" customHeight="1" x14ac:dyDescent="0.2">
      <c r="B40" s="4" t="s">
        <v>182</v>
      </c>
      <c r="C40" s="103" t="str">
        <f>IF(cluster_wld_domain_chosen&lt;&gt;"MGMT Workload Domain",CONCATENATE(prefix_wld_az1_rack_cidr,"23.1"),CONCATENATE(prefix_mgmt_az1_cidr,"23.1"))</f>
        <v>10.13.23.1</v>
      </c>
      <c r="D40" s="66"/>
      <c r="E40" s="42"/>
    </row>
    <row r="41" spans="2:5" ht="20" customHeight="1" x14ac:dyDescent="0.2">
      <c r="B41" s="23" t="s">
        <v>248</v>
      </c>
      <c r="C41" s="103" t="str">
        <f>IF(cluster_wld_domain_chosen&lt;&gt;"MGMT Workload Domain",CONCATENATE(prefix_wld_az1_rack_cidr,"23.101"),CONCATENATE(prefix_mgmt_az1_cidr,"23.101"))</f>
        <v>10.13.23.101</v>
      </c>
      <c r="D41" s="66"/>
      <c r="E41" s="121" t="s">
        <v>2555</v>
      </c>
    </row>
    <row r="42" spans="2:5" ht="20" customHeight="1" x14ac:dyDescent="0.2">
      <c r="B42" s="23" t="s">
        <v>249</v>
      </c>
      <c r="C42" s="103" t="str">
        <f>IF(cluster_wld_domain_chosen&lt;&gt;"MGMT Workload Domain",CONCATENATE(prefix_wld_az1_rack_cidr,"23.116"),CONCATENATE(prefix_mgmt_az1_cidr,"23.116"))</f>
        <v>10.13.23.116</v>
      </c>
      <c r="D42" s="66"/>
      <c r="E42" s="121" t="s">
        <v>2556</v>
      </c>
    </row>
    <row r="43" spans="2:5" ht="20" customHeight="1" x14ac:dyDescent="0.2">
      <c r="B43" s="424" t="s">
        <v>250</v>
      </c>
      <c r="C43" s="425"/>
      <c r="D43" s="425"/>
      <c r="E43" s="426"/>
    </row>
    <row r="44" spans="2:5" ht="20" customHeight="1" x14ac:dyDescent="0.2">
      <c r="B44" s="4" t="s">
        <v>85</v>
      </c>
      <c r="C44" s="103" t="str">
        <f>IF(cluster_wld_domain_chosen&lt;&gt;"MGMT Workload Domain",CONCATENATE(prefix_wld_az1_rack_vlan,"24"),CONCATENATE(prefix_mgmt_az1_vlan,"24"))</f>
        <v>1324</v>
      </c>
      <c r="D44" s="66"/>
      <c r="E44" s="42"/>
    </row>
    <row r="45" spans="2:5" ht="20" customHeight="1" x14ac:dyDescent="0.2">
      <c r="B45" s="4" t="s">
        <v>157</v>
      </c>
      <c r="C45" s="103">
        <v>9000</v>
      </c>
      <c r="D45" s="66"/>
      <c r="E45" s="42"/>
    </row>
    <row r="46" spans="2:5" ht="20" customHeight="1" x14ac:dyDescent="0.2">
      <c r="B46" s="4" t="s">
        <v>183</v>
      </c>
      <c r="C46" s="103" t="str">
        <f>IF(cluster_wld_domain_chosen&lt;&gt;"MGMT Workload Domain",CONCATENATE(prefix_wld_az1_rack_cidr,"24.0"),CONCATENATE(prefix_mgmt_az1_cidr,"24.0"))</f>
        <v>10.13.24.0</v>
      </c>
      <c r="D46" s="66"/>
      <c r="E46" s="80"/>
    </row>
    <row r="47" spans="2:5" ht="20" customHeight="1" x14ac:dyDescent="0.2">
      <c r="B47" s="4" t="s">
        <v>278</v>
      </c>
      <c r="C47" s="103" t="s">
        <v>126</v>
      </c>
      <c r="D47" s="66"/>
      <c r="E47" s="42"/>
    </row>
    <row r="48" spans="2:5" ht="20" customHeight="1" x14ac:dyDescent="0.2">
      <c r="B48" s="4" t="s">
        <v>182</v>
      </c>
      <c r="C48" s="103" t="str">
        <f>IF(cluster_wld_domain_chosen&lt;&gt;"MGMT Workload Domain",CONCATENATE(prefix_wld_az1_rack_cidr,"24.1"),CONCATENATE(prefix_mgmt_az1_cidr,"24.1"))</f>
        <v>10.13.24.1</v>
      </c>
      <c r="D48" s="66"/>
      <c r="E48" s="42" t="str">
        <f>IF(AND(mgmt_stretched_cluster_result="Included",mgmt_dpg_reuse_result="Excluded"),"Stretched L2","")</f>
        <v/>
      </c>
    </row>
    <row r="49" spans="2:5" ht="20" customHeight="1" x14ac:dyDescent="0.2">
      <c r="B49" s="23" t="s">
        <v>248</v>
      </c>
      <c r="C49" s="103" t="str">
        <f>IF(cluster_wld_domain_chosen&lt;&gt;"MGMT Workload Domain",CONCATENATE(prefix_wld_az1_rack_cidr,"24.101"),CONCATENATE(prefix_mgmt_az1_cidr,"24.101"))</f>
        <v>10.13.24.101</v>
      </c>
      <c r="D49" s="66"/>
      <c r="E49" s="121" t="s">
        <v>2557</v>
      </c>
    </row>
    <row r="50" spans="2:5" ht="20" customHeight="1" x14ac:dyDescent="0.2">
      <c r="B50" s="23" t="s">
        <v>249</v>
      </c>
      <c r="C50" s="103" t="str">
        <f>IF(cluster_wld_domain_chosen&lt;&gt;"MGMT Workload Domain",CONCATENATE(prefix_wld_az1_rack_cidr,"24.116"),CONCATENATE(prefix_mgmt_az1_cidr,"24.116"))</f>
        <v>10.13.24.116</v>
      </c>
      <c r="D50" s="66"/>
      <c r="E50" s="121" t="s">
        <v>2558</v>
      </c>
    </row>
    <row r="51" spans="2:5" ht="16" customHeight="1" x14ac:dyDescent="0.2">
      <c r="B51" s="9"/>
      <c r="C51" s="9"/>
      <c r="D51" s="9"/>
      <c r="E51" s="9"/>
    </row>
    <row r="52" spans="2:5" ht="34" customHeight="1" x14ac:dyDescent="0.2">
      <c r="B52" s="569" t="s">
        <v>2559</v>
      </c>
      <c r="C52" s="570"/>
      <c r="D52" s="570"/>
      <c r="E52" s="571"/>
    </row>
    <row r="53" spans="2:5" ht="20" customHeight="1" x14ac:dyDescent="0.2">
      <c r="B53" s="62" t="s">
        <v>254</v>
      </c>
      <c r="C53" s="62" t="s">
        <v>255</v>
      </c>
      <c r="D53" s="161" t="s">
        <v>20</v>
      </c>
      <c r="E53" s="62" t="s">
        <v>256</v>
      </c>
    </row>
    <row r="54" spans="2:5" ht="20" customHeight="1" x14ac:dyDescent="0.2">
      <c r="B54" s="23" t="s">
        <v>208</v>
      </c>
      <c r="C54" s="100" t="str">
        <f>IF(cluster_wld_domain_chosen&lt;&gt;"MGMT Workload Domain",CONCATENATE(this_instance,"01-w0",wld_domain_number_chosen,"-r02-esx01",".",sample_child_dns_zone),CONCATENATE(this_instance,"01-m01-r02-esx01",".",sample_child_dns_zone))</f>
        <v>sfo01-w01-r02-esx01.sfo.rainpole.io</v>
      </c>
      <c r="D54" s="66"/>
      <c r="E54" s="42"/>
    </row>
    <row r="55" spans="2:5" ht="20" customHeight="1" x14ac:dyDescent="0.2">
      <c r="B55" s="23" t="s">
        <v>210</v>
      </c>
      <c r="C55" s="100" t="str">
        <f>IF(cluster_wld_domain_chosen&lt;&gt;"MGMT Workload Domain",CONCATENATE(this_instance,"01-w0",wld_domain_number_chosen,"-r02-esx02",".",sample_child_dns_zone),CONCATENATE(this_instance,"01-m01-r02-esx02",".",sample_child_dns_zone))</f>
        <v>sfo01-w01-r02-esx02.sfo.rainpole.io</v>
      </c>
      <c r="D55" s="66"/>
      <c r="E55" s="42"/>
    </row>
    <row r="56" spans="2:5" ht="20" customHeight="1" x14ac:dyDescent="0.2">
      <c r="B56" s="23" t="s">
        <v>212</v>
      </c>
      <c r="C56" s="100" t="str">
        <f>IF(cluster_wld_domain_chosen&lt;&gt;"MGMT Workload Domain",CONCATENATE(this_instance,"01-w0",wld_domain_number_chosen,"-r02-esx03",".",sample_child_dns_zone),CONCATENATE(this_instance,"01-m01-r02-esx03",".",sample_child_dns_zone))</f>
        <v>sfo01-w01-r02-esx03.sfo.rainpole.io</v>
      </c>
      <c r="D56" s="66"/>
      <c r="E56" s="42"/>
    </row>
    <row r="57" spans="2:5" ht="20" customHeight="1" x14ac:dyDescent="0.2">
      <c r="B57" s="23" t="s">
        <v>214</v>
      </c>
      <c r="C57" s="100" t="str">
        <f>IF(cluster_wld_domain_chosen&lt;&gt;"MGMT Workload Domain",CONCATENATE(this_instance,"01-w0",wld_domain_number_chosen,"-r02-esx04",".",sample_child_dns_zone),CONCATENATE(this_instance,"01-m01-r02-esx04",".",sample_child_dns_zone))</f>
        <v>sfo01-w01-r02-esx04.sfo.rainpole.io</v>
      </c>
      <c r="D57" s="66"/>
      <c r="E57" s="42"/>
    </row>
    <row r="58" spans="2:5" ht="20" customHeight="1" x14ac:dyDescent="0.2">
      <c r="B58" s="23" t="s">
        <v>216</v>
      </c>
      <c r="C58" s="100" t="str">
        <f>IF(cluster_wld_domain_chosen&lt;&gt;"MGMT Workload Domain",CONCATENATE(this_instance,"01-w0",wld_domain_number_chosen,"-r02-esx05",".",sample_child_dns_zone),CONCATENATE(this_instance,"01-m01-r02-esx05",".",sample_child_dns_zone))</f>
        <v>sfo01-w01-r02-esx05.sfo.rainpole.io</v>
      </c>
      <c r="D58" s="66"/>
      <c r="E58" s="42"/>
    </row>
    <row r="59" spans="2:5" ht="20" customHeight="1" x14ac:dyDescent="0.2">
      <c r="B59" s="23" t="s">
        <v>218</v>
      </c>
      <c r="C59" s="100" t="str">
        <f>IF(cluster_wld_domain_chosen&lt;&gt;"MGMT Workload Domain",CONCATENATE(this_instance,"01-w0",wld_domain_number_chosen,"-r02-esx06",".",sample_child_dns_zone),CONCATENATE(this_instance,"01-m01-r02-esx06",".",sample_child_dns_zone))</f>
        <v>sfo01-w01-r02-esx06.sfo.rainpole.io</v>
      </c>
      <c r="D59" s="66"/>
      <c r="E59" s="42"/>
    </row>
    <row r="60" spans="2:5" ht="20" customHeight="1" x14ac:dyDescent="0.2">
      <c r="B60" s="23" t="s">
        <v>220</v>
      </c>
      <c r="C60" s="100" t="str">
        <f>IF(cluster_wld_domain_chosen&lt;&gt;"MGMT Workload Domain",CONCATENATE(this_instance,"01-w0",wld_domain_number_chosen,"-r02-esx07",".",sample_child_dns_zone),CONCATENATE(this_instance,"01-m01-r02-esx07",".",sample_child_dns_zone))</f>
        <v>sfo01-w01-r02-esx07.sfo.rainpole.io</v>
      </c>
      <c r="D60" s="66"/>
      <c r="E60" s="42"/>
    </row>
    <row r="61" spans="2:5" ht="20" customHeight="1" x14ac:dyDescent="0.2">
      <c r="B61" s="23" t="s">
        <v>222</v>
      </c>
      <c r="C61" s="100" t="str">
        <f>IF(cluster_wld_domain_chosen&lt;&gt;"MGMT Workload Domain",CONCATENATE(this_instance,"01-w0",wld_domain_number_chosen,"-r02-esx08",".",sample_child_dns_zone),CONCATENATE(this_instance,"01-m01-r02-esx08",".",sample_child_dns_zone))</f>
        <v>sfo01-w01-r02-esx08.sfo.rainpole.io</v>
      </c>
      <c r="D61" s="66"/>
      <c r="E61" s="42"/>
    </row>
    <row r="62" spans="2:5" ht="20" customHeight="1" x14ac:dyDescent="0.2">
      <c r="B62" s="23" t="s">
        <v>224</v>
      </c>
      <c r="C62" s="100" t="str">
        <f>IF(cluster_wld_domain_chosen&lt;&gt;"MGMT Workload Domain",CONCATENATE(this_instance,"01-w0",wld_domain_number_chosen,"-r02-esx09",".",sample_child_dns_zone),CONCATENATE(this_instance,"01-m01-r02-esx09",".",sample_child_dns_zone))</f>
        <v>sfo01-w01-r02-esx09.sfo.rainpole.io</v>
      </c>
      <c r="D62" s="66"/>
      <c r="E62" s="42"/>
    </row>
    <row r="63" spans="2:5" ht="20" customHeight="1" x14ac:dyDescent="0.2">
      <c r="B63" s="23" t="s">
        <v>226</v>
      </c>
      <c r="C63" s="100" t="str">
        <f>IF(cluster_wld_domain_chosen&lt;&gt;"MGMT Workload Domain",CONCATENATE(this_instance,"01-w0",wld_domain_number_chosen,"-r02-esx10",".",sample_child_dns_zone),CONCATENATE(this_instance,"01-m01-r02-esx10",".",sample_child_dns_zone))</f>
        <v>sfo01-w01-r02-esx10.sfo.rainpole.io</v>
      </c>
      <c r="D63" s="66"/>
      <c r="E63" s="42"/>
    </row>
    <row r="64" spans="2:5" ht="20" customHeight="1" x14ac:dyDescent="0.2">
      <c r="B64" s="23" t="s">
        <v>228</v>
      </c>
      <c r="C64" s="100" t="str">
        <f>IF(cluster_wld_domain_chosen&lt;&gt;"MGMT Workload Domain",CONCATENATE(this_instance,"01-w0",wld_domain_number_chosen,"-r02-esx11",".",sample_child_dns_zone),CONCATENATE(this_instance,"01-m01-r02-esx11",".",sample_child_dns_zone))</f>
        <v>sfo01-w01-r02-esx11.sfo.rainpole.io</v>
      </c>
      <c r="D64" s="66"/>
      <c r="E64" s="42"/>
    </row>
    <row r="65" spans="2:5" ht="20" customHeight="1" x14ac:dyDescent="0.2">
      <c r="B65" s="23" t="s">
        <v>230</v>
      </c>
      <c r="C65" s="100" t="str">
        <f>IF(cluster_wld_domain_chosen&lt;&gt;"MGMT Workload Domain",CONCATENATE(this_instance,"01-w0",wld_domain_number_chosen,"-r02-esx12",".",sample_child_dns_zone),CONCATENATE(this_instance,"01-m01-r02-esx12",".",sample_child_dns_zone))</f>
        <v>sfo01-w01-r02-esx12.sfo.rainpole.io</v>
      </c>
      <c r="D65" s="66"/>
      <c r="E65" s="42"/>
    </row>
    <row r="66" spans="2:5" ht="20" customHeight="1" x14ac:dyDescent="0.2">
      <c r="B66" s="23" t="s">
        <v>232</v>
      </c>
      <c r="C66" s="100" t="str">
        <f>IF(cluster_wld_domain_chosen&lt;&gt;"MGMT Workload Domain",CONCATENATE(this_instance,"01-w0",wld_domain_number_chosen,"-r02-esx13",".",sample_child_dns_zone),CONCATENATE(this_instance,"01-m01-r02-esx13",".",sample_child_dns_zone))</f>
        <v>sfo01-w01-r02-esx13.sfo.rainpole.io</v>
      </c>
      <c r="D66" s="66"/>
      <c r="E66" s="42"/>
    </row>
    <row r="67" spans="2:5" ht="20" customHeight="1" x14ac:dyDescent="0.2">
      <c r="B67" s="23" t="s">
        <v>234</v>
      </c>
      <c r="C67" s="100" t="str">
        <f>IF(cluster_wld_domain_chosen&lt;&gt;"MGMT Workload Domain",CONCATENATE(this_instance,"01-w0",wld_domain_number_chosen,"-r02-esx14",".",sample_child_dns_zone),CONCATENATE(this_instance,"01-m01-r02-esx14",".",sample_child_dns_zone))</f>
        <v>sfo01-w01-r02-esx14.sfo.rainpole.io</v>
      </c>
      <c r="D67" s="66"/>
      <c r="E67" s="42"/>
    </row>
    <row r="68" spans="2:5" ht="20" customHeight="1" x14ac:dyDescent="0.2">
      <c r="B68" s="23" t="s">
        <v>236</v>
      </c>
      <c r="C68" s="100" t="str">
        <f>IF(cluster_wld_domain_chosen&lt;&gt;"MGMT Workload Domain",CONCATENATE(this_instance,"01-w0",wld_domain_number_chosen,"-r02-esx14",".",sample_child_dns_zone),CONCATENATE(this_instance,"01-m01-r02-esx15",".",sample_child_dns_zone))</f>
        <v>sfo01-w01-r02-esx14.sfo.rainpole.io</v>
      </c>
      <c r="D68" s="66"/>
      <c r="E68" s="42"/>
    </row>
    <row r="69" spans="2:5" ht="20" customHeight="1" x14ac:dyDescent="0.2">
      <c r="B69" s="23" t="s">
        <v>238</v>
      </c>
      <c r="C69" s="100" t="str">
        <f>IF(cluster_wld_domain_chosen&lt;&gt;"MGMT Workload Domain",CONCATENATE(this_instance,"01-w0",wld_domain_number_chosen,"-r02-esx16",".",sample_child_dns_zone),CONCATENATE(this_instance,"01-m01-r02-esx16",".",sample_child_dns_zone))</f>
        <v>sfo01-w01-r02-esx16.sfo.rainpole.io</v>
      </c>
      <c r="D69" s="66"/>
      <c r="E69" s="42"/>
    </row>
    <row r="70" spans="2:5" ht="20" customHeight="1" x14ac:dyDescent="0.2">
      <c r="B70" s="23" t="s">
        <v>257</v>
      </c>
      <c r="C70" s="100" t="s">
        <v>258</v>
      </c>
      <c r="D70" s="8" t="s">
        <v>258</v>
      </c>
      <c r="E70" s="42"/>
    </row>
    <row r="71" spans="2:5" ht="20" customHeight="1" x14ac:dyDescent="0.2">
      <c r="B71" s="23" t="s">
        <v>259</v>
      </c>
      <c r="C71" s="100" t="s">
        <v>260</v>
      </c>
      <c r="D71"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71" s="4"/>
    </row>
    <row r="72" spans="2:5" ht="20" customHeight="1" x14ac:dyDescent="0.2">
      <c r="B72" s="23" t="s">
        <v>261</v>
      </c>
      <c r="C72" s="100" t="s">
        <v>156</v>
      </c>
      <c r="D72" s="8" t="str">
        <f>IF(AND(vcf_granular_option_chosen="Create Cluster",cluster_principal_storage_chosen="vSAN-ESA"),"Selected",
IF(AND(vcf_granular_option_chosen="Create Workload Domain",wld_principal_storage_chosen="vSAN-ESA"),"Selected","Unselected"))</f>
        <v>Unselected</v>
      </c>
      <c r="E72" s="42"/>
    </row>
    <row r="73" spans="2:5" ht="20" customHeight="1" x14ac:dyDescent="0.2">
      <c r="B73" s="23" t="s">
        <v>243</v>
      </c>
      <c r="C73" s="100" t="str">
        <f>sample_wld_az1_rack2_pool_name</f>
        <v>sfo01-w01-r02-network-pool-01</v>
      </c>
      <c r="D73" s="8" t="str">
        <f>wld_az1_rack2_pool_name</f>
        <v>Value Missing</v>
      </c>
      <c r="E73" s="42"/>
    </row>
    <row r="74" spans="2:5" ht="20" customHeight="1" x14ac:dyDescent="0.2">
      <c r="B74" s="23" t="s">
        <v>47</v>
      </c>
      <c r="C74" s="100" t="s">
        <v>262</v>
      </c>
      <c r="D74"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74" s="42"/>
    </row>
    <row r="75" spans="2:5" ht="20" customHeight="1" x14ac:dyDescent="0.2">
      <c r="B75" s="23" t="s">
        <v>30</v>
      </c>
      <c r="C75" s="100" t="s">
        <v>31</v>
      </c>
      <c r="D75" s="8" t="str">
        <f>IF(AND(vcf_granular_option_chosen="Create Cluster",cluster_chosen="Deploy a Multi-Rack Layer 3 Cluster"),cluster_esx_root_password,
IF(AND(vcf_granular_option_chosen="Create Workload Domain",wld_domain_chosen="Deploy Workload Domain with a Multi-Rack Layer 3 Cluster"),wld_esx_root_password,wld_esx_root_password))</f>
        <v>Value Missing</v>
      </c>
      <c r="E75" s="42"/>
    </row>
    <row r="76" spans="2:5" ht="16" customHeight="1" x14ac:dyDescent="0.2"/>
    <row r="77" spans="2:5" ht="34" customHeight="1" x14ac:dyDescent="0.2">
      <c r="B77" s="569" t="s">
        <v>2560</v>
      </c>
      <c r="C77" s="570"/>
      <c r="D77" s="570"/>
      <c r="E77" s="571"/>
    </row>
    <row r="78" spans="2:5" ht="20" customHeight="1" x14ac:dyDescent="0.2">
      <c r="B78" s="4" t="s">
        <v>329</v>
      </c>
      <c r="C78" s="109" t="str">
        <f>IF(vcf_granular_option_chosen="Create Cluster",CONCATENATE(this_instance,"01-",sample_cluster_name,"-r02-network-profile"),
IF(cluster_wld_domain_chosen="Workload Domain",CONCATENATE(this_instance,"01-",sample_wld_cl01_cluster,"-r02-network-profile"),
CONCATENATE(this_instance,"01-",sample_mgmt_cl01_cluster,"-r02-network-profile")))</f>
        <v>sfo01-sfo-w01-cl01-r02-network-profile</v>
      </c>
      <c r="D78" s="155"/>
      <c r="E78" s="103"/>
    </row>
    <row r="79" spans="2:5" ht="20" customHeight="1" x14ac:dyDescent="0.2">
      <c r="B79" s="4" t="s">
        <v>2561</v>
      </c>
      <c r="C79" s="65" t="s">
        <v>331</v>
      </c>
      <c r="D79" s="155" t="s">
        <v>331</v>
      </c>
      <c r="E79" s="329" t="str">
        <f>IF(wld_az1_rack2_host_overlay_new_pool_chosen="Re-use an existing Pool","An exisitng Pool will be reused for Host TEP assignment","A new Pool will be created for Host TEP assignment")</f>
        <v>A new Pool will be created for Host TEP assignment</v>
      </c>
    </row>
    <row r="80" spans="2:5" ht="20" customHeight="1" x14ac:dyDescent="0.2">
      <c r="B80" s="4" t="s">
        <v>332</v>
      </c>
      <c r="C80" s="109" t="str">
        <f>IF(cluster_wld_domain_chosen="Workload Domain",CONCATENATE(this_instance,"01-w0",wld_domain_number_chosen,"-r02-ip-pool01-host"),CONCATENATE(this_instance,"01-m01","-r02-ip-pool01-host"))</f>
        <v>sfo01-w01-r02-ip-pool01-host</v>
      </c>
      <c r="D80" s="155"/>
      <c r="E80" s="103"/>
    </row>
    <row r="81" spans="2:5" ht="20" customHeight="1" x14ac:dyDescent="0.2">
      <c r="B81" s="4" t="s">
        <v>333</v>
      </c>
      <c r="C81" s="109" t="str">
        <f>IF(cluster_wld_domain_chosen="Workload Domain",CONCATENATE(this_instance,"01-w0",wld_domain_number_chosen,"-r02-uplink-profile01"),CONCATENATE(this_instance,"01-m01","-r02-uplink-profile01"))</f>
        <v>sfo01-w01-r02-uplink-profile01</v>
      </c>
      <c r="D81" s="155"/>
      <c r="E81" s="103"/>
    </row>
    <row r="82" spans="2:5" ht="20" customHeight="1" x14ac:dyDescent="0.2">
      <c r="B82" s="4" t="s">
        <v>2562</v>
      </c>
      <c r="C82" s="109" t="str">
        <f>IF(cluster_wld_domain_chosen="Workload Domain",CONCATENATE(this_instance,"01-w0",wld_domain_number_chosen,"-r02-ip-pool02-edge"),CONCATENATE(this_instance,"01-m01","-r02-ip-pool02-edge"))</f>
        <v>sfo01-w01-r02-ip-pool02-edge</v>
      </c>
      <c r="D82" s="155"/>
      <c r="E82" s="103"/>
    </row>
    <row r="83" spans="2:5" ht="20" customHeight="1" x14ac:dyDescent="0.2">
      <c r="B83" s="4" t="s">
        <v>2563</v>
      </c>
      <c r="C83" s="109" t="str">
        <f>IF(cluster_wld_domain_chosen="Workload Domain",CONCATENATE(this_instance,"01-w0",wld_domain_number_chosen,"-r02-ip-pool03-rtep"),CONCATENATE(this_instance,"01-m01","-r02-ip-pool03-rtep"))</f>
        <v>sfo01-w01-r02-ip-pool03-rtep</v>
      </c>
      <c r="D83" s="155"/>
      <c r="E83" s="103"/>
    </row>
    <row r="84" spans="2:5" ht="20" customHeight="1" x14ac:dyDescent="0.2">
      <c r="B84" s="424" t="s">
        <v>728</v>
      </c>
      <c r="C84" s="425"/>
      <c r="D84" s="425"/>
      <c r="E84" s="426"/>
    </row>
    <row r="85" spans="2:5" ht="20" customHeight="1" x14ac:dyDescent="0.2">
      <c r="B85" s="251" t="s">
        <v>254</v>
      </c>
      <c r="C85" s="251" t="s">
        <v>255</v>
      </c>
      <c r="D85" s="283" t="s">
        <v>20</v>
      </c>
      <c r="E85" s="251" t="s">
        <v>21</v>
      </c>
    </row>
    <row r="86" spans="2:5" ht="20" customHeight="1" x14ac:dyDescent="0.2">
      <c r="B86" s="4" t="s">
        <v>1222</v>
      </c>
      <c r="C86" s="103" t="str">
        <f>IF(cluster_wld_domain_chosen&lt;&gt;"MGMT Workload Domain",CONCATENATE(this_instance,"-w0",wld_domain_number_chosen,"-r02","-vsan-fault-domain"),CONCATENATE(this_instance,"-m01","-r02","-vsan-fault-domain"))</f>
        <v>sfo-w01-r02-vsan-fault-domain</v>
      </c>
      <c r="D86" s="66"/>
      <c r="E86" s="8"/>
    </row>
    <row r="87" spans="2:5" ht="16" customHeight="1" x14ac:dyDescent="0.2"/>
    <row r="88" spans="2:5" ht="34" customHeight="1" x14ac:dyDescent="0.2">
      <c r="B88" s="569" t="s">
        <v>2564</v>
      </c>
      <c r="C88" s="570"/>
      <c r="D88" s="570"/>
      <c r="E88" s="571"/>
    </row>
    <row r="89" spans="2:5" ht="20" customHeight="1" x14ac:dyDescent="0.2">
      <c r="B89" s="62" t="s">
        <v>254</v>
      </c>
      <c r="C89" s="62" t="s">
        <v>255</v>
      </c>
      <c r="D89" s="161" t="s">
        <v>20</v>
      </c>
      <c r="E89" s="62" t="s">
        <v>21</v>
      </c>
    </row>
    <row r="90" spans="2:5" ht="20" customHeight="1" x14ac:dyDescent="0.2">
      <c r="B90" s="424" t="s">
        <v>815</v>
      </c>
      <c r="C90" s="425"/>
      <c r="D90" s="425"/>
      <c r="E90" s="426"/>
    </row>
    <row r="91" spans="2:5" ht="20" customHeight="1" x14ac:dyDescent="0.2">
      <c r="B91" s="4" t="s">
        <v>85</v>
      </c>
      <c r="C91" s="65" t="str">
        <f>IF(cluster_wld_domain_chosen&lt;&gt;"MGMT Workload Domain",CONCATENATE(prefix_wld_az1_rack_vlan,"25"),CONCATENATE(prefix_mgmt_az1_vlan,"25"))</f>
        <v>1325</v>
      </c>
      <c r="D91" s="66"/>
      <c r="E91" s="113"/>
    </row>
    <row r="92" spans="2:5" ht="20" customHeight="1" x14ac:dyDescent="0.2">
      <c r="B92" s="4" t="s">
        <v>157</v>
      </c>
      <c r="C92" s="65">
        <v>9000</v>
      </c>
      <c r="D92" s="66"/>
      <c r="E92" s="42"/>
    </row>
    <row r="93" spans="2:5" ht="20" customHeight="1" x14ac:dyDescent="0.2">
      <c r="B93" s="4" t="s">
        <v>183</v>
      </c>
      <c r="C93" s="65" t="str">
        <f>IF(cluster_wld_domain_chosen&lt;&gt;"MGMT Workload Domain",CONCATENATE(prefix_wld_az1_rack_cidr,"25.0"),CONCATENATE(prefix_mgmt_az1_cidr,"25.0"))</f>
        <v>10.13.25.0</v>
      </c>
      <c r="D93" s="66"/>
      <c r="E93" s="42"/>
    </row>
    <row r="94" spans="2:5" ht="20" customHeight="1" x14ac:dyDescent="0.2">
      <c r="B94" s="4" t="s">
        <v>278</v>
      </c>
      <c r="C94" s="154" t="s">
        <v>126</v>
      </c>
      <c r="D94" s="66"/>
      <c r="E94" s="42"/>
    </row>
    <row r="95" spans="2:5" ht="20" customHeight="1" x14ac:dyDescent="0.2">
      <c r="B95" s="4" t="s">
        <v>182</v>
      </c>
      <c r="C95" s="65" t="str">
        <f>IF(cluster_wld_domain_chosen&lt;&gt;"MGMT Workload Domain",CONCATENATE(prefix_wld_az1_rack_cidr,"25.1"),CONCATENATE(prefix_mgmt_az1_cidr,"25.1"))</f>
        <v>10.13.25.1</v>
      </c>
      <c r="D95" s="66"/>
      <c r="E95" s="42"/>
    </row>
    <row r="96" spans="2:5" ht="20" customHeight="1" x14ac:dyDescent="0.2">
      <c r="B96" s="23" t="s">
        <v>248</v>
      </c>
      <c r="C96" s="65" t="str">
        <f>IF(cluster_wld_domain_chosen&lt;&gt;"MGMT Workload Domain",CONCATENATE(prefix_wld_az1_rack_cidr,"25.101"),CONCATENATE(prefix_mgmt_az1_cidr,"25.101"))</f>
        <v>10.13.25.101</v>
      </c>
      <c r="D96" s="66"/>
      <c r="E96" s="121" t="s">
        <v>2565</v>
      </c>
    </row>
    <row r="97" spans="2:5" ht="20" customHeight="1" x14ac:dyDescent="0.2">
      <c r="B97" s="23" t="s">
        <v>249</v>
      </c>
      <c r="C97" s="65" t="str">
        <f>IF(cluster_wld_domain_chosen&lt;&gt;"MGMT Workload Domain",CONCATENATE(prefix_wld_az1_rack_cidr,"25.116"),CONCATENATE(prefix_mgmt_az1_cidr,"25.116"))</f>
        <v>10.13.25.116</v>
      </c>
      <c r="D97" s="66"/>
      <c r="E97" s="121" t="s">
        <v>2566</v>
      </c>
    </row>
    <row r="98" spans="2:5" ht="16" customHeight="1" x14ac:dyDescent="0.2">
      <c r="B98" s="6"/>
      <c r="C98" s="7"/>
      <c r="D98" s="1"/>
      <c r="E98" s="2"/>
    </row>
    <row r="99" spans="2:5" ht="34" customHeight="1" x14ac:dyDescent="0.2">
      <c r="B99" s="569" t="s">
        <v>2567</v>
      </c>
      <c r="C99" s="570"/>
      <c r="D99" s="570"/>
      <c r="E99" s="571"/>
    </row>
    <row r="100" spans="2:5" ht="20" customHeight="1" x14ac:dyDescent="0.2">
      <c r="B100" s="62" t="s">
        <v>254</v>
      </c>
      <c r="C100" s="62" t="s">
        <v>255</v>
      </c>
      <c r="D100" s="161" t="s">
        <v>20</v>
      </c>
      <c r="E100" s="62" t="s">
        <v>256</v>
      </c>
    </row>
    <row r="101" spans="2:5" ht="20" customHeight="1" x14ac:dyDescent="0.2">
      <c r="B101" s="424" t="s">
        <v>206</v>
      </c>
      <c r="C101" s="425"/>
      <c r="D101" s="425"/>
      <c r="E101" s="426"/>
    </row>
    <row r="102" spans="2:5" ht="20" customHeight="1" x14ac:dyDescent="0.2">
      <c r="B102" s="4" t="s">
        <v>85</v>
      </c>
      <c r="C102" s="109" t="str">
        <f>IF(cluster_wld_domain_chosen&lt;&gt;"MGMT Workload Domain",CONCATENATE(prefix_wld_az1_rack_vlan,"33"),CONCATENATE(prefix_mgmt_az1_vlan,"33"))</f>
        <v>1333</v>
      </c>
      <c r="D102" s="66"/>
      <c r="E102" s="113"/>
    </row>
    <row r="103" spans="2:5" ht="20" customHeight="1" x14ac:dyDescent="0.2">
      <c r="B103" s="4" t="s">
        <v>182</v>
      </c>
      <c r="C103" s="109" t="str">
        <f>IF(cluster_wld_domain_chosen&lt;&gt;"MGMT Workload Domain",CONCATENATE(prefix_wld_az1_rack_cidr,"33.1"),CONCATENATE(prefix_mgmt_az1_cidr,"33.1"))</f>
        <v>10.13.33.1</v>
      </c>
      <c r="D103" s="66"/>
      <c r="E103" s="42"/>
    </row>
    <row r="104" spans="2:5" ht="20" customHeight="1" x14ac:dyDescent="0.2">
      <c r="B104" s="4" t="s">
        <v>183</v>
      </c>
      <c r="C104" s="109" t="str">
        <f>IF(cluster_wld_domain_chosen&lt;&gt;"MGMT Workload Domain",CONCATENATE(prefix_wld_az1_rack_cidr,"33.0/24"),CONCATENATE(prefix_mgmt_az1_cidr,"33.0/24"))</f>
        <v>10.13.33.0/24</v>
      </c>
      <c r="D104" s="66"/>
      <c r="E104" s="42"/>
    </row>
    <row r="105" spans="2:5" ht="20" customHeight="1" x14ac:dyDescent="0.2">
      <c r="B105" s="4" t="s">
        <v>157</v>
      </c>
      <c r="C105" s="109">
        <v>1500</v>
      </c>
      <c r="D105" s="66"/>
      <c r="E105" s="42"/>
    </row>
    <row r="106" spans="2:5" ht="20" customHeight="1" x14ac:dyDescent="0.2">
      <c r="B106" s="556" t="s">
        <v>207</v>
      </c>
      <c r="C106" s="557"/>
      <c r="D106" s="557"/>
      <c r="E106" s="558"/>
    </row>
    <row r="107" spans="2:5" ht="20" customHeight="1" x14ac:dyDescent="0.2">
      <c r="B107" s="23" t="s">
        <v>208</v>
      </c>
      <c r="C107" s="109" t="str">
        <f>IF(cluster_wld_domain_chosen&lt;&gt;"MGMT Workload Domain",CONCATENATE(prefix_wld_az1_rack_cidr,"33.101"),CONCATENATE(prefix_mgmt_az1_cidr,"33.101"))</f>
        <v>10.13.33.101</v>
      </c>
      <c r="D107" s="66"/>
      <c r="E107" s="121" t="s">
        <v>209</v>
      </c>
    </row>
    <row r="108" spans="2:5" ht="20" customHeight="1" x14ac:dyDescent="0.2">
      <c r="B108" s="23" t="s">
        <v>210</v>
      </c>
      <c r="C108" s="109" t="str">
        <f>IF(cluster_wld_domain_chosen&lt;&gt;"MGMT Workload Domain",CONCATENATE(prefix_wld_az1_rack_cidr,"33.102"),CONCATENATE(prefix_mgmt_az1_cidr,"33.102"))</f>
        <v>10.13.33.102</v>
      </c>
      <c r="D108" s="66"/>
      <c r="E108" s="121" t="s">
        <v>211</v>
      </c>
    </row>
    <row r="109" spans="2:5" ht="20" customHeight="1" x14ac:dyDescent="0.2">
      <c r="B109" s="23" t="s">
        <v>212</v>
      </c>
      <c r="C109" s="109" t="str">
        <f>IF(cluster_wld_domain_chosen&lt;&gt;"MGMT Workload Domain",CONCATENATE(prefix_wld_az1_rack_cidr,"33.103"),CONCATENATE(prefix_mgmt_az1_cidr,"33.103"))</f>
        <v>10.13.33.103</v>
      </c>
      <c r="D109" s="66"/>
      <c r="E109" s="121" t="s">
        <v>213</v>
      </c>
    </row>
    <row r="110" spans="2:5" ht="20" customHeight="1" x14ac:dyDescent="0.2">
      <c r="B110" s="23" t="s">
        <v>214</v>
      </c>
      <c r="C110" s="109" t="str">
        <f>IF(cluster_wld_domain_chosen&lt;&gt;"MGMT Workload Domain",CONCATENATE(prefix_wld_az1_rack_cidr,"33.104"),CONCATENATE(prefix_mgmt_az1_cidr,"33.104"))</f>
        <v>10.13.33.104</v>
      </c>
      <c r="D110" s="66"/>
      <c r="E110" s="121" t="s">
        <v>215</v>
      </c>
    </row>
    <row r="111" spans="2:5" ht="20" customHeight="1" x14ac:dyDescent="0.2">
      <c r="B111" s="23" t="s">
        <v>216</v>
      </c>
      <c r="C111" s="109" t="str">
        <f>IF(cluster_wld_domain_chosen&lt;&gt;"MGMT Workload Domain",CONCATENATE(prefix_wld_az1_rack_cidr,"33.105"),CONCATENATE(prefix_mgmt_az1_cidr,"33.105"))</f>
        <v>10.13.33.105</v>
      </c>
      <c r="D111" s="66"/>
      <c r="E111" s="121" t="s">
        <v>217</v>
      </c>
    </row>
    <row r="112" spans="2:5" ht="20" customHeight="1" x14ac:dyDescent="0.2">
      <c r="B112" s="23" t="s">
        <v>218</v>
      </c>
      <c r="C112" s="109" t="str">
        <f>IF(cluster_wld_domain_chosen&lt;&gt;"MGMT Workload Domain",CONCATENATE(prefix_wld_az1_rack_cidr,"33.106"),CONCATENATE(prefix_mgmt_az1_cidr,"33.106"))</f>
        <v>10.13.33.106</v>
      </c>
      <c r="D112" s="66"/>
      <c r="E112" s="121" t="s">
        <v>219</v>
      </c>
    </row>
    <row r="113" spans="2:5" ht="20" customHeight="1" x14ac:dyDescent="0.2">
      <c r="B113" s="23" t="s">
        <v>220</v>
      </c>
      <c r="C113" s="109" t="str">
        <f>IF(cluster_wld_domain_chosen&lt;&gt;"MGMT Workload Domain",CONCATENATE(prefix_wld_az1_rack_cidr,"33.107"),CONCATENATE(prefix_mgmt_az1_cidr,"33.107"))</f>
        <v>10.13.33.107</v>
      </c>
      <c r="D113" s="66"/>
      <c r="E113" s="121" t="s">
        <v>221</v>
      </c>
    </row>
    <row r="114" spans="2:5" ht="20" customHeight="1" x14ac:dyDescent="0.2">
      <c r="B114" s="23" t="s">
        <v>222</v>
      </c>
      <c r="C114" s="109" t="str">
        <f>IF(cluster_wld_domain_chosen&lt;&gt;"MGMT Workload Domain",CONCATENATE(prefix_wld_az1_rack_cidr,"33.108"),CONCATENATE(prefix_mgmt_az1_cidr,"33.108"))</f>
        <v>10.13.33.108</v>
      </c>
      <c r="D114" s="66"/>
      <c r="E114" s="121" t="s">
        <v>223</v>
      </c>
    </row>
    <row r="115" spans="2:5" ht="20" customHeight="1" x14ac:dyDescent="0.2">
      <c r="B115" s="23" t="s">
        <v>224</v>
      </c>
      <c r="C115" s="109" t="str">
        <f>IF(cluster_wld_domain_chosen&lt;&gt;"MGMT Workload Domain",CONCATENATE(prefix_wld_az1_rack_cidr,"33.109"),CONCATENATE(prefix_mgmt_az1_cidr,"33.109"))</f>
        <v>10.13.33.109</v>
      </c>
      <c r="D115" s="66"/>
      <c r="E115" s="121" t="s">
        <v>225</v>
      </c>
    </row>
    <row r="116" spans="2:5" ht="20" customHeight="1" x14ac:dyDescent="0.2">
      <c r="B116" s="23" t="s">
        <v>226</v>
      </c>
      <c r="C116" s="109" t="str">
        <f>IF(cluster_wld_domain_chosen&lt;&gt;"MGMT Workload Domain",CONCATENATE(prefix_wld_az1_rack_cidr,"33.110"),CONCATENATE(prefix_mgmt_az1_cidr,"33.110"))</f>
        <v>10.13.33.110</v>
      </c>
      <c r="D116" s="66"/>
      <c r="E116" s="121" t="s">
        <v>227</v>
      </c>
    </row>
    <row r="117" spans="2:5" ht="20" customHeight="1" x14ac:dyDescent="0.2">
      <c r="B117" s="23" t="s">
        <v>228</v>
      </c>
      <c r="C117" s="109" t="str">
        <f>IF(cluster_wld_domain_chosen&lt;&gt;"MGMT Workload Domain",CONCATENATE(prefix_wld_az1_rack_cidr,"33.111"),CONCATENATE(prefix_mgmt_az1_cidr,"33.111"))</f>
        <v>10.13.33.111</v>
      </c>
      <c r="D117" s="66"/>
      <c r="E117" s="121" t="s">
        <v>229</v>
      </c>
    </row>
    <row r="118" spans="2:5" ht="20" customHeight="1" x14ac:dyDescent="0.2">
      <c r="B118" s="23" t="s">
        <v>230</v>
      </c>
      <c r="C118" s="109" t="str">
        <f>IF(cluster_wld_domain_chosen&lt;&gt;"MGMT Workload Domain",CONCATENATE(prefix_wld_az1_rack_cidr,"33.112"),CONCATENATE(prefix_mgmt_az1_cidr,"33.112"))</f>
        <v>10.13.33.112</v>
      </c>
      <c r="D118" s="66"/>
      <c r="E118" s="121" t="s">
        <v>231</v>
      </c>
    </row>
    <row r="119" spans="2:5" ht="20" customHeight="1" x14ac:dyDescent="0.2">
      <c r="B119" s="23" t="s">
        <v>232</v>
      </c>
      <c r="C119" s="109" t="str">
        <f>IF(cluster_wld_domain_chosen&lt;&gt;"MGMT Workload Domain",CONCATENATE(prefix_wld_az1_rack_cidr,"33.113"),CONCATENATE(prefix_mgmt_az1_cidr,"33.113"))</f>
        <v>10.13.33.113</v>
      </c>
      <c r="D119" s="66"/>
      <c r="E119" s="121" t="s">
        <v>233</v>
      </c>
    </row>
    <row r="120" spans="2:5" ht="20" customHeight="1" x14ac:dyDescent="0.2">
      <c r="B120" s="23" t="s">
        <v>234</v>
      </c>
      <c r="C120" s="109" t="str">
        <f>IF(cluster_wld_domain_chosen&lt;&gt;"MGMT Workload Domain",CONCATENATE(prefix_wld_az1_rack_cidr,"33.114"),CONCATENATE(prefix_mgmt_az1_cidr,"33.114"))</f>
        <v>10.13.33.114</v>
      </c>
      <c r="D120" s="66"/>
      <c r="E120" s="121" t="s">
        <v>235</v>
      </c>
    </row>
    <row r="121" spans="2:5" ht="20" customHeight="1" x14ac:dyDescent="0.2">
      <c r="B121" s="23" t="s">
        <v>236</v>
      </c>
      <c r="C121" s="109" t="str">
        <f>IF(cluster_wld_domain_chosen&lt;&gt;"MGMT Workload Domain",CONCATENATE(prefix_wld_az1_rack_cidr,"33.115"),CONCATENATE(prefix_mgmt_az1_cidr,"33.115"))</f>
        <v>10.13.33.115</v>
      </c>
      <c r="D121" s="66"/>
      <c r="E121" s="121" t="s">
        <v>237</v>
      </c>
    </row>
    <row r="122" spans="2:5" ht="20" customHeight="1" x14ac:dyDescent="0.2">
      <c r="B122" s="23" t="s">
        <v>238</v>
      </c>
      <c r="C122" s="109" t="str">
        <f>IF(cluster_wld_domain_chosen&lt;&gt;"MGMT Workload Domain",CONCATENATE(prefix_wld_az1_rack_cidr,"33.116"),CONCATENATE(prefix_mgmt_az1_cidr,"33.116"))</f>
        <v>10.13.33.116</v>
      </c>
      <c r="D122" s="66"/>
      <c r="E122" s="121" t="s">
        <v>239</v>
      </c>
    </row>
    <row r="123" spans="2:5" ht="16" customHeight="1" x14ac:dyDescent="0.2">
      <c r="B123" s="9"/>
      <c r="C123" s="9"/>
      <c r="D123" s="9"/>
      <c r="E123" s="9"/>
    </row>
    <row r="124" spans="2:5" ht="34" customHeight="1" x14ac:dyDescent="0.2">
      <c r="B124" s="569" t="s">
        <v>2568</v>
      </c>
      <c r="C124" s="570"/>
      <c r="D124" s="570"/>
      <c r="E124" s="571"/>
    </row>
    <row r="125" spans="2:5" ht="20" customHeight="1" x14ac:dyDescent="0.2">
      <c r="B125" s="62" t="s">
        <v>254</v>
      </c>
      <c r="C125" s="62" t="s">
        <v>255</v>
      </c>
      <c r="D125" s="161" t="s">
        <v>20</v>
      </c>
      <c r="E125" s="62" t="s">
        <v>256</v>
      </c>
    </row>
    <row r="126" spans="2:5" ht="20" customHeight="1" x14ac:dyDescent="0.2">
      <c r="B126" s="4" t="s">
        <v>2554</v>
      </c>
      <c r="C126" s="65" t="s">
        <v>242</v>
      </c>
      <c r="D126" s="155" t="s">
        <v>242</v>
      </c>
      <c r="E126" s="4" t="str">
        <f>IF(wld_az1_rack3_reuse_vcf_networkpool_chosen="Re-use an existing  VCF Network Pool","An exisiting VCF Network Pool will be reused for Host TEP assignment","A new VCF Network Pool will be created")</f>
        <v>A new VCF Network Pool will be created</v>
      </c>
    </row>
    <row r="127" spans="2:5" ht="20" customHeight="1" x14ac:dyDescent="0.2">
      <c r="B127" s="23" t="s">
        <v>243</v>
      </c>
      <c r="C127" s="109" t="str">
        <f>IF(cluster_wld_domain_chosen="Workload Domain",CONCATENATE(this_instance,"01-w0",wld_domain_number_chosen,"-r03-network-pool-01"),CONCATENATE(this_instance,"01-m01","-r03-network-pool-01"))</f>
        <v>sfo01-w01-r03-network-pool-01</v>
      </c>
      <c r="D127" s="66"/>
      <c r="E127" s="42"/>
    </row>
    <row r="128" spans="2:5" ht="20" customHeight="1" x14ac:dyDescent="0.2">
      <c r="B128" s="424" t="s">
        <v>244</v>
      </c>
      <c r="C128" s="425"/>
      <c r="D128" s="425"/>
      <c r="E128" s="426"/>
    </row>
    <row r="129" spans="2:5" ht="20" customHeight="1" x14ac:dyDescent="0.2">
      <c r="B129" s="4" t="s">
        <v>85</v>
      </c>
      <c r="C129" s="109" t="str">
        <f>IF(cluster_wld_domain_chosen&lt;&gt;"MGMT Workload Domain",CONCATENATE(prefix_wld_az1_rack_vlan,"34"),CONCATENATE(prefix_mgmt_az1_vlan,"34"))</f>
        <v>1334</v>
      </c>
      <c r="D129" s="66"/>
      <c r="E129" s="113"/>
    </row>
    <row r="130" spans="2:5" ht="20" customHeight="1" x14ac:dyDescent="0.2">
      <c r="B130" s="4" t="s">
        <v>157</v>
      </c>
      <c r="C130" s="109">
        <v>9000</v>
      </c>
      <c r="D130" s="66"/>
      <c r="E130" s="42"/>
    </row>
    <row r="131" spans="2:5" ht="20" customHeight="1" x14ac:dyDescent="0.2">
      <c r="B131" s="4" t="s">
        <v>183</v>
      </c>
      <c r="C131" s="109" t="str">
        <f>IF(cluster_wld_domain_chosen&lt;&gt;"MGMT Workload Domain",CONCATENATE(prefix_wld_az1_rack_cidr,"34.0"),CONCATENATE(prefix_mgmt_az1_cidr,"34.0"))</f>
        <v>10.13.34.0</v>
      </c>
      <c r="D131" s="66"/>
      <c r="E131" s="42"/>
    </row>
    <row r="132" spans="2:5" ht="20" customHeight="1" x14ac:dyDescent="0.2">
      <c r="B132" s="4" t="s">
        <v>278</v>
      </c>
      <c r="C132" s="109" t="s">
        <v>126</v>
      </c>
      <c r="D132" s="66"/>
      <c r="E132" s="42"/>
    </row>
    <row r="133" spans="2:5" ht="20" customHeight="1" x14ac:dyDescent="0.2">
      <c r="B133" s="4" t="s">
        <v>182</v>
      </c>
      <c r="C133" s="109" t="str">
        <f>IF(cluster_wld_domain_chosen&lt;&gt;"MGMT Workload Domain",CONCATENATE(prefix_wld_az1_rack_cidr,"34.1"),CONCATENATE(prefix_mgmt_az1_cidr,"34.1"))</f>
        <v>10.13.34.1</v>
      </c>
      <c r="D133" s="66"/>
      <c r="E133" s="42"/>
    </row>
    <row r="134" spans="2:5" ht="20" customHeight="1" x14ac:dyDescent="0.2">
      <c r="B134" s="23" t="s">
        <v>248</v>
      </c>
      <c r="C134" s="109" t="str">
        <f>IF(cluster_wld_domain_chosen&lt;&gt;"MGMT Workload Domain",CONCATENATE(prefix_wld_az1_rack_cidr,"34.101"),CONCATENATE(prefix_mgmt_az1_cidr,"34.101"))</f>
        <v>10.13.34.101</v>
      </c>
      <c r="D134" s="66"/>
      <c r="E134" s="121" t="s">
        <v>2555</v>
      </c>
    </row>
    <row r="135" spans="2:5" ht="20" customHeight="1" x14ac:dyDescent="0.2">
      <c r="B135" s="23" t="s">
        <v>249</v>
      </c>
      <c r="C135" s="109" t="str">
        <f>IF(cluster_wld_domain_chosen&lt;&gt;"MGMT Workload Domain",CONCATENATE(prefix_wld_az1_rack_cidr,"34.116"),CONCATENATE(prefix_mgmt_az1_cidr,"34.116"))</f>
        <v>10.13.34.116</v>
      </c>
      <c r="D135" s="66"/>
      <c r="E135" s="121" t="s">
        <v>2556</v>
      </c>
    </row>
    <row r="136" spans="2:5" ht="20" customHeight="1" x14ac:dyDescent="0.2">
      <c r="B136" s="424" t="s">
        <v>250</v>
      </c>
      <c r="C136" s="425"/>
      <c r="D136" s="425"/>
      <c r="E136" s="426"/>
    </row>
    <row r="137" spans="2:5" ht="20" customHeight="1" x14ac:dyDescent="0.2">
      <c r="B137" s="4" t="s">
        <v>85</v>
      </c>
      <c r="C137" s="109" t="str">
        <f>IF(cluster_wld_domain_chosen&lt;&gt;"MGMT Workload Domain",CONCATENATE(prefix_wld_az1_rack_vlan,"35"),CONCATENATE(prefix_mgmt_az1_vlan,"35"))</f>
        <v>1335</v>
      </c>
      <c r="D137" s="66"/>
      <c r="E137" s="42"/>
    </row>
    <row r="138" spans="2:5" ht="20" customHeight="1" x14ac:dyDescent="0.2">
      <c r="B138" s="4" t="s">
        <v>157</v>
      </c>
      <c r="C138" s="109">
        <v>9000</v>
      </c>
      <c r="D138" s="66"/>
      <c r="E138" s="42"/>
    </row>
    <row r="139" spans="2:5" ht="20" customHeight="1" x14ac:dyDescent="0.2">
      <c r="B139" s="4" t="s">
        <v>183</v>
      </c>
      <c r="C139" s="109" t="str">
        <f>IF(cluster_wld_domain_chosen&lt;&gt;"MGMT Workload Domain",CONCATENATE(prefix_wld_az1_rack_cidr,"35.0"),CONCATENATE(prefix_mgmt_az1_cidr,"35.0"))</f>
        <v>10.13.35.0</v>
      </c>
      <c r="D139" s="66"/>
      <c r="E139" s="80"/>
    </row>
    <row r="140" spans="2:5" ht="20" customHeight="1" x14ac:dyDescent="0.2">
      <c r="B140" s="4" t="s">
        <v>278</v>
      </c>
      <c r="C140" s="109" t="s">
        <v>126</v>
      </c>
      <c r="D140" s="66"/>
      <c r="E140" s="42"/>
    </row>
    <row r="141" spans="2:5" ht="20" customHeight="1" x14ac:dyDescent="0.2">
      <c r="B141" s="4" t="s">
        <v>182</v>
      </c>
      <c r="C141" s="109" t="str">
        <f>IF(cluster_wld_domain_chosen&lt;&gt;"MGMT Workload Domain",CONCATENATE(prefix_wld_az1_rack_cidr,"35.1"),CONCATENATE(prefix_mgmt_az1_cidr,"35.1"))</f>
        <v>10.13.35.1</v>
      </c>
      <c r="D141" s="66"/>
      <c r="E141" s="42" t="str">
        <f>IF(AND(mgmt_stretched_cluster_result="Included",mgmt_dpg_reuse_result="Excluded"),"Stretched L2","")</f>
        <v/>
      </c>
    </row>
    <row r="142" spans="2:5" ht="20" customHeight="1" x14ac:dyDescent="0.2">
      <c r="B142" s="23" t="s">
        <v>248</v>
      </c>
      <c r="C142" s="109" t="str">
        <f>IF(cluster_wld_domain_chosen&lt;&gt;"MGMT Workload Domain",CONCATENATE(prefix_wld_az1_rack_cidr,"35.101"),CONCATENATE(prefix_mgmt_az1_cidr,"35.101"))</f>
        <v>10.13.35.101</v>
      </c>
      <c r="D142" s="66"/>
      <c r="E142" s="121" t="s">
        <v>2557</v>
      </c>
    </row>
    <row r="143" spans="2:5" ht="20" customHeight="1" x14ac:dyDescent="0.2">
      <c r="B143" s="23" t="s">
        <v>249</v>
      </c>
      <c r="C143" s="109" t="str">
        <f>IF(cluster_wld_domain_chosen&lt;&gt;"MGMT Workload Domain",CONCATENATE(prefix_wld_az1_rack_cidr,"35.116"),CONCATENATE(prefix_mgmt_az1_cidr,"35.116"))</f>
        <v>10.13.35.116</v>
      </c>
      <c r="D143" s="66"/>
      <c r="E143" s="121" t="s">
        <v>2558</v>
      </c>
    </row>
    <row r="144" spans="2:5" ht="16" customHeight="1" x14ac:dyDescent="0.2">
      <c r="B144" s="9"/>
      <c r="C144" s="9"/>
      <c r="D144" s="9"/>
      <c r="E144" s="9"/>
    </row>
    <row r="145" spans="2:5" ht="34" customHeight="1" x14ac:dyDescent="0.2">
      <c r="B145" s="569" t="s">
        <v>2569</v>
      </c>
      <c r="C145" s="570"/>
      <c r="D145" s="570"/>
      <c r="E145" s="571"/>
    </row>
    <row r="146" spans="2:5" ht="20" customHeight="1" x14ac:dyDescent="0.2">
      <c r="B146" s="62" t="s">
        <v>254</v>
      </c>
      <c r="C146" s="62" t="s">
        <v>255</v>
      </c>
      <c r="D146" s="161" t="s">
        <v>20</v>
      </c>
      <c r="E146" s="62" t="s">
        <v>256</v>
      </c>
    </row>
    <row r="147" spans="2:5" ht="20" customHeight="1" x14ac:dyDescent="0.2">
      <c r="B147" s="23" t="s">
        <v>208</v>
      </c>
      <c r="C147" s="109" t="str">
        <f>IF(cluster_wld_domain_chosen&lt;&gt;"MGMT Workload Domain",CONCATENATE(this_instance,"01-w0",wld_domain_number_chosen,"-r03-esx01",".",sample_child_dns_zone),CONCATENATE(this_instance,"01-m01-r03-esx01",".",sample_child_dns_zone))</f>
        <v>sfo01-w01-r03-esx01.sfo.rainpole.io</v>
      </c>
      <c r="D147" s="66"/>
      <c r="E147" s="42"/>
    </row>
    <row r="148" spans="2:5" ht="20" customHeight="1" x14ac:dyDescent="0.2">
      <c r="B148" s="23" t="s">
        <v>210</v>
      </c>
      <c r="C148" s="109" t="str">
        <f>IF(cluster_wld_domain_chosen&lt;&gt;"MGMT Workload Domain",CONCATENATE(this_instance,"01-w0",wld_domain_number_chosen,"-r03-esx02",".",sample_child_dns_zone),CONCATENATE(this_instance,"01-m01-r03-esx02",".",sample_child_dns_zone))</f>
        <v>sfo01-w01-r03-esx02.sfo.rainpole.io</v>
      </c>
      <c r="D148" s="66"/>
      <c r="E148" s="42"/>
    </row>
    <row r="149" spans="2:5" ht="20" customHeight="1" x14ac:dyDescent="0.2">
      <c r="B149" s="23" t="s">
        <v>212</v>
      </c>
      <c r="C149" s="109" t="str">
        <f>IF(cluster_wld_domain_chosen&lt;&gt;"MGMT Workload Domain",CONCATENATE(this_instance,"01-w0",wld_domain_number_chosen,"-r03-esx03",".",sample_child_dns_zone),CONCATENATE(this_instance,"01-m01-r03-esx03",".",sample_child_dns_zone))</f>
        <v>sfo01-w01-r03-esx03.sfo.rainpole.io</v>
      </c>
      <c r="D149" s="66"/>
      <c r="E149" s="42"/>
    </row>
    <row r="150" spans="2:5" ht="20" customHeight="1" x14ac:dyDescent="0.2">
      <c r="B150" s="23" t="s">
        <v>214</v>
      </c>
      <c r="C150" s="109" t="str">
        <f>IF(cluster_wld_domain_chosen&lt;&gt;"MGMT Workload Domain",CONCATENATE(this_instance,"01-w0",wld_domain_number_chosen,"-r03-esx04",".",sample_child_dns_zone),CONCATENATE(this_instance,"01-m01-r03-esx04",".",sample_child_dns_zone))</f>
        <v>sfo01-w01-r03-esx04.sfo.rainpole.io</v>
      </c>
      <c r="D150" s="66"/>
      <c r="E150" s="42"/>
    </row>
    <row r="151" spans="2:5" ht="20" customHeight="1" x14ac:dyDescent="0.2">
      <c r="B151" s="23" t="s">
        <v>216</v>
      </c>
      <c r="C151" s="109" t="str">
        <f>IF(cluster_wld_domain_chosen&lt;&gt;"MGMT Workload Domain",CONCATENATE(this_instance,"01-w0",wld_domain_number_chosen,"-r03-esx05",".",sample_child_dns_zone),CONCATENATE(this_instance,"01-m01-r03-esx05",".",sample_child_dns_zone))</f>
        <v>sfo01-w01-r03-esx05.sfo.rainpole.io</v>
      </c>
      <c r="D151" s="66"/>
      <c r="E151" s="42"/>
    </row>
    <row r="152" spans="2:5" ht="20" customHeight="1" x14ac:dyDescent="0.2">
      <c r="B152" s="23" t="s">
        <v>218</v>
      </c>
      <c r="C152" s="109" t="str">
        <f>IF(cluster_wld_domain_chosen&lt;&gt;"MGMT Workload Domain",CONCATENATE(this_instance,"01-w0",wld_domain_number_chosen,"-r03-esx06",".",sample_child_dns_zone),CONCATENATE(this_instance,"01-m01-r03-esx06",".",sample_child_dns_zone))</f>
        <v>sfo01-w01-r03-esx06.sfo.rainpole.io</v>
      </c>
      <c r="D152" s="66"/>
      <c r="E152" s="42"/>
    </row>
    <row r="153" spans="2:5" ht="20" customHeight="1" x14ac:dyDescent="0.2">
      <c r="B153" s="23" t="s">
        <v>220</v>
      </c>
      <c r="C153" s="109" t="str">
        <f>IF(cluster_wld_domain_chosen&lt;&gt;"MGMT Workload Domain",CONCATENATE(this_instance,"01-w0",wld_domain_number_chosen,"-r03-esx07",".",sample_child_dns_zone),CONCATENATE(this_instance,"01-m01-r03-esx07",".",sample_child_dns_zone))</f>
        <v>sfo01-w01-r03-esx07.sfo.rainpole.io</v>
      </c>
      <c r="D153" s="66"/>
      <c r="E153" s="42"/>
    </row>
    <row r="154" spans="2:5" ht="20" customHeight="1" x14ac:dyDescent="0.2">
      <c r="B154" s="23" t="s">
        <v>222</v>
      </c>
      <c r="C154" s="109" t="str">
        <f>IF(cluster_wld_domain_chosen&lt;&gt;"MGMT Workload Domain",CONCATENATE(this_instance,"01-w0",wld_domain_number_chosen,"-r03-esx08",".",sample_child_dns_zone),CONCATENATE(this_instance,"01-m01-r03-esx08",".",sample_child_dns_zone))</f>
        <v>sfo01-w01-r03-esx08.sfo.rainpole.io</v>
      </c>
      <c r="D154" s="66"/>
      <c r="E154" s="42"/>
    </row>
    <row r="155" spans="2:5" ht="20" customHeight="1" x14ac:dyDescent="0.2">
      <c r="B155" s="23" t="s">
        <v>224</v>
      </c>
      <c r="C155" s="109" t="str">
        <f>IF(cluster_wld_domain_chosen&lt;&gt;"MGMT Workload Domain",CONCATENATE(this_instance,"01-w0",wld_domain_number_chosen,"-r03-esx09",".",sample_child_dns_zone),CONCATENATE(this_instance,"01-m01-r03-esx09",".",sample_child_dns_zone))</f>
        <v>sfo01-w01-r03-esx09.sfo.rainpole.io</v>
      </c>
      <c r="D155" s="66"/>
      <c r="E155" s="42"/>
    </row>
    <row r="156" spans="2:5" ht="20" customHeight="1" x14ac:dyDescent="0.2">
      <c r="B156" s="23" t="s">
        <v>226</v>
      </c>
      <c r="C156" s="109" t="str">
        <f>IF(cluster_wld_domain_chosen&lt;&gt;"MGMT Workload Domain",CONCATENATE(this_instance,"01-w0",wld_domain_number_chosen,"-r03-esx10",".",sample_child_dns_zone),CONCATENATE(this_instance,"01-m01-r03-esx10",".",sample_child_dns_zone))</f>
        <v>sfo01-w01-r03-esx10.sfo.rainpole.io</v>
      </c>
      <c r="D156" s="66"/>
      <c r="E156" s="42"/>
    </row>
    <row r="157" spans="2:5" ht="20" customHeight="1" x14ac:dyDescent="0.2">
      <c r="B157" s="23" t="s">
        <v>228</v>
      </c>
      <c r="C157" s="109" t="str">
        <f>IF(cluster_wld_domain_chosen&lt;&gt;"MGMT Workload Domain",CONCATENATE(this_instance,"01-w0",wld_domain_number_chosen,"-r03-esx11",".",sample_child_dns_zone),CONCATENATE(this_instance,"01-m01-r03-esx11",".",sample_child_dns_zone))</f>
        <v>sfo01-w01-r03-esx11.sfo.rainpole.io</v>
      </c>
      <c r="D157" s="66"/>
      <c r="E157" s="42"/>
    </row>
    <row r="158" spans="2:5" ht="20" customHeight="1" x14ac:dyDescent="0.2">
      <c r="B158" s="23" t="s">
        <v>230</v>
      </c>
      <c r="C158" s="109" t="str">
        <f>IF(cluster_wld_domain_chosen&lt;&gt;"MGMT Workload Domain",CONCATENATE(this_instance,"01-w0",wld_domain_number_chosen,"-r03-esx12",".",sample_child_dns_zone),CONCATENATE(this_instance,"01-m01-r03-esx12",".",sample_child_dns_zone))</f>
        <v>sfo01-w01-r03-esx12.sfo.rainpole.io</v>
      </c>
      <c r="D158" s="66"/>
      <c r="E158" s="42"/>
    </row>
    <row r="159" spans="2:5" ht="20" customHeight="1" x14ac:dyDescent="0.2">
      <c r="B159" s="23" t="s">
        <v>232</v>
      </c>
      <c r="C159" s="109" t="str">
        <f>IF(cluster_wld_domain_chosen&lt;&gt;"MGMT Workload Domain",CONCATENATE(this_instance,"01-w0",wld_domain_number_chosen,"-r03-esx13",".",sample_child_dns_zone),CONCATENATE(this_instance,"01-m01-r03-esx13",".",sample_child_dns_zone))</f>
        <v>sfo01-w01-r03-esx13.sfo.rainpole.io</v>
      </c>
      <c r="D159" s="66"/>
      <c r="E159" s="42"/>
    </row>
    <row r="160" spans="2:5" ht="20" customHeight="1" x14ac:dyDescent="0.2">
      <c r="B160" s="23" t="s">
        <v>234</v>
      </c>
      <c r="C160" s="109" t="str">
        <f>IF(cluster_wld_domain_chosen&lt;&gt;"MGMT Workload Domain",CONCATENATE(this_instance,"01-w0",wld_domain_number_chosen,"-r03-esx14",".",sample_child_dns_zone),CONCATENATE(this_instance,"01-m01-r03-esx14",".",sample_child_dns_zone))</f>
        <v>sfo01-w01-r03-esx14.sfo.rainpole.io</v>
      </c>
      <c r="D160" s="66"/>
      <c r="E160" s="42"/>
    </row>
    <row r="161" spans="2:5" ht="20" customHeight="1" x14ac:dyDescent="0.2">
      <c r="B161" s="23" t="s">
        <v>236</v>
      </c>
      <c r="C161" s="109" t="str">
        <f>IF(cluster_wld_domain_chosen&lt;&gt;"MGMT Workload Domain",CONCATENATE(this_instance,"01-w0",wld_domain_number_chosen,"-r03-esx14",".",sample_child_dns_zone),CONCATENATE(this_instance,"01-m01-r03-esx15",".",sample_child_dns_zone))</f>
        <v>sfo01-w01-r03-esx14.sfo.rainpole.io</v>
      </c>
      <c r="D161" s="66"/>
      <c r="E161" s="42"/>
    </row>
    <row r="162" spans="2:5" ht="20" customHeight="1" x14ac:dyDescent="0.2">
      <c r="B162" s="23" t="s">
        <v>238</v>
      </c>
      <c r="C162" s="109" t="str">
        <f>IF(cluster_wld_domain_chosen&lt;&gt;"MGMT Workload Domain",CONCATENATE(this_instance,"01-w0",wld_domain_number_chosen,"-r03-esx16",".",sample_child_dns_zone),CONCATENATE(this_instance,"01-m01-r03-esx16",".",sample_child_dns_zone))</f>
        <v>sfo01-w01-r03-esx16.sfo.rainpole.io</v>
      </c>
      <c r="D162" s="66"/>
      <c r="E162" s="42"/>
    </row>
    <row r="163" spans="2:5" ht="20" customHeight="1" x14ac:dyDescent="0.2">
      <c r="B163" s="23" t="s">
        <v>257</v>
      </c>
      <c r="C163" s="109" t="s">
        <v>665</v>
      </c>
      <c r="D163" s="8" t="s">
        <v>258</v>
      </c>
      <c r="E163" s="42"/>
    </row>
    <row r="164" spans="2:5" ht="20" customHeight="1" x14ac:dyDescent="0.2">
      <c r="B164" s="23" t="s">
        <v>259</v>
      </c>
      <c r="C164" s="109" t="s">
        <v>260</v>
      </c>
      <c r="D164"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164" s="4"/>
    </row>
    <row r="165" spans="2:5" ht="20" customHeight="1" x14ac:dyDescent="0.2">
      <c r="B165" s="23" t="s">
        <v>261</v>
      </c>
      <c r="C165" s="109" t="s">
        <v>156</v>
      </c>
      <c r="D165" s="8" t="str">
        <f>IF(AND(vcf_granular_option_chosen="Create Cluster",cluster_principal_storage_chosen="vSAN-ESA"),"Selected",
IF(AND(vcf_granular_option_chosen="Create Workload Domain",wld_principal_storage_chosen="vSAN-ESA"),"Selected","Unselected"))</f>
        <v>Unselected</v>
      </c>
      <c r="E165" s="42"/>
    </row>
    <row r="166" spans="2:5" ht="20" customHeight="1" x14ac:dyDescent="0.2">
      <c r="B166" s="23" t="s">
        <v>243</v>
      </c>
      <c r="C166" s="109" t="str">
        <f>sample_wld_az1_rack3_pool_name</f>
        <v>sfo01-w01-r03-network-pool-01</v>
      </c>
      <c r="D166" s="8" t="str">
        <f>wld_az1_rack3_pool_name</f>
        <v>Value Missing</v>
      </c>
      <c r="E166" s="42"/>
    </row>
    <row r="167" spans="2:5" ht="20" customHeight="1" x14ac:dyDescent="0.2">
      <c r="B167" s="23" t="s">
        <v>47</v>
      </c>
      <c r="C167" s="109" t="s">
        <v>262</v>
      </c>
      <c r="D167"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167" s="42"/>
    </row>
    <row r="168" spans="2:5" ht="20" customHeight="1" x14ac:dyDescent="0.2">
      <c r="B168" s="23" t="s">
        <v>30</v>
      </c>
      <c r="C168" s="109" t="s">
        <v>31</v>
      </c>
      <c r="D168" s="8" t="str">
        <f>IF(AND(vcf_granular_option_chosen="Create Cluster",cluster_chosen="Deploy a Multi-Rack Layer 3 Cluster"),cluster_esx_root_password,
IF(AND(vcf_granular_option_chosen="Create Workload Domain",wld_domain_chosen="Deploy Workload Domain with a Multi-Rack Layer 3 Cluster"),wld_esx_root_password,wld_esx_root_password))</f>
        <v>Value Missing</v>
      </c>
      <c r="E168" s="42"/>
    </row>
    <row r="169" spans="2:5" ht="16" customHeight="1" x14ac:dyDescent="0.2"/>
    <row r="170" spans="2:5" ht="34" customHeight="1" x14ac:dyDescent="0.2">
      <c r="B170" s="569" t="s">
        <v>2570</v>
      </c>
      <c r="C170" s="570"/>
      <c r="D170" s="570"/>
      <c r="E170" s="571"/>
    </row>
    <row r="171" spans="2:5" ht="20" customHeight="1" x14ac:dyDescent="0.2">
      <c r="B171" s="4" t="s">
        <v>329</v>
      </c>
      <c r="C171" s="109" t="str">
        <f>IF(vcf_granular_option_chosen="Create Cluster",CONCATENATE(this_instance,"01-",sample_cluster_name,"-r03-network-profile"),
IF(cluster_wld_domain_chosen="Workload Domain",CONCATENATE(this_instance,"01-",sample_wld_cl01_cluster,"-r03-network-profile"),
CONCATENATE(this_instance,"01-",sample_mgmt_cl01_cluster,"-r03-network-profile")))</f>
        <v>sfo01-sfo-w01-cl01-r03-network-profile</v>
      </c>
      <c r="D171" s="284"/>
      <c r="E171" s="103"/>
    </row>
    <row r="172" spans="2:5" ht="20" customHeight="1" x14ac:dyDescent="0.2">
      <c r="B172" s="4" t="s">
        <v>2561</v>
      </c>
      <c r="C172" s="65" t="s">
        <v>331</v>
      </c>
      <c r="D172" s="155" t="s">
        <v>331</v>
      </c>
      <c r="E172" s="330" t="str">
        <f>IF(wld_az1_rack3_host_overlay_new_pool_chosen="Re-use an existing Pool","An exisitng Pool will be reused for Host TEP assignment","A new Pool will be created for Host TEP assignment")</f>
        <v>A new Pool will be created for Host TEP assignment</v>
      </c>
    </row>
    <row r="173" spans="2:5" ht="20" customHeight="1" x14ac:dyDescent="0.2">
      <c r="B173" s="4" t="s">
        <v>332</v>
      </c>
      <c r="C173" s="109" t="str">
        <f>IF(cluster_wld_domain_chosen="Workload Domain",CONCATENATE(this_instance,"01-w0",wld_domain_number_chosen,"-r03-ip-pool01-host"),CONCATENATE(this_instance,"01-m01","-r03-ip-pool01-host"))</f>
        <v>sfo01-w01-r03-ip-pool01-host</v>
      </c>
      <c r="D173" s="284"/>
      <c r="E173" s="103"/>
    </row>
    <row r="174" spans="2:5" ht="20" customHeight="1" x14ac:dyDescent="0.2">
      <c r="B174" s="4" t="s">
        <v>333</v>
      </c>
      <c r="C174" s="109" t="str">
        <f>IF(cluster_wld_domain_chosen="Workload Domain",CONCATENATE(this_instance,"01-w0",wld_domain_number_chosen,"-r03-uplink-profile01"),CONCATENATE(this_instance,"01-m01","-r03-uplink-profile01"))</f>
        <v>sfo01-w01-r03-uplink-profile01</v>
      </c>
      <c r="D174" s="284"/>
      <c r="E174" s="103"/>
    </row>
    <row r="175" spans="2:5" ht="20" customHeight="1" x14ac:dyDescent="0.2">
      <c r="B175" s="4" t="s">
        <v>2562</v>
      </c>
      <c r="C175" s="109" t="str">
        <f>IF(cluster_wld_domain_chosen="Workload Domain",CONCATENATE(this_instance,"01-w0",wld_domain_number_chosen,"-r03-ip-pool02-edge"),CONCATENATE(this_instance,"01-m01","-r03-ip-pool02-edge"))</f>
        <v>sfo01-w01-r03-ip-pool02-edge</v>
      </c>
      <c r="D175" s="284"/>
      <c r="E175" s="103"/>
    </row>
    <row r="176" spans="2:5" ht="20" customHeight="1" x14ac:dyDescent="0.2">
      <c r="B176" s="4" t="s">
        <v>2563</v>
      </c>
      <c r="C176" s="109" t="str">
        <f>IF(cluster_wld_domain_chosen="Workload Domain",CONCATENATE(this_instance,"01-w0",wld_domain_number_chosen,"-r03-ip-pool03-rtep"),CONCATENATE(this_instance,"01-m01","-r03-ip-pool03-rtep"))</f>
        <v>sfo01-w01-r03-ip-pool03-rtep</v>
      </c>
      <c r="D176" s="66"/>
      <c r="E176" s="103"/>
    </row>
    <row r="177" spans="2:5" ht="20" customHeight="1" x14ac:dyDescent="0.2">
      <c r="B177" s="424" t="s">
        <v>728</v>
      </c>
      <c r="C177" s="425"/>
      <c r="D177" s="425"/>
      <c r="E177" s="426"/>
    </row>
    <row r="178" spans="2:5" ht="20" customHeight="1" x14ac:dyDescent="0.2">
      <c r="B178" s="251" t="s">
        <v>254</v>
      </c>
      <c r="C178" s="251" t="s">
        <v>255</v>
      </c>
      <c r="D178" s="283" t="s">
        <v>20</v>
      </c>
      <c r="E178" s="251" t="s">
        <v>21</v>
      </c>
    </row>
    <row r="179" spans="2:5" ht="20" customHeight="1" x14ac:dyDescent="0.2">
      <c r="B179" s="4" t="s">
        <v>1222</v>
      </c>
      <c r="C179" s="103" t="str">
        <f>IF(cluster_wld_domain_chosen&lt;&gt;"MGMT Workload Domain",CONCATENATE(this_instance,"-w0",wld_domain_number_chosen,"-r03","-vsan-fault-domain"),CONCATENATE(this_instance,"-m01","-r03","-vsan-fault-domain"))</f>
        <v>sfo-w01-r03-vsan-fault-domain</v>
      </c>
      <c r="D179" s="66"/>
      <c r="E179" s="8"/>
    </row>
    <row r="180" spans="2:5" ht="16" customHeight="1" x14ac:dyDescent="0.2"/>
    <row r="181" spans="2:5" ht="34" customHeight="1" x14ac:dyDescent="0.2">
      <c r="B181" s="569" t="s">
        <v>2571</v>
      </c>
      <c r="C181" s="570"/>
      <c r="D181" s="570"/>
      <c r="E181" s="571"/>
    </row>
    <row r="182" spans="2:5" ht="20" customHeight="1" x14ac:dyDescent="0.2">
      <c r="B182" s="62" t="s">
        <v>254</v>
      </c>
      <c r="C182" s="62" t="s">
        <v>255</v>
      </c>
      <c r="D182" s="161" t="s">
        <v>20</v>
      </c>
      <c r="E182" s="62" t="s">
        <v>21</v>
      </c>
    </row>
    <row r="183" spans="2:5" ht="20" customHeight="1" x14ac:dyDescent="0.2">
      <c r="B183" s="424" t="s">
        <v>815</v>
      </c>
      <c r="C183" s="425"/>
      <c r="D183" s="425"/>
      <c r="E183" s="426"/>
    </row>
    <row r="184" spans="2:5" ht="20" customHeight="1" x14ac:dyDescent="0.2">
      <c r="B184" s="4" t="s">
        <v>85</v>
      </c>
      <c r="C184" s="65" t="str">
        <f>IF(cluster_wld_domain_chosen&lt;&gt;"MGMT Workload Domain",CONCATENATE(prefix_wld_az1_rack_vlan,"36"),CONCATENATE(prefix_mgmt_az1_vlan,"36"))</f>
        <v>1336</v>
      </c>
      <c r="D184" s="66"/>
      <c r="E184" s="113"/>
    </row>
    <row r="185" spans="2:5" ht="20" customHeight="1" x14ac:dyDescent="0.2">
      <c r="B185" s="4" t="s">
        <v>157</v>
      </c>
      <c r="C185" s="65">
        <v>9000</v>
      </c>
      <c r="D185" s="66"/>
      <c r="E185" s="42"/>
    </row>
    <row r="186" spans="2:5" ht="20" customHeight="1" x14ac:dyDescent="0.2">
      <c r="B186" s="4" t="s">
        <v>183</v>
      </c>
      <c r="C186" s="65" t="str">
        <f>IF(cluster_wld_domain_chosen&lt;&gt;"MGMT Workload Domain",CONCATENATE(prefix_wld_az1_rack_cidr,"36.0"),CONCATENATE(prefix_mgmt_az1_cidr,"36.0"))</f>
        <v>10.13.36.0</v>
      </c>
      <c r="D186" s="66"/>
      <c r="E186" s="42"/>
    </row>
    <row r="187" spans="2:5" ht="20" customHeight="1" x14ac:dyDescent="0.2">
      <c r="B187" s="4" t="s">
        <v>278</v>
      </c>
      <c r="C187" s="154" t="s">
        <v>126</v>
      </c>
      <c r="D187" s="66"/>
      <c r="E187" s="42"/>
    </row>
    <row r="188" spans="2:5" ht="20" customHeight="1" x14ac:dyDescent="0.2">
      <c r="B188" s="4" t="s">
        <v>182</v>
      </c>
      <c r="C188" s="65" t="str">
        <f>IF(cluster_wld_domain_chosen&lt;&gt;"MGMT Workload Domain",CONCATENATE(prefix_wld_az1_rack_cidr,"36.1"),CONCATENATE(prefix_mgmt_az1_cidr,"36.1"))</f>
        <v>10.13.36.1</v>
      </c>
      <c r="D188" s="66"/>
      <c r="E188" s="42"/>
    </row>
    <row r="189" spans="2:5" ht="20" customHeight="1" x14ac:dyDescent="0.2">
      <c r="B189" s="23" t="s">
        <v>248</v>
      </c>
      <c r="C189" s="65" t="str">
        <f>IF(cluster_wld_domain_chosen&lt;&gt;"MGMT Workload Domain",CONCATENATE(prefix_wld_az1_rack_cidr,"36.101"),CONCATENATE(prefix_mgmt_az1_cidr,"36.101"))</f>
        <v>10.13.36.101</v>
      </c>
      <c r="D189" s="66"/>
      <c r="E189" s="121" t="s">
        <v>2565</v>
      </c>
    </row>
    <row r="190" spans="2:5" ht="20" customHeight="1" x14ac:dyDescent="0.2">
      <c r="B190" s="23" t="s">
        <v>249</v>
      </c>
      <c r="C190" s="65" t="str">
        <f>IF(cluster_wld_domain_chosen&lt;&gt;"MGMT Workload Domain",CONCATENATE(prefix_wld_az1_rack_cidr,"36.116"),CONCATENATE(prefix_mgmt_az1_cidr,"36.116"))</f>
        <v>10.13.36.116</v>
      </c>
      <c r="D190" s="66"/>
      <c r="E190" s="121" t="s">
        <v>2566</v>
      </c>
    </row>
    <row r="191" spans="2:5" ht="16" customHeight="1" x14ac:dyDescent="0.2"/>
    <row r="192" spans="2:5" ht="34" customHeight="1" x14ac:dyDescent="0.2">
      <c r="B192" s="569" t="s">
        <v>2572</v>
      </c>
      <c r="C192" s="570"/>
      <c r="D192" s="570"/>
      <c r="E192" s="571"/>
    </row>
    <row r="193" spans="2:5" ht="20" customHeight="1" x14ac:dyDescent="0.2">
      <c r="B193" s="62" t="s">
        <v>254</v>
      </c>
      <c r="C193" s="62" t="s">
        <v>255</v>
      </c>
      <c r="D193" s="161" t="s">
        <v>20</v>
      </c>
      <c r="E193" s="62" t="s">
        <v>256</v>
      </c>
    </row>
    <row r="194" spans="2:5" ht="20" customHeight="1" x14ac:dyDescent="0.2">
      <c r="B194" s="424" t="s">
        <v>206</v>
      </c>
      <c r="C194" s="425"/>
      <c r="D194" s="425"/>
      <c r="E194" s="426"/>
    </row>
    <row r="195" spans="2:5" ht="20" customHeight="1" x14ac:dyDescent="0.2">
      <c r="B195" s="4" t="s">
        <v>85</v>
      </c>
      <c r="C195" s="65" t="str">
        <f>IF(cluster_wld_domain_chosen&lt;&gt;"MGMT Workload Domain",CONCATENATE(prefix_wld_az1_rack_vlan,"44"),CONCATENATE(prefix_mgmt_az1_vlan,"44"))</f>
        <v>1344</v>
      </c>
      <c r="D195" s="66"/>
      <c r="E195" s="113"/>
    </row>
    <row r="196" spans="2:5" ht="20" customHeight="1" x14ac:dyDescent="0.2">
      <c r="B196" s="4" t="s">
        <v>182</v>
      </c>
      <c r="C196" s="65" t="str">
        <f>IF(cluster_wld_domain_chosen&lt;&gt;"MGMT Workload Domain",CONCATENATE(prefix_wld_az1_rack_cidr,"44.1"),CONCATENATE(prefix_mgmt_az1_cidr,"44.1"))</f>
        <v>10.13.44.1</v>
      </c>
      <c r="D196" s="66"/>
      <c r="E196" s="42"/>
    </row>
    <row r="197" spans="2:5" ht="20" customHeight="1" x14ac:dyDescent="0.2">
      <c r="B197" s="4" t="s">
        <v>183</v>
      </c>
      <c r="C197" s="65" t="str">
        <f>IF(cluster_wld_domain_chosen&lt;&gt;"MGMT Workload Domain",CONCATENATE(prefix_wld_az1_rack_cidr,"44.0/24"),CONCATENATE(prefix_mgmt_az1_cidr,"44.0/24"))</f>
        <v>10.13.44.0/24</v>
      </c>
      <c r="D197" s="66"/>
      <c r="E197" s="42"/>
    </row>
    <row r="198" spans="2:5" ht="20" customHeight="1" x14ac:dyDescent="0.2">
      <c r="B198" s="4" t="s">
        <v>157</v>
      </c>
      <c r="C198" s="65">
        <v>1500</v>
      </c>
      <c r="D198" s="66"/>
      <c r="E198" s="42"/>
    </row>
    <row r="199" spans="2:5" ht="20" customHeight="1" x14ac:dyDescent="0.2">
      <c r="B199" s="556" t="s">
        <v>207</v>
      </c>
      <c r="C199" s="557"/>
      <c r="D199" s="557"/>
      <c r="E199" s="558"/>
    </row>
    <row r="200" spans="2:5" ht="20" customHeight="1" x14ac:dyDescent="0.2">
      <c r="B200" s="23" t="s">
        <v>208</v>
      </c>
      <c r="C200" s="154" t="str">
        <f>IF(cluster_wld_domain_chosen&lt;&gt;"MGMT Workload Domain",CONCATENATE(prefix_wld_az1_rack_cidr,"44.101"),CONCATENATE(prefix_mgmt_az1_cidr,"44.101"))</f>
        <v>10.13.44.101</v>
      </c>
      <c r="D200" s="66"/>
      <c r="E200" s="121" t="s">
        <v>209</v>
      </c>
    </row>
    <row r="201" spans="2:5" ht="20" customHeight="1" x14ac:dyDescent="0.2">
      <c r="B201" s="23" t="s">
        <v>210</v>
      </c>
      <c r="C201" s="154" t="str">
        <f>IF(cluster_wld_domain_chosen&lt;&gt;"MGMT Workload Domain",CONCATENATE(prefix_wld_az1_rack_cidr,"44.102"),CONCATENATE(prefix_mgmt_az1_cidr,"44.102"))</f>
        <v>10.13.44.102</v>
      </c>
      <c r="D201" s="66"/>
      <c r="E201" s="121" t="s">
        <v>211</v>
      </c>
    </row>
    <row r="202" spans="2:5" ht="20" customHeight="1" x14ac:dyDescent="0.2">
      <c r="B202" s="23" t="s">
        <v>212</v>
      </c>
      <c r="C202" s="154" t="str">
        <f>IF(cluster_wld_domain_chosen&lt;&gt;"MGMT Workload Domain",CONCATENATE(prefix_wld_az1_rack_cidr,"44.103"),CONCATENATE(prefix_mgmt_az1_cidr,"44.103"))</f>
        <v>10.13.44.103</v>
      </c>
      <c r="D202" s="66"/>
      <c r="E202" s="121" t="s">
        <v>213</v>
      </c>
    </row>
    <row r="203" spans="2:5" ht="20" customHeight="1" x14ac:dyDescent="0.2">
      <c r="B203" s="23" t="s">
        <v>214</v>
      </c>
      <c r="C203" s="154" t="str">
        <f>IF(cluster_wld_domain_chosen&lt;&gt;"MGMT Workload Domain",CONCATENATE(prefix_wld_az1_rack_cidr,"44.104"),CONCATENATE(prefix_mgmt_az1_cidr,"44.104"))</f>
        <v>10.13.44.104</v>
      </c>
      <c r="D203" s="66"/>
      <c r="E203" s="121" t="s">
        <v>215</v>
      </c>
    </row>
    <row r="204" spans="2:5" ht="20" customHeight="1" x14ac:dyDescent="0.2">
      <c r="B204" s="23" t="s">
        <v>216</v>
      </c>
      <c r="C204" s="154" t="str">
        <f>IF(cluster_wld_domain_chosen&lt;&gt;"MGMT Workload Domain",CONCATENATE(prefix_wld_az1_rack_cidr,"44.105"),CONCATENATE(prefix_mgmt_az1_cidr,"44.105"))</f>
        <v>10.13.44.105</v>
      </c>
      <c r="D204" s="66"/>
      <c r="E204" s="121" t="s">
        <v>217</v>
      </c>
    </row>
    <row r="205" spans="2:5" ht="20" customHeight="1" x14ac:dyDescent="0.2">
      <c r="B205" s="23" t="s">
        <v>218</v>
      </c>
      <c r="C205" s="154" t="str">
        <f>IF(cluster_wld_domain_chosen&lt;&gt;"MGMT Workload Domain",CONCATENATE(prefix_wld_az1_rack_cidr,"44.106"),CONCATENATE(prefix_mgmt_az1_cidr,"44.106"))</f>
        <v>10.13.44.106</v>
      </c>
      <c r="D205" s="66"/>
      <c r="E205" s="121" t="s">
        <v>219</v>
      </c>
    </row>
    <row r="206" spans="2:5" ht="20" customHeight="1" x14ac:dyDescent="0.2">
      <c r="B206" s="23" t="s">
        <v>220</v>
      </c>
      <c r="C206" s="154" t="str">
        <f>IF(cluster_wld_domain_chosen&lt;&gt;"MGMT Workload Domain",CONCATENATE(prefix_wld_az1_rack_cidr,"44.107"),CONCATENATE(prefix_mgmt_az1_cidr,"44.107"))</f>
        <v>10.13.44.107</v>
      </c>
      <c r="D206" s="66"/>
      <c r="E206" s="121" t="s">
        <v>221</v>
      </c>
    </row>
    <row r="207" spans="2:5" ht="20" customHeight="1" x14ac:dyDescent="0.2">
      <c r="B207" s="23" t="s">
        <v>222</v>
      </c>
      <c r="C207" s="154" t="str">
        <f>IF(cluster_wld_domain_chosen&lt;&gt;"MGMT Workload Domain",CONCATENATE(prefix_wld_az1_rack_cidr,"44.108"),CONCATENATE(prefix_mgmt_az1_cidr,"44.108"))</f>
        <v>10.13.44.108</v>
      </c>
      <c r="D207" s="66"/>
      <c r="E207" s="121" t="s">
        <v>223</v>
      </c>
    </row>
    <row r="208" spans="2:5" ht="20" customHeight="1" x14ac:dyDescent="0.2">
      <c r="B208" s="23" t="s">
        <v>224</v>
      </c>
      <c r="C208" s="154" t="str">
        <f>IF(cluster_wld_domain_chosen&lt;&gt;"MGMT Workload Domain",CONCATENATE(prefix_wld_az1_rack_cidr,"44.109"),CONCATENATE(prefix_mgmt_az1_cidr,"44.109"))</f>
        <v>10.13.44.109</v>
      </c>
      <c r="D208" s="66"/>
      <c r="E208" s="121" t="s">
        <v>225</v>
      </c>
    </row>
    <row r="209" spans="2:5" ht="20" customHeight="1" x14ac:dyDescent="0.2">
      <c r="B209" s="23" t="s">
        <v>226</v>
      </c>
      <c r="C209" s="154" t="str">
        <f>IF(cluster_wld_domain_chosen&lt;&gt;"MGMT Workload Domain",CONCATENATE(prefix_wld_az1_rack_cidr,"44.110"),CONCATENATE(prefix_mgmt_az1_cidr,"44.110"))</f>
        <v>10.13.44.110</v>
      </c>
      <c r="D209" s="66"/>
      <c r="E209" s="121" t="s">
        <v>227</v>
      </c>
    </row>
    <row r="210" spans="2:5" ht="20" customHeight="1" x14ac:dyDescent="0.2">
      <c r="B210" s="23" t="s">
        <v>228</v>
      </c>
      <c r="C210" s="154" t="str">
        <f>IF(cluster_wld_domain_chosen&lt;&gt;"MGMT Workload Domain",CONCATENATE(prefix_wld_az1_rack_cidr,"44.111"),CONCATENATE(prefix_mgmt_az1_cidr,"44.111"))</f>
        <v>10.13.44.111</v>
      </c>
      <c r="D210" s="66"/>
      <c r="E210" s="121" t="s">
        <v>229</v>
      </c>
    </row>
    <row r="211" spans="2:5" ht="20" customHeight="1" x14ac:dyDescent="0.2">
      <c r="B211" s="23" t="s">
        <v>230</v>
      </c>
      <c r="C211" s="154" t="str">
        <f>IF(cluster_wld_domain_chosen&lt;&gt;"MGMT Workload Domain",CONCATENATE(prefix_wld_az1_rack_cidr,"44.112"),CONCATENATE(prefix_mgmt_az1_cidr,"44.112"))</f>
        <v>10.13.44.112</v>
      </c>
      <c r="D211" s="66"/>
      <c r="E211" s="121" t="s">
        <v>231</v>
      </c>
    </row>
    <row r="212" spans="2:5" ht="20" customHeight="1" x14ac:dyDescent="0.2">
      <c r="B212" s="23" t="s">
        <v>232</v>
      </c>
      <c r="C212" s="154" t="str">
        <f>IF(cluster_wld_domain_chosen&lt;&gt;"MGMT Workload Domain",CONCATENATE(prefix_wld_az1_rack_cidr,"44.113"),CONCATENATE(prefix_mgmt_az1_cidr,"44.113"))</f>
        <v>10.13.44.113</v>
      </c>
      <c r="D212" s="66"/>
      <c r="E212" s="121" t="s">
        <v>233</v>
      </c>
    </row>
    <row r="213" spans="2:5" ht="20" customHeight="1" x14ac:dyDescent="0.2">
      <c r="B213" s="23" t="s">
        <v>234</v>
      </c>
      <c r="C213" s="154" t="str">
        <f>IF(cluster_wld_domain_chosen&lt;&gt;"MGMT Workload Domain",CONCATENATE(prefix_wld_az1_rack_cidr,"44.114"),CONCATENATE(prefix_mgmt_az1_cidr,"44.114"))</f>
        <v>10.13.44.114</v>
      </c>
      <c r="D213" s="66"/>
      <c r="E213" s="121" t="s">
        <v>235</v>
      </c>
    </row>
    <row r="214" spans="2:5" ht="20" customHeight="1" x14ac:dyDescent="0.2">
      <c r="B214" s="23" t="s">
        <v>236</v>
      </c>
      <c r="C214" s="154" t="str">
        <f>IF(cluster_wld_domain_chosen&lt;&gt;"MGMT Workload Domain",CONCATENATE(prefix_wld_az1_rack_cidr,"44.115"),CONCATENATE(prefix_mgmt_az1_cidr,"44.115"))</f>
        <v>10.13.44.115</v>
      </c>
      <c r="D214" s="66"/>
      <c r="E214" s="121" t="s">
        <v>237</v>
      </c>
    </row>
    <row r="215" spans="2:5" ht="20" customHeight="1" x14ac:dyDescent="0.2">
      <c r="B215" s="23" t="s">
        <v>238</v>
      </c>
      <c r="C215" s="154" t="str">
        <f>IF(cluster_wld_domain_chosen&lt;&gt;"MGMT Workload Domain",CONCATENATE(prefix_wld_az1_rack_cidr,"44.116"),CONCATENATE(prefix_mgmt_az1_cidr,"44.116"))</f>
        <v>10.13.44.116</v>
      </c>
      <c r="D215" s="66"/>
      <c r="E215" s="121" t="s">
        <v>239</v>
      </c>
    </row>
    <row r="216" spans="2:5" ht="16" customHeight="1" x14ac:dyDescent="0.2">
      <c r="B216" s="9"/>
      <c r="C216" s="9"/>
      <c r="D216" s="9"/>
      <c r="E216" s="9"/>
    </row>
    <row r="217" spans="2:5" ht="34" customHeight="1" x14ac:dyDescent="0.2">
      <c r="B217" s="569" t="s">
        <v>2573</v>
      </c>
      <c r="C217" s="570"/>
      <c r="D217" s="570"/>
      <c r="E217" s="571"/>
    </row>
    <row r="218" spans="2:5" ht="20" customHeight="1" x14ac:dyDescent="0.2">
      <c r="B218" s="62" t="s">
        <v>254</v>
      </c>
      <c r="C218" s="62" t="s">
        <v>255</v>
      </c>
      <c r="D218" s="161" t="s">
        <v>20</v>
      </c>
      <c r="E218" s="62" t="s">
        <v>256</v>
      </c>
    </row>
    <row r="219" spans="2:5" ht="20" customHeight="1" x14ac:dyDescent="0.2">
      <c r="B219" s="4" t="s">
        <v>2554</v>
      </c>
      <c r="C219" s="65" t="s">
        <v>242</v>
      </c>
      <c r="D219" s="155" t="s">
        <v>242</v>
      </c>
      <c r="E219" s="4" t="str">
        <f>IF(wld_az1_rack4_reuse_vcf_networkpool_chosen="Re-use an existing  VCF Network Pool","An exisiting VCF Network Pool will be reused for Host TEP assignment","A new VCF Network Pool will be created")</f>
        <v>A new VCF Network Pool will be created</v>
      </c>
    </row>
    <row r="220" spans="2:5" ht="20" customHeight="1" x14ac:dyDescent="0.2">
      <c r="B220" s="23" t="s">
        <v>243</v>
      </c>
      <c r="C220" s="109" t="str">
        <f>IF(cluster_wld_domain_chosen="Workload Domain",CONCATENATE(this_instance,"01-w0",wld_domain_number_chosen,"-r04-network-pool-01"),CONCATENATE(this_instance,"01-m01","-r04-network-pool-01"))</f>
        <v>sfo01-w01-r04-network-pool-01</v>
      </c>
      <c r="D220" s="66"/>
      <c r="E220" s="42"/>
    </row>
    <row r="221" spans="2:5" ht="20" customHeight="1" x14ac:dyDescent="0.2">
      <c r="B221" s="424" t="s">
        <v>244</v>
      </c>
      <c r="C221" s="425"/>
      <c r="D221" s="425"/>
      <c r="E221" s="426"/>
    </row>
    <row r="222" spans="2:5" ht="20" customHeight="1" x14ac:dyDescent="0.2">
      <c r="B222" s="4" t="s">
        <v>85</v>
      </c>
      <c r="C222" s="65" t="str">
        <f>IF(cluster_wld_domain_chosen&lt;&gt;"MGMT Workload Domain",CONCATENATE(prefix_wld_az1_rack_vlan,"45"),CONCATENATE(prefix_mgmt_az1_vlan,"45"))</f>
        <v>1345</v>
      </c>
      <c r="D222" s="66"/>
      <c r="E222" s="113"/>
    </row>
    <row r="223" spans="2:5" ht="20" customHeight="1" x14ac:dyDescent="0.2">
      <c r="B223" s="4" t="s">
        <v>157</v>
      </c>
      <c r="C223" s="65">
        <v>9000</v>
      </c>
      <c r="D223" s="66"/>
      <c r="E223" s="42"/>
    </row>
    <row r="224" spans="2:5" ht="20" customHeight="1" x14ac:dyDescent="0.2">
      <c r="B224" s="4" t="s">
        <v>183</v>
      </c>
      <c r="C224" s="154" t="str">
        <f>IF(cluster_wld_domain_chosen&lt;&gt;"MGMT Workload Domain",CONCATENATE(prefix_wld_az1_rack_cidr,"45.0"),CONCATENATE(prefix_mgmt_az1_cidr,"45.0"))</f>
        <v>10.13.45.0</v>
      </c>
      <c r="D224" s="66"/>
      <c r="E224" s="42"/>
    </row>
    <row r="225" spans="2:5" ht="20" customHeight="1" x14ac:dyDescent="0.2">
      <c r="B225" s="4" t="s">
        <v>278</v>
      </c>
      <c r="C225" s="154" t="s">
        <v>126</v>
      </c>
      <c r="D225" s="66"/>
      <c r="E225" s="42"/>
    </row>
    <row r="226" spans="2:5" ht="20" customHeight="1" x14ac:dyDescent="0.2">
      <c r="B226" s="4" t="s">
        <v>182</v>
      </c>
      <c r="C226" s="65" t="str">
        <f>IF(cluster_wld_domain_chosen&lt;&gt;"MGMT Workload Domain",CONCATENATE(prefix_wld_az1_rack_cidr,"45.1"),CONCATENATE(prefix_mgmt_az1_cidr,"45.1"))</f>
        <v>10.13.45.1</v>
      </c>
      <c r="D226" s="66"/>
      <c r="E226" s="42"/>
    </row>
    <row r="227" spans="2:5" ht="20" customHeight="1" x14ac:dyDescent="0.2">
      <c r="B227" s="23" t="s">
        <v>248</v>
      </c>
      <c r="C227" s="65" t="str">
        <f>IF(cluster_wld_domain_chosen&lt;&gt;"MGMT Workload Domain",CONCATENATE(prefix_wld_az1_rack_cidr,"45.101"),CONCATENATE(prefix_mgmt_az1_cidr,"45.101"))</f>
        <v>10.13.45.101</v>
      </c>
      <c r="D227" s="66"/>
      <c r="E227" s="121" t="s">
        <v>2574</v>
      </c>
    </row>
    <row r="228" spans="2:5" ht="20" customHeight="1" x14ac:dyDescent="0.2">
      <c r="B228" s="23" t="s">
        <v>249</v>
      </c>
      <c r="C228" s="65" t="str">
        <f>IF(cluster_wld_domain_chosen&lt;&gt;"MGMT Workload Domain",CONCATENATE(prefix_wld_az1_rack_cidr,"45.116"),CONCATENATE(prefix_mgmt_az1_cidr,"45.116"))</f>
        <v>10.13.45.116</v>
      </c>
      <c r="D228" s="66"/>
      <c r="E228" s="121" t="s">
        <v>2575</v>
      </c>
    </row>
    <row r="229" spans="2:5" ht="20" customHeight="1" x14ac:dyDescent="0.2">
      <c r="B229" s="424" t="s">
        <v>250</v>
      </c>
      <c r="C229" s="425"/>
      <c r="D229" s="425"/>
      <c r="E229" s="426"/>
    </row>
    <row r="230" spans="2:5" ht="20" customHeight="1" x14ac:dyDescent="0.2">
      <c r="B230" s="4" t="s">
        <v>85</v>
      </c>
      <c r="C230" s="65" t="str">
        <f>IF(cluster_wld_domain_chosen&lt;&gt;"MGMT Workload Domain",CONCATENATE(prefix_wld_az1_rack_vlan,"46"),CONCATENATE(prefix_mgmt_az1_vlan,"46"))</f>
        <v>1346</v>
      </c>
      <c r="D230" s="66"/>
      <c r="E230" s="42"/>
    </row>
    <row r="231" spans="2:5" ht="20" customHeight="1" x14ac:dyDescent="0.2">
      <c r="B231" s="4" t="s">
        <v>157</v>
      </c>
      <c r="C231" s="65">
        <v>9000</v>
      </c>
      <c r="D231" s="66"/>
      <c r="E231" s="42"/>
    </row>
    <row r="232" spans="2:5" ht="20" customHeight="1" x14ac:dyDescent="0.2">
      <c r="B232" s="4" t="s">
        <v>183</v>
      </c>
      <c r="C232" s="154" t="str">
        <f>IF(cluster_wld_domain_chosen&lt;&gt;"MGMT Workload Domain",CONCATENATE(prefix_wld_az1_rack_cidr,"46.0"),CONCATENATE(prefix_mgmt_az1_cidr,"46.0"))</f>
        <v>10.13.46.0</v>
      </c>
      <c r="D232" s="66"/>
      <c r="E232" s="80"/>
    </row>
    <row r="233" spans="2:5" ht="20" customHeight="1" x14ac:dyDescent="0.2">
      <c r="B233" s="4" t="s">
        <v>278</v>
      </c>
      <c r="C233" s="154" t="s">
        <v>126</v>
      </c>
      <c r="D233" s="66"/>
      <c r="E233" s="42"/>
    </row>
    <row r="234" spans="2:5" ht="20" customHeight="1" x14ac:dyDescent="0.2">
      <c r="B234" s="4" t="s">
        <v>182</v>
      </c>
      <c r="C234" s="65" t="str">
        <f>IF(cluster_wld_domain_chosen&lt;&gt;"MGMT Workload Domain",CONCATENATE(prefix_wld_az1_rack_cidr,"46.1"),CONCATENATE(prefix_mgmt_az1_cidr,"46.1"))</f>
        <v>10.13.46.1</v>
      </c>
      <c r="D234" s="66"/>
      <c r="E234" s="42" t="str">
        <f>IF(AND(mgmt_stretched_cluster_result="Included",mgmt_dpg_reuse_result="Excluded"),"Stretched L2","")</f>
        <v/>
      </c>
    </row>
    <row r="235" spans="2:5" ht="20" customHeight="1" x14ac:dyDescent="0.2">
      <c r="B235" s="23" t="s">
        <v>248</v>
      </c>
      <c r="C235" s="65" t="str">
        <f>IF(cluster_wld_domain_chosen&lt;&gt;"MGMT Workload Domain",CONCATENATE(prefix_wld_az1_rack_cidr,"46.101"),CONCATENATE(prefix_mgmt_az1_cidr,"46.101"))</f>
        <v>10.13.46.101</v>
      </c>
      <c r="D235" s="66"/>
      <c r="E235" s="121" t="s">
        <v>2557</v>
      </c>
    </row>
    <row r="236" spans="2:5" ht="20" customHeight="1" x14ac:dyDescent="0.2">
      <c r="B236" s="23" t="s">
        <v>249</v>
      </c>
      <c r="C236" s="65" t="str">
        <f>IF(cluster_wld_domain_chosen&lt;&gt;"MGMT Workload Domain",CONCATENATE(prefix_wld_az1_rack_cidr,"46.116"),CONCATENATE(prefix_mgmt_az1_cidr,"46.116"))</f>
        <v>10.13.46.116</v>
      </c>
      <c r="D236" s="66"/>
      <c r="E236" s="121" t="s">
        <v>2558</v>
      </c>
    </row>
    <row r="237" spans="2:5" ht="16" customHeight="1" x14ac:dyDescent="0.2">
      <c r="B237" s="9"/>
      <c r="C237" s="9"/>
      <c r="D237" s="9"/>
      <c r="E237" s="9"/>
    </row>
    <row r="238" spans="2:5" ht="34" customHeight="1" x14ac:dyDescent="0.2">
      <c r="B238" s="569" t="s">
        <v>2576</v>
      </c>
      <c r="C238" s="570"/>
      <c r="D238" s="570"/>
      <c r="E238" s="571"/>
    </row>
    <row r="239" spans="2:5" ht="20" customHeight="1" x14ac:dyDescent="0.2">
      <c r="B239" s="62" t="s">
        <v>254</v>
      </c>
      <c r="C239" s="62" t="s">
        <v>255</v>
      </c>
      <c r="D239" s="161" t="s">
        <v>20</v>
      </c>
      <c r="E239" s="62" t="s">
        <v>256</v>
      </c>
    </row>
    <row r="240" spans="2:5" ht="20" customHeight="1" x14ac:dyDescent="0.2">
      <c r="B240" s="23" t="s">
        <v>208</v>
      </c>
      <c r="C240" s="154" t="str">
        <f>IF(cluster_wld_domain_chosen&lt;&gt;"MGMT Workload Domain",CONCATENATE(this_instance,"01-w0",wld_domain_number_chosen,"-r04-esx01",".",sample_child_dns_zone),CONCATENATE(this_instance,"01-m01-r04-esx01",".",sample_child_dns_zone))</f>
        <v>sfo01-w01-r04-esx01.sfo.rainpole.io</v>
      </c>
      <c r="D240" s="66"/>
      <c r="E240" s="42"/>
    </row>
    <row r="241" spans="2:5" ht="20" customHeight="1" x14ac:dyDescent="0.2">
      <c r="B241" s="23" t="s">
        <v>210</v>
      </c>
      <c r="C241" s="154" t="str">
        <f>IF(cluster_wld_domain_chosen&lt;&gt;"MGMT Workload Domain",CONCATENATE(this_instance,"01-w0",wld_domain_number_chosen,"-r04-esx02",".",sample_child_dns_zone),CONCATENATE(this_instance,"01-m01-r04-esx02",".",sample_child_dns_zone))</f>
        <v>sfo01-w01-r04-esx02.sfo.rainpole.io</v>
      </c>
      <c r="D241" s="66"/>
      <c r="E241" s="42"/>
    </row>
    <row r="242" spans="2:5" ht="20" customHeight="1" x14ac:dyDescent="0.2">
      <c r="B242" s="23" t="s">
        <v>212</v>
      </c>
      <c r="C242" s="154" t="str">
        <f>IF(cluster_wld_domain_chosen&lt;&gt;"MGMT Workload Domain",CONCATENATE(this_instance,"01-w0",wld_domain_number_chosen,"-r04-esx03",".",sample_child_dns_zone),CONCATENATE(this_instance,"01-m01-r04-esx03",".",sample_child_dns_zone))</f>
        <v>sfo01-w01-r04-esx03.sfo.rainpole.io</v>
      </c>
      <c r="D242" s="66"/>
      <c r="E242" s="42"/>
    </row>
    <row r="243" spans="2:5" ht="20" customHeight="1" x14ac:dyDescent="0.2">
      <c r="B243" s="23" t="s">
        <v>214</v>
      </c>
      <c r="C243" s="154" t="str">
        <f>IF(cluster_wld_domain_chosen&lt;&gt;"MGMT Workload Domain",CONCATENATE(this_instance,"01-w0",wld_domain_number_chosen,"-r04-esx04",".",sample_child_dns_zone),CONCATENATE(this_instance,"01-m01-r04-esx04",".",sample_child_dns_zone))</f>
        <v>sfo01-w01-r04-esx04.sfo.rainpole.io</v>
      </c>
      <c r="D243" s="66"/>
      <c r="E243" s="42"/>
    </row>
    <row r="244" spans="2:5" ht="20" customHeight="1" x14ac:dyDescent="0.2">
      <c r="B244" s="23" t="s">
        <v>216</v>
      </c>
      <c r="C244" s="154" t="str">
        <f>IF(cluster_wld_domain_chosen&lt;&gt;"MGMT Workload Domain",CONCATENATE(this_instance,"01-w0",wld_domain_number_chosen,"-r04-esx05",".",sample_child_dns_zone),CONCATENATE(this_instance,"01-m01-r04-esx05",".",sample_child_dns_zone))</f>
        <v>sfo01-w01-r04-esx05.sfo.rainpole.io</v>
      </c>
      <c r="D244" s="66"/>
      <c r="E244" s="42"/>
    </row>
    <row r="245" spans="2:5" ht="20" customHeight="1" x14ac:dyDescent="0.2">
      <c r="B245" s="23" t="s">
        <v>218</v>
      </c>
      <c r="C245" s="154" t="str">
        <f>IF(cluster_wld_domain_chosen&lt;&gt;"MGMT Workload Domain",CONCATENATE(this_instance,"01-w0",wld_domain_number_chosen,"-r04-esx06",".",sample_child_dns_zone),CONCATENATE(this_instance,"01-m01-r04-esx06",".",sample_child_dns_zone))</f>
        <v>sfo01-w01-r04-esx06.sfo.rainpole.io</v>
      </c>
      <c r="D245" s="66"/>
      <c r="E245" s="42"/>
    </row>
    <row r="246" spans="2:5" ht="20" customHeight="1" x14ac:dyDescent="0.2">
      <c r="B246" s="23" t="s">
        <v>220</v>
      </c>
      <c r="C246" s="154" t="str">
        <f>IF(cluster_wld_domain_chosen&lt;&gt;"MGMT Workload Domain",CONCATENATE(this_instance,"01-w0",wld_domain_number_chosen,"-r04-esx07",".",sample_child_dns_zone),CONCATENATE(this_instance,"01-m01-r04-esx07",".",sample_child_dns_zone))</f>
        <v>sfo01-w01-r04-esx07.sfo.rainpole.io</v>
      </c>
      <c r="D246" s="66"/>
      <c r="E246" s="42"/>
    </row>
    <row r="247" spans="2:5" ht="20" customHeight="1" x14ac:dyDescent="0.2">
      <c r="B247" s="23" t="s">
        <v>222</v>
      </c>
      <c r="C247" s="154" t="str">
        <f>IF(cluster_wld_domain_chosen&lt;&gt;"MGMT Workload Domain",CONCATENATE(this_instance,"01-w0",wld_domain_number_chosen,"-r04-esx08",".",sample_child_dns_zone),CONCATENATE(this_instance,"01-m01-r04-esx08",".",sample_child_dns_zone))</f>
        <v>sfo01-w01-r04-esx08.sfo.rainpole.io</v>
      </c>
      <c r="D247" s="66"/>
      <c r="E247" s="42"/>
    </row>
    <row r="248" spans="2:5" ht="20" customHeight="1" x14ac:dyDescent="0.2">
      <c r="B248" s="23" t="s">
        <v>224</v>
      </c>
      <c r="C248" s="154" t="str">
        <f>IF(cluster_wld_domain_chosen&lt;&gt;"MGMT Workload Domain",CONCATENATE(this_instance,"01-w0",wld_domain_number_chosen,"-r04-esx09",".",sample_child_dns_zone),CONCATENATE(this_instance,"01-m01-r04-esx09",".",sample_child_dns_zone))</f>
        <v>sfo01-w01-r04-esx09.sfo.rainpole.io</v>
      </c>
      <c r="D248" s="66"/>
      <c r="E248" s="42"/>
    </row>
    <row r="249" spans="2:5" ht="20" customHeight="1" x14ac:dyDescent="0.2">
      <c r="B249" s="23" t="s">
        <v>226</v>
      </c>
      <c r="C249" s="154" t="str">
        <f>IF(cluster_wld_domain_chosen&lt;&gt;"MGMT Workload Domain",CONCATENATE(this_instance,"01-w0",wld_domain_number_chosen,"-r04-esx10",".",sample_child_dns_zone),CONCATENATE(this_instance,"01-m01-r04-esx10",".",sample_child_dns_zone))</f>
        <v>sfo01-w01-r04-esx10.sfo.rainpole.io</v>
      </c>
      <c r="D249" s="66"/>
      <c r="E249" s="42"/>
    </row>
    <row r="250" spans="2:5" ht="20" customHeight="1" x14ac:dyDescent="0.2">
      <c r="B250" s="23" t="s">
        <v>228</v>
      </c>
      <c r="C250" s="154" t="str">
        <f>IF(cluster_wld_domain_chosen&lt;&gt;"MGMT Workload Domain",CONCATENATE(this_instance,"01-w0",wld_domain_number_chosen,"-r04-esx11",".",sample_child_dns_zone),CONCATENATE(this_instance,"01-m01-r04-esx11",".",sample_child_dns_zone))</f>
        <v>sfo01-w01-r04-esx11.sfo.rainpole.io</v>
      </c>
      <c r="D250" s="66"/>
      <c r="E250" s="42"/>
    </row>
    <row r="251" spans="2:5" ht="20" customHeight="1" x14ac:dyDescent="0.2">
      <c r="B251" s="23" t="s">
        <v>230</v>
      </c>
      <c r="C251" s="154" t="str">
        <f>IF(cluster_wld_domain_chosen&lt;&gt;"MGMT Workload Domain",CONCATENATE(this_instance,"01-w0",wld_domain_number_chosen,"-r04-esx12",".",sample_child_dns_zone),CONCATENATE(this_instance,"01-m01-r04-esx12",".",sample_child_dns_zone))</f>
        <v>sfo01-w01-r04-esx12.sfo.rainpole.io</v>
      </c>
      <c r="D251" s="66"/>
      <c r="E251" s="42"/>
    </row>
    <row r="252" spans="2:5" ht="20" customHeight="1" x14ac:dyDescent="0.2">
      <c r="B252" s="23" t="s">
        <v>232</v>
      </c>
      <c r="C252" s="154" t="str">
        <f>IF(cluster_wld_domain_chosen&lt;&gt;"MGMT Workload Domain",CONCATENATE(this_instance,"01-w0",wld_domain_number_chosen,"-r04-esx13",".",sample_child_dns_zone),CONCATENATE(this_instance,"01-m01-r04-esx13",".",sample_child_dns_zone))</f>
        <v>sfo01-w01-r04-esx13.sfo.rainpole.io</v>
      </c>
      <c r="D252" s="66"/>
      <c r="E252" s="42"/>
    </row>
    <row r="253" spans="2:5" ht="20" customHeight="1" x14ac:dyDescent="0.2">
      <c r="B253" s="23" t="s">
        <v>234</v>
      </c>
      <c r="C253" s="154" t="str">
        <f>IF(cluster_wld_domain_chosen&lt;&gt;"MGMT Workload Domain",CONCATENATE(this_instance,"01-w0",wld_domain_number_chosen,"-r04-esx14",".",sample_child_dns_zone),CONCATENATE(this_instance,"01-m01-r04-esx14",".",sample_child_dns_zone))</f>
        <v>sfo01-w01-r04-esx14.sfo.rainpole.io</v>
      </c>
      <c r="D253" s="66"/>
      <c r="E253" s="42"/>
    </row>
    <row r="254" spans="2:5" ht="20" customHeight="1" x14ac:dyDescent="0.2">
      <c r="B254" s="23" t="s">
        <v>236</v>
      </c>
      <c r="C254" s="154" t="str">
        <f>IF(cluster_wld_domain_chosen&lt;&gt;"MGMT Workload Domain",CONCATENATE(this_instance,"01-w0",wld_domain_number_chosen,"-r04-esx14",".",sample_child_dns_zone),CONCATENATE(this_instance,"01-m01-r04-esx15",".",sample_child_dns_zone))</f>
        <v>sfo01-w01-r04-esx14.sfo.rainpole.io</v>
      </c>
      <c r="D254" s="66"/>
      <c r="E254" s="42"/>
    </row>
    <row r="255" spans="2:5" ht="20" customHeight="1" x14ac:dyDescent="0.2">
      <c r="B255" s="23" t="s">
        <v>238</v>
      </c>
      <c r="C255" s="154" t="str">
        <f>IF(cluster_wld_domain_chosen&lt;&gt;"MGMT Workload Domain",CONCATENATE(this_instance,"01-w0",wld_domain_number_chosen,"-r04-esx16",".",sample_child_dns_zone),CONCATENATE(this_instance,"01-m01-r04-esx16",".",sample_child_dns_zone))</f>
        <v>sfo01-w01-r04-esx16.sfo.rainpole.io</v>
      </c>
      <c r="D255" s="66"/>
      <c r="E255" s="42"/>
    </row>
    <row r="256" spans="2:5" ht="20" customHeight="1" x14ac:dyDescent="0.2">
      <c r="B256" s="23" t="s">
        <v>257</v>
      </c>
      <c r="C256" s="154" t="s">
        <v>665</v>
      </c>
      <c r="D256" s="8" t="s">
        <v>258</v>
      </c>
      <c r="E256" s="42"/>
    </row>
    <row r="257" spans="2:5" ht="20" customHeight="1" x14ac:dyDescent="0.2">
      <c r="B257" s="23" t="s">
        <v>259</v>
      </c>
      <c r="C257" s="154" t="s">
        <v>260</v>
      </c>
      <c r="D257"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257" s="4"/>
    </row>
    <row r="258" spans="2:5" ht="20" customHeight="1" x14ac:dyDescent="0.2">
      <c r="B258" s="23" t="s">
        <v>261</v>
      </c>
      <c r="C258" s="154" t="s">
        <v>156</v>
      </c>
      <c r="D258" s="8" t="str">
        <f>IF(AND(vcf_granular_option_chosen="Create Cluster",cluster_principal_storage_chosen="vSAN-ESA"),"Selected",
IF(AND(vcf_granular_option_chosen="Create Workload Domain",wld_principal_storage_chosen="vSAN-ESA"),"Selected","Unselected"))</f>
        <v>Unselected</v>
      </c>
      <c r="E258" s="42"/>
    </row>
    <row r="259" spans="2:5" ht="20" customHeight="1" x14ac:dyDescent="0.2">
      <c r="B259" s="23" t="s">
        <v>243</v>
      </c>
      <c r="C259" s="154" t="str">
        <f>sample_wld_az1_rack4_pool_name</f>
        <v>sfo01-w01-r04-network-pool-01</v>
      </c>
      <c r="D259" s="8" t="str">
        <f>wld_az1_rack4_pool_name</f>
        <v>Value Missing</v>
      </c>
      <c r="E259" s="42"/>
    </row>
    <row r="260" spans="2:5" ht="20" customHeight="1" x14ac:dyDescent="0.2">
      <c r="B260" s="23" t="s">
        <v>47</v>
      </c>
      <c r="C260" s="154" t="s">
        <v>262</v>
      </c>
      <c r="D260"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260" s="42"/>
    </row>
    <row r="261" spans="2:5" ht="20" customHeight="1" x14ac:dyDescent="0.2">
      <c r="B261" s="23" t="s">
        <v>30</v>
      </c>
      <c r="C261" s="154" t="s">
        <v>31</v>
      </c>
      <c r="D261" s="8" t="str">
        <f>IF(AND(vcf_granular_option_chosen="Create Cluster",cluster_chosen="Deploy a Multi-Rack Layer 3 Cluster"),cluster_esx_root_password,
IF(AND(vcf_granular_option_chosen="Create Workload Domain",wld_domain_chosen="Deploy Workload Domain with a Multi-Rack Layer 3 Cluster"),wld_esx_root_password,wld_esx_root_password))</f>
        <v>Value Missing</v>
      </c>
      <c r="E261" s="42"/>
    </row>
    <row r="262" spans="2:5" ht="16" customHeight="1" x14ac:dyDescent="0.2"/>
    <row r="263" spans="2:5" ht="34" customHeight="1" x14ac:dyDescent="0.2">
      <c r="B263" s="569" t="s">
        <v>2577</v>
      </c>
      <c r="C263" s="570"/>
      <c r="D263" s="570"/>
      <c r="E263" s="571"/>
    </row>
    <row r="264" spans="2:5" ht="20" customHeight="1" x14ac:dyDescent="0.2">
      <c r="B264" s="4" t="s">
        <v>329</v>
      </c>
      <c r="C264" s="109" t="str">
        <f>IF(vcf_granular_option_chosen="Create Cluster",CONCATENATE(this_instance,"01-",sample_cluster_name,"-r04-network-profile"),
IF(cluster_wld_domain_chosen="Workload Domain",CONCATENATE(this_instance,"01-",sample_wld_cl01_cluster,"-r04-network-profile"),
CONCATENATE(this_instance,"01-",sample_mgmt_cl01_cluster,"-r04-network-profile")))</f>
        <v>sfo01-sfo-w01-cl01-r04-network-profile</v>
      </c>
      <c r="D264" s="66"/>
      <c r="E264" s="103"/>
    </row>
    <row r="265" spans="2:5" ht="20" customHeight="1" x14ac:dyDescent="0.2">
      <c r="B265" s="4" t="s">
        <v>2561</v>
      </c>
      <c r="C265" s="65" t="s">
        <v>331</v>
      </c>
      <c r="D265" s="155" t="s">
        <v>331</v>
      </c>
      <c r="E265" s="4" t="str">
        <f>IF(wld_az1_rack4_host_overlay_new_pool_chosen="Re-use an existing Pool","An exisitng Pool will be reused for Host TEP assignment","A new Pool will be created for Host TEP assignment")</f>
        <v>A new Pool will be created for Host TEP assignment</v>
      </c>
    </row>
    <row r="266" spans="2:5" ht="20" customHeight="1" x14ac:dyDescent="0.2">
      <c r="B266" s="4" t="s">
        <v>332</v>
      </c>
      <c r="C266" s="109" t="str">
        <f>IF(cluster_wld_domain_chosen="Workload Domain",CONCATENATE(this_instance,"01-w0",wld_domain_number_chosen,"-r04-ip-pool01-host"),CONCATENATE(this_instance,"01-m01","-r04-ip-pool01-host"))</f>
        <v>sfo01-w01-r04-ip-pool01-host</v>
      </c>
      <c r="D266" s="66"/>
      <c r="E266" s="103"/>
    </row>
    <row r="267" spans="2:5" ht="20" customHeight="1" x14ac:dyDescent="0.2">
      <c r="B267" s="4" t="s">
        <v>333</v>
      </c>
      <c r="C267" s="109" t="str">
        <f>IF(cluster_wld_domain_chosen="Workload Domain",CONCATENATE(this_instance,"01-w0",wld_domain_number_chosen,"-r04-uplink-profile01"),CONCATENATE(this_instance,"01-m01","-r04-uplink-profile01"))</f>
        <v>sfo01-w01-r04-uplink-profile01</v>
      </c>
      <c r="D267" s="66"/>
      <c r="E267" s="103"/>
    </row>
    <row r="268" spans="2:5" ht="20" customHeight="1" x14ac:dyDescent="0.2">
      <c r="B268" s="4" t="s">
        <v>2562</v>
      </c>
      <c r="C268" s="109" t="str">
        <f>IF(cluster_wld_domain_chosen="Workload Domain",CONCATENATE(this_instance,"01-w0",wld_domain_number_chosen,"-r04-ip-pool02-edge"),CONCATENATE(this_instance,"01-m01","-r04-ip-pool02-edge"))</f>
        <v>sfo01-w01-r04-ip-pool02-edge</v>
      </c>
      <c r="D268" s="66"/>
      <c r="E268" s="103"/>
    </row>
    <row r="269" spans="2:5" ht="20" customHeight="1" x14ac:dyDescent="0.2">
      <c r="B269" s="4" t="s">
        <v>2563</v>
      </c>
      <c r="C269" s="109" t="str">
        <f>IF(cluster_wld_domain_chosen="Workload Domain",CONCATENATE(this_instance,"01-w0",wld_domain_number_chosen,"-r02-ip-pool04-rtep"),CONCATENATE(this_instance,"01-m01","-r04-ip-pool03-rtep"))</f>
        <v>sfo01-w01-r02-ip-pool04-rtep</v>
      </c>
      <c r="D269" s="66"/>
      <c r="E269" s="103"/>
    </row>
    <row r="270" spans="2:5" ht="20" customHeight="1" x14ac:dyDescent="0.2">
      <c r="B270" s="424" t="s">
        <v>728</v>
      </c>
      <c r="C270" s="425"/>
      <c r="D270" s="425"/>
      <c r="E270" s="426"/>
    </row>
    <row r="271" spans="2:5" ht="20" customHeight="1" x14ac:dyDescent="0.2">
      <c r="B271" s="251" t="s">
        <v>254</v>
      </c>
      <c r="C271" s="251" t="s">
        <v>255</v>
      </c>
      <c r="D271" s="283" t="s">
        <v>20</v>
      </c>
      <c r="E271" s="251" t="s">
        <v>21</v>
      </c>
    </row>
    <row r="272" spans="2:5" ht="20" customHeight="1" x14ac:dyDescent="0.2">
      <c r="B272" s="4" t="s">
        <v>1222</v>
      </c>
      <c r="C272" s="103" t="str">
        <f>IF(cluster_wld_domain_chosen&lt;&gt;"MGMT Workload Domain",CONCATENATE(this_instance,"-w0",wld_domain_number_chosen,"-r04","-vsan-fault-domain"),CONCATENATE(this_instance,"-m01","-r04","-vsan-fault-domain"))</f>
        <v>sfo-w01-r04-vsan-fault-domain</v>
      </c>
      <c r="D272" s="66"/>
      <c r="E272" s="8"/>
    </row>
    <row r="273" spans="2:5" ht="16" customHeight="1" x14ac:dyDescent="0.2"/>
    <row r="274" spans="2:5" ht="34" customHeight="1" x14ac:dyDescent="0.2">
      <c r="B274" s="569" t="s">
        <v>2578</v>
      </c>
      <c r="C274" s="570"/>
      <c r="D274" s="570"/>
      <c r="E274" s="571"/>
    </row>
    <row r="275" spans="2:5" ht="20" customHeight="1" x14ac:dyDescent="0.2">
      <c r="B275" s="62" t="s">
        <v>254</v>
      </c>
      <c r="C275" s="62" t="s">
        <v>255</v>
      </c>
      <c r="D275" s="161" t="s">
        <v>20</v>
      </c>
      <c r="E275" s="62" t="s">
        <v>21</v>
      </c>
    </row>
    <row r="276" spans="2:5" ht="20" customHeight="1" x14ac:dyDescent="0.2">
      <c r="B276" s="424" t="s">
        <v>815</v>
      </c>
      <c r="C276" s="425"/>
      <c r="D276" s="425"/>
      <c r="E276" s="426"/>
    </row>
    <row r="277" spans="2:5" ht="20" customHeight="1" x14ac:dyDescent="0.2">
      <c r="B277" s="4" t="s">
        <v>85</v>
      </c>
      <c r="C277" s="65" t="str">
        <f>IF(cluster_wld_domain_chosen&lt;&gt;"MGMT Workload Domain",CONCATENATE(prefix_wld_az1_rack_vlan,"47"),CONCATENATE(prefix_mgmt_az1_vlan,"47"))</f>
        <v>1347</v>
      </c>
      <c r="D277" s="66"/>
      <c r="E277" s="113"/>
    </row>
    <row r="278" spans="2:5" ht="20" customHeight="1" x14ac:dyDescent="0.2">
      <c r="B278" s="4" t="s">
        <v>157</v>
      </c>
      <c r="C278" s="65">
        <v>9000</v>
      </c>
      <c r="D278" s="66"/>
      <c r="E278" s="42"/>
    </row>
    <row r="279" spans="2:5" ht="20" customHeight="1" x14ac:dyDescent="0.2">
      <c r="B279" s="4" t="s">
        <v>183</v>
      </c>
      <c r="C279" s="65" t="str">
        <f>IF(cluster_wld_domain_chosen&lt;&gt;"MGMT Workload Domain",CONCATENATE(prefix_wld_az1_rack_cidr,"47.0"),CONCATENATE(prefix_mgmt_az1_cidr,"47.0"))</f>
        <v>10.13.47.0</v>
      </c>
      <c r="D279" s="66"/>
      <c r="E279" s="42"/>
    </row>
    <row r="280" spans="2:5" ht="20" customHeight="1" x14ac:dyDescent="0.2">
      <c r="B280" s="4" t="s">
        <v>278</v>
      </c>
      <c r="C280" s="154" t="s">
        <v>126</v>
      </c>
      <c r="D280" s="66"/>
      <c r="E280" s="42"/>
    </row>
    <row r="281" spans="2:5" ht="20" customHeight="1" x14ac:dyDescent="0.2">
      <c r="B281" s="4" t="s">
        <v>182</v>
      </c>
      <c r="C281" s="65" t="str">
        <f>IF(cluster_wld_domain_chosen&lt;&gt;"MGMT Workload Domain",CONCATENATE(prefix_wld_az1_rack_cidr,"47.1"),CONCATENATE(prefix_mgmt_az1_cidr,"47.1"))</f>
        <v>10.13.47.1</v>
      </c>
      <c r="D281" s="66"/>
      <c r="E281" s="42"/>
    </row>
    <row r="282" spans="2:5" ht="20" customHeight="1" x14ac:dyDescent="0.2">
      <c r="B282" s="23" t="s">
        <v>248</v>
      </c>
      <c r="C282" s="65" t="str">
        <f>IF(cluster_wld_domain_chosen&lt;&gt;"MGMT Workload Domain",CONCATENATE(prefix_wld_az1_rack_cidr,"47.101"),CONCATENATE(prefix_mgmt_az1_cidr,"47.101"))</f>
        <v>10.13.47.101</v>
      </c>
      <c r="D282" s="66"/>
      <c r="E282" s="121" t="s">
        <v>2565</v>
      </c>
    </row>
    <row r="283" spans="2:5" ht="20" customHeight="1" x14ac:dyDescent="0.2">
      <c r="B283" s="23" t="s">
        <v>249</v>
      </c>
      <c r="C283" s="65" t="str">
        <f>IF(cluster_wld_domain_chosen&lt;&gt;"MGMT Workload Domain",CONCATENATE(prefix_wld_az1_rack_cidr,"47.132"),CONCATENATE(prefix_mgmt_az1_cidr,"47.132"))</f>
        <v>10.13.47.132</v>
      </c>
      <c r="D283" s="66"/>
      <c r="E283" s="121" t="s">
        <v>2579</v>
      </c>
    </row>
    <row r="284" spans="2:5" ht="16" customHeight="1" x14ac:dyDescent="0.2"/>
    <row r="285" spans="2:5" ht="34" customHeight="1" x14ac:dyDescent="0.2">
      <c r="B285" s="569" t="s">
        <v>2580</v>
      </c>
      <c r="C285" s="570"/>
      <c r="D285" s="570"/>
      <c r="E285" s="571"/>
    </row>
    <row r="286" spans="2:5" ht="20" customHeight="1" x14ac:dyDescent="0.2">
      <c r="B286" s="62" t="s">
        <v>254</v>
      </c>
      <c r="C286" s="62" t="s">
        <v>255</v>
      </c>
      <c r="D286" s="161" t="s">
        <v>20</v>
      </c>
      <c r="E286" s="62" t="s">
        <v>256</v>
      </c>
    </row>
    <row r="287" spans="2:5" ht="20" customHeight="1" x14ac:dyDescent="0.2">
      <c r="B287" s="424" t="s">
        <v>206</v>
      </c>
      <c r="C287" s="425"/>
      <c r="D287" s="425"/>
      <c r="E287" s="426"/>
    </row>
    <row r="288" spans="2:5" ht="20" customHeight="1" x14ac:dyDescent="0.2">
      <c r="B288" s="4" t="s">
        <v>85</v>
      </c>
      <c r="C288" s="65" t="str">
        <f>IF(cluster_wld_domain_chosen&lt;&gt;"MGMT Workload Domain",CONCATENATE(prefix_wld_az1_rack_vlan,"55"),CONCATENATE(prefix_mgmt_az1_vlan,"55"))</f>
        <v>1355</v>
      </c>
      <c r="D288" s="66"/>
      <c r="E288" s="113"/>
    </row>
    <row r="289" spans="2:5" ht="20" customHeight="1" x14ac:dyDescent="0.2">
      <c r="B289" s="4" t="s">
        <v>182</v>
      </c>
      <c r="C289" s="65" t="str">
        <f>IF(cluster_wld_domain_chosen&lt;&gt;"MGMT Workload Domain",CONCATENATE(prefix_wld_az1_rack_cidr,"55.1"),CONCATENATE(prefix_mgmt_az1_cidr,"55.1"))</f>
        <v>10.13.55.1</v>
      </c>
      <c r="D289" s="66"/>
      <c r="E289" s="42"/>
    </row>
    <row r="290" spans="2:5" ht="20" customHeight="1" x14ac:dyDescent="0.2">
      <c r="B290" s="4" t="s">
        <v>183</v>
      </c>
      <c r="C290" s="65" t="str">
        <f>IF(cluster_wld_domain_chosen&lt;&gt;"MGMT Workload Domain",CONCATENATE(prefix_wld_az1_rack_cidr,"55.0/24"),CONCATENATE(prefix_mgmt_az1_cidr,"55.0/24"))</f>
        <v>10.13.55.0/24</v>
      </c>
      <c r="D290" s="66"/>
      <c r="E290" s="42"/>
    </row>
    <row r="291" spans="2:5" ht="20" customHeight="1" x14ac:dyDescent="0.2">
      <c r="B291" s="4" t="s">
        <v>157</v>
      </c>
      <c r="C291" s="65">
        <v>1500</v>
      </c>
      <c r="D291" s="66"/>
      <c r="E291" s="42"/>
    </row>
    <row r="292" spans="2:5" ht="20" customHeight="1" x14ac:dyDescent="0.2">
      <c r="B292" s="556" t="s">
        <v>207</v>
      </c>
      <c r="C292" s="557"/>
      <c r="D292" s="557"/>
      <c r="E292" s="558"/>
    </row>
    <row r="293" spans="2:5" ht="20" customHeight="1" x14ac:dyDescent="0.2">
      <c r="B293" s="23" t="s">
        <v>208</v>
      </c>
      <c r="C293" s="154" t="str">
        <f>IF(cluster_wld_domain_chosen&lt;&gt;"MGMT Workload Domain",CONCATENATE(prefix_wld_az1_rack_cidr,"55.101"),CONCATENATE(prefix_mgmt_az1_cidr,"55.101"))</f>
        <v>10.13.55.101</v>
      </c>
      <c r="D293" s="66"/>
      <c r="E293" s="121" t="s">
        <v>209</v>
      </c>
    </row>
    <row r="294" spans="2:5" ht="20" customHeight="1" x14ac:dyDescent="0.2">
      <c r="B294" s="23" t="s">
        <v>210</v>
      </c>
      <c r="C294" s="154" t="str">
        <f>IF(cluster_wld_domain_chosen&lt;&gt;"MGMT Workload Domain",CONCATENATE(prefix_wld_az1_rack_cidr,"55.102"),CONCATENATE(prefix_mgmt_az1_cidr,"55.102"))</f>
        <v>10.13.55.102</v>
      </c>
      <c r="D294" s="66"/>
      <c r="E294" s="121" t="s">
        <v>211</v>
      </c>
    </row>
    <row r="295" spans="2:5" ht="20" customHeight="1" x14ac:dyDescent="0.2">
      <c r="B295" s="23" t="s">
        <v>212</v>
      </c>
      <c r="C295" s="154" t="str">
        <f>IF(cluster_wld_domain_chosen&lt;&gt;"MGMT Workload Domain",CONCATENATE(prefix_wld_az1_rack_cidr,"55.103"),CONCATENATE(prefix_mgmt_az1_cidr,"55.103"))</f>
        <v>10.13.55.103</v>
      </c>
      <c r="D295" s="66"/>
      <c r="E295" s="121" t="s">
        <v>213</v>
      </c>
    </row>
    <row r="296" spans="2:5" ht="20" customHeight="1" x14ac:dyDescent="0.2">
      <c r="B296" s="23" t="s">
        <v>214</v>
      </c>
      <c r="C296" s="154" t="str">
        <f>IF(cluster_wld_domain_chosen&lt;&gt;"MGMT Workload Domain",CONCATENATE(prefix_wld_az1_rack_cidr,"55.104"),CONCATENATE(prefix_mgmt_az1_cidr,"55.104"))</f>
        <v>10.13.55.104</v>
      </c>
      <c r="D296" s="66"/>
      <c r="E296" s="121" t="s">
        <v>215</v>
      </c>
    </row>
    <row r="297" spans="2:5" ht="20" customHeight="1" x14ac:dyDescent="0.2">
      <c r="B297" s="23" t="s">
        <v>216</v>
      </c>
      <c r="C297" s="154" t="str">
        <f>IF(cluster_wld_domain_chosen&lt;&gt;"MGMT Workload Domain",CONCATENATE(prefix_wld_az1_rack_cidr,"55.105"),CONCATENATE(prefix_mgmt_az1_cidr,"55.105"))</f>
        <v>10.13.55.105</v>
      </c>
      <c r="D297" s="66"/>
      <c r="E297" s="121" t="s">
        <v>217</v>
      </c>
    </row>
    <row r="298" spans="2:5" ht="20" customHeight="1" x14ac:dyDescent="0.2">
      <c r="B298" s="23" t="s">
        <v>218</v>
      </c>
      <c r="C298" s="154" t="str">
        <f>IF(cluster_wld_domain_chosen&lt;&gt;"MGMT Workload Domain",CONCATENATE(prefix_wld_az1_rack_cidr,"55.106"),CONCATENATE(prefix_mgmt_az1_cidr,"55.106"))</f>
        <v>10.13.55.106</v>
      </c>
      <c r="D298" s="66"/>
      <c r="E298" s="121" t="s">
        <v>219</v>
      </c>
    </row>
    <row r="299" spans="2:5" ht="20" customHeight="1" x14ac:dyDescent="0.2">
      <c r="B299" s="23" t="s">
        <v>220</v>
      </c>
      <c r="C299" s="154" t="str">
        <f>IF(cluster_wld_domain_chosen&lt;&gt;"MGMT Workload Domain",CONCATENATE(prefix_wld_az1_rack_cidr,"55.107"),CONCATENATE(prefix_mgmt_az1_cidr,"55.107"))</f>
        <v>10.13.55.107</v>
      </c>
      <c r="D299" s="66"/>
      <c r="E299" s="121" t="s">
        <v>221</v>
      </c>
    </row>
    <row r="300" spans="2:5" ht="20" customHeight="1" x14ac:dyDescent="0.2">
      <c r="B300" s="23" t="s">
        <v>222</v>
      </c>
      <c r="C300" s="154" t="str">
        <f>IF(cluster_wld_domain_chosen&lt;&gt;"MGMT Workload Domain",CONCATENATE(prefix_wld_az1_rack_cidr,"55.108"),CONCATENATE(prefix_mgmt_az1_cidr,"55.108"))</f>
        <v>10.13.55.108</v>
      </c>
      <c r="D300" s="66"/>
      <c r="E300" s="121" t="s">
        <v>223</v>
      </c>
    </row>
    <row r="301" spans="2:5" ht="20" customHeight="1" x14ac:dyDescent="0.2">
      <c r="B301" s="23" t="s">
        <v>224</v>
      </c>
      <c r="C301" s="154" t="str">
        <f>IF(cluster_wld_domain_chosen&lt;&gt;"MGMT Workload Domain",CONCATENATE(prefix_wld_az1_rack_cidr,"55.109"),CONCATENATE(prefix_mgmt_az1_cidr,"55.109"))</f>
        <v>10.13.55.109</v>
      </c>
      <c r="D301" s="66"/>
      <c r="E301" s="121" t="s">
        <v>225</v>
      </c>
    </row>
    <row r="302" spans="2:5" ht="20" customHeight="1" x14ac:dyDescent="0.2">
      <c r="B302" s="23" t="s">
        <v>226</v>
      </c>
      <c r="C302" s="154" t="str">
        <f>IF(cluster_wld_domain_chosen&lt;&gt;"MGMT Workload Domain",CONCATENATE(prefix_wld_az1_rack_cidr,"55.110"),CONCATENATE(prefix_mgmt_az1_cidr,"55.110"))</f>
        <v>10.13.55.110</v>
      </c>
      <c r="D302" s="66"/>
      <c r="E302" s="121" t="s">
        <v>227</v>
      </c>
    </row>
    <row r="303" spans="2:5" ht="20" customHeight="1" x14ac:dyDescent="0.2">
      <c r="B303" s="23" t="s">
        <v>228</v>
      </c>
      <c r="C303" s="154" t="str">
        <f>IF(cluster_wld_domain_chosen&lt;&gt;"MGMT Workload Domain",CONCATENATE(prefix_wld_az1_rack_cidr,"55.111"),CONCATENATE(prefix_mgmt_az1_cidr,"55.111"))</f>
        <v>10.13.55.111</v>
      </c>
      <c r="D303" s="66"/>
      <c r="E303" s="121" t="s">
        <v>229</v>
      </c>
    </row>
    <row r="304" spans="2:5" ht="20" customHeight="1" x14ac:dyDescent="0.2">
      <c r="B304" s="23" t="s">
        <v>230</v>
      </c>
      <c r="C304" s="154" t="str">
        <f>IF(cluster_wld_domain_chosen&lt;&gt;"MGMT Workload Domain",CONCATENATE(prefix_wld_az1_rack_cidr,"55.112"),CONCATENATE(prefix_mgmt_az1_cidr,"55.112"))</f>
        <v>10.13.55.112</v>
      </c>
      <c r="D304" s="66"/>
      <c r="E304" s="121" t="s">
        <v>231</v>
      </c>
    </row>
    <row r="305" spans="2:5" ht="20" customHeight="1" x14ac:dyDescent="0.2">
      <c r="B305" s="23" t="s">
        <v>232</v>
      </c>
      <c r="C305" s="154" t="str">
        <f>IF(cluster_wld_domain_chosen&lt;&gt;"MGMT Workload Domain",CONCATENATE(prefix_wld_az1_rack_cidr,"55.113"),CONCATENATE(prefix_mgmt_az1_cidr,"55.113"))</f>
        <v>10.13.55.113</v>
      </c>
      <c r="D305" s="66"/>
      <c r="E305" s="121" t="s">
        <v>233</v>
      </c>
    </row>
    <row r="306" spans="2:5" ht="20" customHeight="1" x14ac:dyDescent="0.2">
      <c r="B306" s="23" t="s">
        <v>234</v>
      </c>
      <c r="C306" s="154" t="str">
        <f>IF(cluster_wld_domain_chosen&lt;&gt;"MGMT Workload Domain",CONCATENATE(prefix_wld_az1_rack_cidr,"55.114"),CONCATENATE(prefix_mgmt_az1_cidr,"55.114"))</f>
        <v>10.13.55.114</v>
      </c>
      <c r="D306" s="66"/>
      <c r="E306" s="121" t="s">
        <v>235</v>
      </c>
    </row>
    <row r="307" spans="2:5" ht="20" customHeight="1" x14ac:dyDescent="0.2">
      <c r="B307" s="23" t="s">
        <v>236</v>
      </c>
      <c r="C307" s="154" t="str">
        <f>IF(cluster_wld_domain_chosen&lt;&gt;"MGMT Workload Domain",CONCATENATE(prefix_wld_az1_rack_cidr,"55.115"),CONCATENATE(prefix_mgmt_az1_cidr,"55.115"))</f>
        <v>10.13.55.115</v>
      </c>
      <c r="D307" s="66"/>
      <c r="E307" s="121" t="s">
        <v>237</v>
      </c>
    </row>
    <row r="308" spans="2:5" ht="20" customHeight="1" x14ac:dyDescent="0.2">
      <c r="B308" s="23" t="s">
        <v>238</v>
      </c>
      <c r="C308" s="154" t="str">
        <f>IF(cluster_wld_domain_chosen&lt;&gt;"MGMT Workload Domain",CONCATENATE(prefix_wld_az1_rack_cidr,"55.116"),CONCATENATE(prefix_mgmt_az1_cidr,"55.116"))</f>
        <v>10.13.55.116</v>
      </c>
      <c r="D308" s="66"/>
      <c r="E308" s="121" t="s">
        <v>239</v>
      </c>
    </row>
    <row r="309" spans="2:5" ht="16" customHeight="1" x14ac:dyDescent="0.2">
      <c r="B309" s="9"/>
      <c r="C309" s="9"/>
      <c r="D309" s="9"/>
      <c r="E309" s="9"/>
    </row>
    <row r="310" spans="2:5" ht="34" customHeight="1" x14ac:dyDescent="0.2">
      <c r="B310" s="569" t="s">
        <v>2581</v>
      </c>
      <c r="C310" s="570"/>
      <c r="D310" s="570"/>
      <c r="E310" s="571"/>
    </row>
    <row r="311" spans="2:5" ht="20" customHeight="1" x14ac:dyDescent="0.2">
      <c r="B311" s="62" t="s">
        <v>254</v>
      </c>
      <c r="C311" s="62" t="s">
        <v>255</v>
      </c>
      <c r="D311" s="161" t="s">
        <v>20</v>
      </c>
      <c r="E311" s="62" t="s">
        <v>256</v>
      </c>
    </row>
    <row r="312" spans="2:5" ht="20" customHeight="1" x14ac:dyDescent="0.2">
      <c r="B312" s="4" t="s">
        <v>2554</v>
      </c>
      <c r="C312" s="65" t="s">
        <v>242</v>
      </c>
      <c r="D312" s="155" t="s">
        <v>242</v>
      </c>
      <c r="E312" s="4" t="str">
        <f>IF(wld_az1_rack5_reuse_vcf_networkpool_chosen="Re-use an existing  VCF Network Pool","An exisiting VCF Network Pool will be reused for Host TEP assignment","A new VCF Network Pool will be created")</f>
        <v>A new VCF Network Pool will be created</v>
      </c>
    </row>
    <row r="313" spans="2:5" ht="20" customHeight="1" x14ac:dyDescent="0.2">
      <c r="B313" s="23" t="s">
        <v>243</v>
      </c>
      <c r="C313" s="109" t="str">
        <f>IF(cluster_wld_domain_chosen="Workload Domain",CONCATENATE(this_instance,"01-w0",wld_domain_number_chosen,"-r05-network-pool-01"),CONCATENATE(this_instance,"01-m01","-r05-network-pool-01"))</f>
        <v>sfo01-w01-r05-network-pool-01</v>
      </c>
      <c r="D313" s="66"/>
      <c r="E313" s="42"/>
    </row>
    <row r="314" spans="2:5" ht="20" customHeight="1" x14ac:dyDescent="0.2">
      <c r="B314" s="424" t="s">
        <v>244</v>
      </c>
      <c r="C314" s="425"/>
      <c r="D314" s="425"/>
      <c r="E314" s="426"/>
    </row>
    <row r="315" spans="2:5" ht="20" customHeight="1" x14ac:dyDescent="0.2">
      <c r="B315" s="4" t="s">
        <v>85</v>
      </c>
      <c r="C315" s="65" t="str">
        <f>IF(cluster_wld_domain_chosen&lt;&gt;"MGMT Workload Domain",CONCATENATE(prefix_wld_az1_rack_vlan,"56"),CONCATENATE(prefix_mgmt_az1_vlan,"56"))</f>
        <v>1356</v>
      </c>
      <c r="D315" s="66"/>
      <c r="E315" s="113"/>
    </row>
    <row r="316" spans="2:5" ht="20" customHeight="1" x14ac:dyDescent="0.2">
      <c r="B316" s="4" t="s">
        <v>157</v>
      </c>
      <c r="C316" s="65">
        <v>9000</v>
      </c>
      <c r="D316" s="66"/>
      <c r="E316" s="42"/>
    </row>
    <row r="317" spans="2:5" ht="20" customHeight="1" x14ac:dyDescent="0.2">
      <c r="B317" s="4" t="s">
        <v>183</v>
      </c>
      <c r="C317" s="154" t="str">
        <f>IF(cluster_wld_domain_chosen&lt;&gt;"MGMT Workload Domain",CONCATENATE(prefix_wld_az1_rack_cidr,"56.0"),CONCATENATE(prefix_mgmt_az1_cidr,"56.0"))</f>
        <v>10.13.56.0</v>
      </c>
      <c r="D317" s="66"/>
      <c r="E317" s="42"/>
    </row>
    <row r="318" spans="2:5" ht="20" customHeight="1" x14ac:dyDescent="0.2">
      <c r="B318" s="4" t="s">
        <v>278</v>
      </c>
      <c r="C318" s="154" t="s">
        <v>126</v>
      </c>
      <c r="D318" s="66"/>
      <c r="E318" s="42"/>
    </row>
    <row r="319" spans="2:5" ht="20" customHeight="1" x14ac:dyDescent="0.2">
      <c r="B319" s="4" t="s">
        <v>182</v>
      </c>
      <c r="C319" s="65" t="str">
        <f>IF(cluster_wld_domain_chosen&lt;&gt;"MGMT Workload Domain",CONCATENATE(prefix_wld_az1_rack_cidr,"56.1"),CONCATENATE(prefix_mgmt_az1_cidr,"56.1"))</f>
        <v>10.13.56.1</v>
      </c>
      <c r="D319" s="66"/>
      <c r="E319" s="42"/>
    </row>
    <row r="320" spans="2:5" ht="20" customHeight="1" x14ac:dyDescent="0.2">
      <c r="B320" s="23" t="s">
        <v>248</v>
      </c>
      <c r="C320" s="65" t="str">
        <f>IF(cluster_wld_domain_chosen&lt;&gt;"MGMT Workload Domain",CONCATENATE(prefix_wld_az1_rack_cidr,"56.101"),CONCATENATE(prefix_mgmt_az1_cidr,"56.101"))</f>
        <v>10.13.56.101</v>
      </c>
      <c r="D320" s="66"/>
      <c r="E320" s="121" t="s">
        <v>2574</v>
      </c>
    </row>
    <row r="321" spans="2:5" ht="20" customHeight="1" x14ac:dyDescent="0.2">
      <c r="B321" s="23" t="s">
        <v>249</v>
      </c>
      <c r="C321" s="65" t="str">
        <f>IF(cluster_wld_domain_chosen&lt;&gt;"MGMT Workload Domain",CONCATENATE(prefix_wld_az1_rack_cidr,"56.116"),CONCATENATE(prefix_mgmt_az1_cidr,"56.116"))</f>
        <v>10.13.56.116</v>
      </c>
      <c r="D321" s="66"/>
      <c r="E321" s="121" t="s">
        <v>2575</v>
      </c>
    </row>
    <row r="322" spans="2:5" ht="20" customHeight="1" x14ac:dyDescent="0.2">
      <c r="B322" s="424" t="s">
        <v>250</v>
      </c>
      <c r="C322" s="425"/>
      <c r="D322" s="425"/>
      <c r="E322" s="426"/>
    </row>
    <row r="323" spans="2:5" ht="20" customHeight="1" x14ac:dyDescent="0.2">
      <c r="B323" s="4" t="s">
        <v>85</v>
      </c>
      <c r="C323" s="65" t="str">
        <f>IF(cluster_wld_domain_chosen&lt;&gt;"MGMT Workload Domain",CONCATENATE(prefix_wld_az1_rack_vlan,"57"),CONCATENATE(prefix_mgmt_az1_vlan,"57"))</f>
        <v>1357</v>
      </c>
      <c r="D323" s="66"/>
      <c r="E323" s="42"/>
    </row>
    <row r="324" spans="2:5" ht="20" customHeight="1" x14ac:dyDescent="0.2">
      <c r="B324" s="4" t="s">
        <v>157</v>
      </c>
      <c r="C324" s="65">
        <v>9000</v>
      </c>
      <c r="D324" s="66"/>
      <c r="E324" s="42"/>
    </row>
    <row r="325" spans="2:5" ht="20" customHeight="1" x14ac:dyDescent="0.2">
      <c r="B325" s="4" t="s">
        <v>183</v>
      </c>
      <c r="C325" s="154" t="str">
        <f>IF(cluster_wld_domain_chosen&lt;&gt;"MGMT Workload Domain",CONCATENATE(prefix_wld_az1_rack_cidr,"57.0"),CONCATENATE(prefix_mgmt_az1_cidr,"57.0"))</f>
        <v>10.13.57.0</v>
      </c>
      <c r="D325" s="66"/>
      <c r="E325" s="80"/>
    </row>
    <row r="326" spans="2:5" ht="20" customHeight="1" x14ac:dyDescent="0.2">
      <c r="B326" s="4" t="s">
        <v>278</v>
      </c>
      <c r="C326" s="154" t="s">
        <v>126</v>
      </c>
      <c r="D326" s="66"/>
      <c r="E326" s="42"/>
    </row>
    <row r="327" spans="2:5" ht="20" customHeight="1" x14ac:dyDescent="0.2">
      <c r="B327" s="4" t="s">
        <v>182</v>
      </c>
      <c r="C327" s="65" t="str">
        <f>IF(cluster_wld_domain_chosen&lt;&gt;"MGMT Workload Domain",CONCATENATE(prefix_wld_az1_rack_cidr,"57.1"),CONCATENATE(prefix_mgmt_az1_cidr,"57.1"))</f>
        <v>10.13.57.1</v>
      </c>
      <c r="D327" s="66"/>
      <c r="E327" s="42" t="str">
        <f>IF(AND(mgmt_stretched_cluster_result="Included",mgmt_dpg_reuse_result="Excluded"),"Stretched L2","")</f>
        <v/>
      </c>
    </row>
    <row r="328" spans="2:5" ht="20" customHeight="1" x14ac:dyDescent="0.2">
      <c r="B328" s="23" t="s">
        <v>248</v>
      </c>
      <c r="C328" s="65" t="str">
        <f>IF(cluster_wld_domain_chosen&lt;&gt;"MGMT Workload Domain",CONCATENATE(prefix_wld_az1_rack_cidr,"57.101"),CONCATENATE(prefix_mgmt_az1_cidr,"57.101"))</f>
        <v>10.13.57.101</v>
      </c>
      <c r="D328" s="66"/>
      <c r="E328" s="121" t="s">
        <v>2557</v>
      </c>
    </row>
    <row r="329" spans="2:5" ht="20" customHeight="1" x14ac:dyDescent="0.2">
      <c r="B329" s="23" t="s">
        <v>249</v>
      </c>
      <c r="C329" s="65" t="str">
        <f>IF(cluster_wld_domain_chosen&lt;&gt;"MGMT Workload Domain",CONCATENATE(prefix_wld_az1_rack_cidr,"57.116"),CONCATENATE(prefix_mgmt_az1_cidr,"57.116"))</f>
        <v>10.13.57.116</v>
      </c>
      <c r="D329" s="66"/>
      <c r="E329" s="121" t="s">
        <v>2558</v>
      </c>
    </row>
    <row r="330" spans="2:5" ht="16" customHeight="1" x14ac:dyDescent="0.2">
      <c r="B330" s="9"/>
      <c r="C330" s="9"/>
      <c r="D330" s="9"/>
      <c r="E330" s="9"/>
    </row>
    <row r="331" spans="2:5" ht="34" customHeight="1" x14ac:dyDescent="0.2">
      <c r="B331" s="569" t="s">
        <v>2582</v>
      </c>
      <c r="C331" s="570"/>
      <c r="D331" s="570"/>
      <c r="E331" s="571"/>
    </row>
    <row r="332" spans="2:5" ht="20" customHeight="1" x14ac:dyDescent="0.2">
      <c r="B332" s="62" t="s">
        <v>254</v>
      </c>
      <c r="C332" s="62" t="s">
        <v>255</v>
      </c>
      <c r="D332" s="161" t="s">
        <v>20</v>
      </c>
      <c r="E332" s="62" t="s">
        <v>256</v>
      </c>
    </row>
    <row r="333" spans="2:5" ht="20" customHeight="1" x14ac:dyDescent="0.2">
      <c r="B333" s="23" t="s">
        <v>208</v>
      </c>
      <c r="C333" s="154" t="str">
        <f>IF(cluster_wld_domain_chosen&lt;&gt;"MGMT Workload Domain",CONCATENATE(this_instance,"01-w0",wld_domain_number_chosen,"-r05-esx01",".",sample_child_dns_zone),CONCATENATE(this_instance,"01-m01-r05-esx01",".",sample_child_dns_zone))</f>
        <v>sfo01-w01-r05-esx01.sfo.rainpole.io</v>
      </c>
      <c r="D333" s="66"/>
      <c r="E333" s="42"/>
    </row>
    <row r="334" spans="2:5" ht="20" customHeight="1" x14ac:dyDescent="0.2">
      <c r="B334" s="23" t="s">
        <v>210</v>
      </c>
      <c r="C334" s="154" t="str">
        <f>IF(cluster_wld_domain_chosen&lt;&gt;"MGMT Workload Domain",CONCATENATE(this_instance,"01-w0",wld_domain_number_chosen,"-r05-esx02",".",sample_child_dns_zone),CONCATENATE(this_instance,"01-m01-r05-esx02",".",sample_child_dns_zone))</f>
        <v>sfo01-w01-r05-esx02.sfo.rainpole.io</v>
      </c>
      <c r="D334" s="66"/>
      <c r="E334" s="42"/>
    </row>
    <row r="335" spans="2:5" ht="20" customHeight="1" x14ac:dyDescent="0.2">
      <c r="B335" s="23" t="s">
        <v>212</v>
      </c>
      <c r="C335" s="154" t="str">
        <f>IF(cluster_wld_domain_chosen&lt;&gt;"MGMT Workload Domain",CONCATENATE(this_instance,"01-w0",wld_domain_number_chosen,"-r05-esx03",".",sample_child_dns_zone),CONCATENATE(this_instance,"01-m01-r05-esx03",".",sample_child_dns_zone))</f>
        <v>sfo01-w01-r05-esx03.sfo.rainpole.io</v>
      </c>
      <c r="D335" s="66"/>
      <c r="E335" s="42"/>
    </row>
    <row r="336" spans="2:5" ht="20" customHeight="1" x14ac:dyDescent="0.2">
      <c r="B336" s="23" t="s">
        <v>214</v>
      </c>
      <c r="C336" s="154" t="str">
        <f>IF(cluster_wld_domain_chosen&lt;&gt;"MGMT Workload Domain",CONCATENATE(this_instance,"01-w0",wld_domain_number_chosen,"-r05-esx04",".",sample_child_dns_zone),CONCATENATE(this_instance,"01-m01-r05-esx04",".",sample_child_dns_zone))</f>
        <v>sfo01-w01-r05-esx04.sfo.rainpole.io</v>
      </c>
      <c r="D336" s="66"/>
      <c r="E336" s="42"/>
    </row>
    <row r="337" spans="2:5" ht="20" customHeight="1" x14ac:dyDescent="0.2">
      <c r="B337" s="23" t="s">
        <v>216</v>
      </c>
      <c r="C337" s="154" t="str">
        <f>IF(cluster_wld_domain_chosen&lt;&gt;"MGMT Workload Domain",CONCATENATE(this_instance,"01-w0",wld_domain_number_chosen,"-r05-esx05",".",sample_child_dns_zone),CONCATENATE(this_instance,"01-m01-r05-esx05",".",sample_child_dns_zone))</f>
        <v>sfo01-w01-r05-esx05.sfo.rainpole.io</v>
      </c>
      <c r="D337" s="66"/>
      <c r="E337" s="42"/>
    </row>
    <row r="338" spans="2:5" ht="20" customHeight="1" x14ac:dyDescent="0.2">
      <c r="B338" s="23" t="s">
        <v>218</v>
      </c>
      <c r="C338" s="154" t="str">
        <f>IF(cluster_wld_domain_chosen&lt;&gt;"MGMT Workload Domain",CONCATENATE(this_instance,"01-w0",wld_domain_number_chosen,"-r05-esx06",".",sample_child_dns_zone),CONCATENATE(this_instance,"01-m01-r05-esx06",".",sample_child_dns_zone))</f>
        <v>sfo01-w01-r05-esx06.sfo.rainpole.io</v>
      </c>
      <c r="D338" s="66"/>
      <c r="E338" s="42"/>
    </row>
    <row r="339" spans="2:5" ht="20" customHeight="1" x14ac:dyDescent="0.2">
      <c r="B339" s="23" t="s">
        <v>220</v>
      </c>
      <c r="C339" s="154" t="str">
        <f>IF(cluster_wld_domain_chosen&lt;&gt;"MGMT Workload Domain",CONCATENATE(this_instance,"01-w0",wld_domain_number_chosen,"-r05-esx07",".",sample_child_dns_zone),CONCATENATE(this_instance,"01-m01-r05-esx07",".",sample_child_dns_zone))</f>
        <v>sfo01-w01-r05-esx07.sfo.rainpole.io</v>
      </c>
      <c r="D339" s="66"/>
      <c r="E339" s="42"/>
    </row>
    <row r="340" spans="2:5" ht="20" customHeight="1" x14ac:dyDescent="0.2">
      <c r="B340" s="23" t="s">
        <v>222</v>
      </c>
      <c r="C340" s="154" t="str">
        <f>IF(cluster_wld_domain_chosen&lt;&gt;"MGMT Workload Domain",CONCATENATE(this_instance,"01-w0",wld_domain_number_chosen,"-r05-esx08",".",sample_child_dns_zone),CONCATENATE(this_instance,"01-m01-r05-esx08",".",sample_child_dns_zone))</f>
        <v>sfo01-w01-r05-esx08.sfo.rainpole.io</v>
      </c>
      <c r="D340" s="66"/>
      <c r="E340" s="42"/>
    </row>
    <row r="341" spans="2:5" ht="20" customHeight="1" x14ac:dyDescent="0.2">
      <c r="B341" s="23" t="s">
        <v>224</v>
      </c>
      <c r="C341" s="154" t="str">
        <f>IF(cluster_wld_domain_chosen&lt;&gt;"MGMT Workload Domain",CONCATENATE(this_instance,"01-w0",wld_domain_number_chosen,"-r05-esx09",".",sample_child_dns_zone),CONCATENATE(this_instance,"01-m01-r05-esx09",".",sample_child_dns_zone))</f>
        <v>sfo01-w01-r05-esx09.sfo.rainpole.io</v>
      </c>
      <c r="D341" s="66"/>
      <c r="E341" s="42"/>
    </row>
    <row r="342" spans="2:5" ht="20" customHeight="1" x14ac:dyDescent="0.2">
      <c r="B342" s="23" t="s">
        <v>226</v>
      </c>
      <c r="C342" s="154" t="str">
        <f>IF(cluster_wld_domain_chosen&lt;&gt;"MGMT Workload Domain",CONCATENATE(this_instance,"01-w0",wld_domain_number_chosen,"-r05-esx10",".",sample_child_dns_zone),CONCATENATE(this_instance,"01-m01-r05-esx10",".",sample_child_dns_zone))</f>
        <v>sfo01-w01-r05-esx10.sfo.rainpole.io</v>
      </c>
      <c r="D342" s="66"/>
      <c r="E342" s="42"/>
    </row>
    <row r="343" spans="2:5" ht="20" customHeight="1" x14ac:dyDescent="0.2">
      <c r="B343" s="23" t="s">
        <v>228</v>
      </c>
      <c r="C343" s="154" t="str">
        <f>IF(cluster_wld_domain_chosen&lt;&gt;"MGMT Workload Domain",CONCATENATE(this_instance,"01-w0",wld_domain_number_chosen,"-r05-esx11",".",sample_child_dns_zone),CONCATENATE(this_instance,"01-m01-r05-esx11",".",sample_child_dns_zone))</f>
        <v>sfo01-w01-r05-esx11.sfo.rainpole.io</v>
      </c>
      <c r="D343" s="66"/>
      <c r="E343" s="42"/>
    </row>
    <row r="344" spans="2:5" ht="20" customHeight="1" x14ac:dyDescent="0.2">
      <c r="B344" s="23" t="s">
        <v>230</v>
      </c>
      <c r="C344" s="154" t="str">
        <f>IF(cluster_wld_domain_chosen&lt;&gt;"MGMT Workload Domain",CONCATENATE(this_instance,"01-w0",wld_domain_number_chosen,"-r05-esx12",".",sample_child_dns_zone),CONCATENATE(this_instance,"01-m01-r05-esx12",".",sample_child_dns_zone))</f>
        <v>sfo01-w01-r05-esx12.sfo.rainpole.io</v>
      </c>
      <c r="D344" s="66"/>
      <c r="E344" s="42"/>
    </row>
    <row r="345" spans="2:5" ht="20" customHeight="1" x14ac:dyDescent="0.2">
      <c r="B345" s="23" t="s">
        <v>232</v>
      </c>
      <c r="C345" s="154" t="str">
        <f>IF(cluster_wld_domain_chosen&lt;&gt;"MGMT Workload Domain",CONCATENATE(this_instance,"01-w0",wld_domain_number_chosen,"-r05-esx13",".",sample_child_dns_zone),CONCATENATE(this_instance,"01-m01-r05-esx13",".",sample_child_dns_zone))</f>
        <v>sfo01-w01-r05-esx13.sfo.rainpole.io</v>
      </c>
      <c r="D345" s="66"/>
      <c r="E345" s="42"/>
    </row>
    <row r="346" spans="2:5" ht="20" customHeight="1" x14ac:dyDescent="0.2">
      <c r="B346" s="23" t="s">
        <v>234</v>
      </c>
      <c r="C346" s="154" t="str">
        <f>IF(cluster_wld_domain_chosen&lt;&gt;"MGMT Workload Domain",CONCATENATE(this_instance,"01-w0",wld_domain_number_chosen,"-r05-esx14",".",sample_child_dns_zone),CONCATENATE(this_instance,"01-m01-r05-esx14",".",sample_child_dns_zone))</f>
        <v>sfo01-w01-r05-esx14.sfo.rainpole.io</v>
      </c>
      <c r="D346" s="66"/>
      <c r="E346" s="42"/>
    </row>
    <row r="347" spans="2:5" ht="20" customHeight="1" x14ac:dyDescent="0.2">
      <c r="B347" s="23" t="s">
        <v>236</v>
      </c>
      <c r="C347" s="154" t="str">
        <f>IF(cluster_wld_domain_chosen&lt;&gt;"MGMT Workload Domain",CONCATENATE(this_instance,"01-w0",wld_domain_number_chosen,"-r05-esx14",".",sample_child_dns_zone),CONCATENATE(this_instance,"01-m01-r05-esx15",".",sample_child_dns_zone))</f>
        <v>sfo01-w01-r05-esx14.sfo.rainpole.io</v>
      </c>
      <c r="D347" s="66"/>
      <c r="E347" s="42"/>
    </row>
    <row r="348" spans="2:5" ht="20" customHeight="1" x14ac:dyDescent="0.2">
      <c r="B348" s="23" t="s">
        <v>238</v>
      </c>
      <c r="C348" s="154" t="str">
        <f>IF(cluster_wld_domain_chosen&lt;&gt;"MGMT Workload Domain",CONCATENATE(this_instance,"01-w0",wld_domain_number_chosen,"-r05-esx16",".",sample_child_dns_zone),CONCATENATE(this_instance,"01-m01-r05-esx16",".",sample_child_dns_zone))</f>
        <v>sfo01-w01-r05-esx16.sfo.rainpole.io</v>
      </c>
      <c r="D348" s="66"/>
      <c r="E348" s="42"/>
    </row>
    <row r="349" spans="2:5" ht="20" customHeight="1" x14ac:dyDescent="0.2">
      <c r="B349" s="23" t="s">
        <v>257</v>
      </c>
      <c r="C349" s="154" t="s">
        <v>665</v>
      </c>
      <c r="D349" s="8" t="s">
        <v>258</v>
      </c>
      <c r="E349" s="42"/>
    </row>
    <row r="350" spans="2:5" ht="20" customHeight="1" x14ac:dyDescent="0.2">
      <c r="B350" s="23" t="s">
        <v>259</v>
      </c>
      <c r="C350" s="154" t="s">
        <v>260</v>
      </c>
      <c r="D350"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350" s="4"/>
    </row>
    <row r="351" spans="2:5" ht="20" customHeight="1" x14ac:dyDescent="0.2">
      <c r="B351" s="23" t="s">
        <v>261</v>
      </c>
      <c r="C351" s="154" t="s">
        <v>156</v>
      </c>
      <c r="D351" s="8" t="str">
        <f>IF(AND(vcf_granular_option_chosen="Create Cluster",cluster_principal_storage_chosen="vSAN-ESA"),"Selected",
IF(AND(vcf_granular_option_chosen="Create Workload Domain",wld_principal_storage_chosen="vSAN-ESA"),"Selected","Unselected"))</f>
        <v>Unselected</v>
      </c>
      <c r="E351" s="42"/>
    </row>
    <row r="352" spans="2:5" ht="20" customHeight="1" x14ac:dyDescent="0.2">
      <c r="B352" s="23" t="s">
        <v>243</v>
      </c>
      <c r="C352" s="154" t="str">
        <f>sample_wld_az1_rack5_pool_name</f>
        <v>sfo01-w01-r05-network-pool-01</v>
      </c>
      <c r="D352" s="8" t="str">
        <f>wld_az1_rack5_pool_name</f>
        <v>Value Missing</v>
      </c>
      <c r="E352" s="42"/>
    </row>
    <row r="353" spans="2:5" ht="20" customHeight="1" x14ac:dyDescent="0.2">
      <c r="B353" s="23" t="s">
        <v>47</v>
      </c>
      <c r="C353" s="154" t="s">
        <v>262</v>
      </c>
      <c r="D353"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353" s="42"/>
    </row>
    <row r="354" spans="2:5" ht="20" customHeight="1" x14ac:dyDescent="0.2">
      <c r="B354" s="23" t="s">
        <v>30</v>
      </c>
      <c r="C354" s="154" t="s">
        <v>31</v>
      </c>
      <c r="D354" s="8" t="str">
        <f>IF(AND(vcf_granular_option_chosen="Create Cluster",cluster_chosen="Deploy a Multi-Rack Layer 3 Cluster"),cluster_esx_root_password,
IF(AND(vcf_granular_option_chosen="Create Workload Domain",wld_domain_chosen="Deploy Workload Domain with a Multi-Rack Layer 3 Cluster"),wld_esx_root_password,wld_esx_root_password))</f>
        <v>Value Missing</v>
      </c>
      <c r="E354" s="42"/>
    </row>
    <row r="355" spans="2:5" ht="16" customHeight="1" x14ac:dyDescent="0.2"/>
    <row r="356" spans="2:5" ht="34" customHeight="1" x14ac:dyDescent="0.2">
      <c r="B356" s="569" t="s">
        <v>2583</v>
      </c>
      <c r="C356" s="570"/>
      <c r="D356" s="570"/>
      <c r="E356" s="571"/>
    </row>
    <row r="357" spans="2:5" ht="20" customHeight="1" x14ac:dyDescent="0.2">
      <c r="B357" s="4" t="s">
        <v>329</v>
      </c>
      <c r="C357" s="109" t="str">
        <f>IF(vcf_granular_option_chosen="Create Cluster",CONCATENATE(this_instance,"01-",sample_cluster_name,"-r05-network-profile"),
IF(cluster_wld_domain_chosen="Workload Domain",CONCATENATE(this_instance,"01-",sample_wld_cl01_cluster,"-r05-network-profile"),
CONCATENATE(this_instance,"01-",sample_mgmt_cl01_cluster,"-r05-network-profile")))</f>
        <v>sfo01-sfo-w01-cl01-r05-network-profile</v>
      </c>
      <c r="D357" s="66"/>
      <c r="E357" s="103"/>
    </row>
    <row r="358" spans="2:5" ht="20" customHeight="1" x14ac:dyDescent="0.2">
      <c r="B358" s="4" t="s">
        <v>2561</v>
      </c>
      <c r="C358" s="65" t="s">
        <v>331</v>
      </c>
      <c r="D358" s="155" t="s">
        <v>331</v>
      </c>
      <c r="E358" s="4" t="str">
        <f>IF(wld_az1_rack5_host_overlay_new_pool_chosen="Re-use an existing Pool","An exisitng Pool will be reused for Host TEP assignment","A new Pool will be created for Host TEP assignment")</f>
        <v>A new Pool will be created for Host TEP assignment</v>
      </c>
    </row>
    <row r="359" spans="2:5" ht="20" customHeight="1" x14ac:dyDescent="0.2">
      <c r="B359" s="4" t="s">
        <v>332</v>
      </c>
      <c r="C359" s="109" t="str">
        <f>IF(cluster_wld_domain_chosen="Workload Domain",CONCATENATE(this_instance,"01-w0",wld_domain_number_chosen,"-r05-ip-pool01-host"),CONCATENATE(this_instance,"01-m01","-r05-ip-pool01-host"))</f>
        <v>sfo01-w01-r05-ip-pool01-host</v>
      </c>
      <c r="D359" s="66"/>
      <c r="E359" s="103"/>
    </row>
    <row r="360" spans="2:5" ht="20" customHeight="1" x14ac:dyDescent="0.2">
      <c r="B360" s="4" t="s">
        <v>333</v>
      </c>
      <c r="C360" s="109" t="str">
        <f>IF(cluster_wld_domain_chosen="Workload Domain",CONCATENATE(this_instance,"01-w0",wld_domain_number_chosen,"-r05-uplink-profile01"),CONCATENATE(this_instance,"01-m01","-r05-uplink-profile01"))</f>
        <v>sfo01-w01-r05-uplink-profile01</v>
      </c>
      <c r="D360" s="66"/>
      <c r="E360" s="103"/>
    </row>
    <row r="361" spans="2:5" ht="20" customHeight="1" x14ac:dyDescent="0.2">
      <c r="B361" s="4" t="s">
        <v>2562</v>
      </c>
      <c r="C361" s="109" t="str">
        <f>IF(cluster_wld_domain_chosen="Workload Domain",CONCATENATE(this_instance,"01-w0",wld_domain_number_chosen,"-r05-ip-pool02-edge"),CONCATENATE(this_instance,"01-m01","-r05-ip-pool02-edge"))</f>
        <v>sfo01-w01-r05-ip-pool02-edge</v>
      </c>
      <c r="D361" s="66"/>
      <c r="E361" s="103"/>
    </row>
    <row r="362" spans="2:5" ht="20" customHeight="1" x14ac:dyDescent="0.2">
      <c r="B362" s="4" t="s">
        <v>2563</v>
      </c>
      <c r="C362" s="109" t="str">
        <f>IF(cluster_wld_domain_chosen="Workload Domain",CONCATENATE(this_instance,"01-w0",wld_domain_number_chosen,"-r05-ip-pool03-rtep"),CONCATENATE(this_instance,"01-m01","-r05-ip-pool03-rtep"))</f>
        <v>sfo01-w01-r05-ip-pool03-rtep</v>
      </c>
      <c r="D362" s="66"/>
      <c r="E362" s="103"/>
    </row>
    <row r="363" spans="2:5" ht="20" customHeight="1" x14ac:dyDescent="0.2">
      <c r="B363" s="424" t="s">
        <v>728</v>
      </c>
      <c r="C363" s="425"/>
      <c r="D363" s="425"/>
      <c r="E363" s="426"/>
    </row>
    <row r="364" spans="2:5" ht="20" customHeight="1" x14ac:dyDescent="0.2">
      <c r="B364" s="251" t="s">
        <v>254</v>
      </c>
      <c r="C364" s="251" t="s">
        <v>255</v>
      </c>
      <c r="D364" s="283" t="s">
        <v>20</v>
      </c>
      <c r="E364" s="251" t="s">
        <v>21</v>
      </c>
    </row>
    <row r="365" spans="2:5" ht="20" customHeight="1" x14ac:dyDescent="0.2">
      <c r="B365" s="4" t="s">
        <v>1222</v>
      </c>
      <c r="C365" s="103" t="str">
        <f>IF(cluster_wld_domain_chosen&lt;&gt;"MGMT Workload Domain",CONCATENATE(this_instance,"-w0",wld_domain_number_chosen,"-r05","-vsan-fault-domain"),CONCATENATE(this_instance,"-m01","-r05","-vsan-fault-domain"))</f>
        <v>sfo-w01-r05-vsan-fault-domain</v>
      </c>
      <c r="D365" s="66"/>
      <c r="E365" s="8"/>
    </row>
    <row r="366" spans="2:5" ht="16" customHeight="1" x14ac:dyDescent="0.2"/>
    <row r="367" spans="2:5" ht="34" customHeight="1" x14ac:dyDescent="0.2">
      <c r="B367" s="569" t="s">
        <v>2584</v>
      </c>
      <c r="C367" s="570"/>
      <c r="D367" s="570"/>
      <c r="E367" s="571"/>
    </row>
    <row r="368" spans="2:5" ht="20" customHeight="1" x14ac:dyDescent="0.2">
      <c r="B368" s="62" t="s">
        <v>254</v>
      </c>
      <c r="C368" s="62" t="s">
        <v>255</v>
      </c>
      <c r="D368" s="161" t="s">
        <v>20</v>
      </c>
      <c r="E368" s="62" t="s">
        <v>21</v>
      </c>
    </row>
    <row r="369" spans="2:5" ht="20" customHeight="1" x14ac:dyDescent="0.2">
      <c r="B369" s="424" t="s">
        <v>815</v>
      </c>
      <c r="C369" s="425"/>
      <c r="D369" s="425"/>
      <c r="E369" s="426"/>
    </row>
    <row r="370" spans="2:5" ht="20" customHeight="1" x14ac:dyDescent="0.2">
      <c r="B370" s="4" t="s">
        <v>85</v>
      </c>
      <c r="C370" s="65" t="str">
        <f>IF(cluster_wld_domain_chosen&lt;&gt;"MGMT Workload Domain",CONCATENATE(prefix_wld_az1_rack_vlan,"58"),CONCATENATE(prefix_mgmt_az1_vlan,"58"))</f>
        <v>1358</v>
      </c>
      <c r="D370" s="66"/>
      <c r="E370" s="113"/>
    </row>
    <row r="371" spans="2:5" ht="20" customHeight="1" x14ac:dyDescent="0.2">
      <c r="B371" s="4" t="s">
        <v>157</v>
      </c>
      <c r="C371" s="65">
        <v>9000</v>
      </c>
      <c r="D371" s="66"/>
      <c r="E371" s="42"/>
    </row>
    <row r="372" spans="2:5" ht="20" customHeight="1" x14ac:dyDescent="0.2">
      <c r="B372" s="4" t="s">
        <v>183</v>
      </c>
      <c r="C372" s="65" t="str">
        <f>IF(cluster_wld_domain_chosen&lt;&gt;"MGMT Workload Domain",CONCATENATE(prefix_wld_az1_rack_cidr,"58.0"),CONCATENATE(prefix_mgmt_az1_cidr,"58.0"))</f>
        <v>10.13.58.0</v>
      </c>
      <c r="D372" s="66"/>
      <c r="E372" s="42"/>
    </row>
    <row r="373" spans="2:5" ht="20" customHeight="1" x14ac:dyDescent="0.2">
      <c r="B373" s="4" t="s">
        <v>278</v>
      </c>
      <c r="C373" s="65" t="s">
        <v>126</v>
      </c>
      <c r="D373" s="66"/>
      <c r="E373" s="42"/>
    </row>
    <row r="374" spans="2:5" ht="20" customHeight="1" x14ac:dyDescent="0.2">
      <c r="B374" s="4" t="s">
        <v>182</v>
      </c>
      <c r="C374" s="65" t="str">
        <f>IF(cluster_wld_domain_chosen&lt;&gt;"MGMT Workload Domain",CONCATENATE(prefix_wld_az1_rack_cidr,"58.1"),CONCATENATE(prefix_mgmt_az1_cidr,"58.1"))</f>
        <v>10.13.58.1</v>
      </c>
      <c r="D374" s="66"/>
      <c r="E374" s="42"/>
    </row>
    <row r="375" spans="2:5" ht="20" customHeight="1" x14ac:dyDescent="0.2">
      <c r="B375" s="23" t="s">
        <v>248</v>
      </c>
      <c r="C375" s="65" t="str">
        <f>IF(cluster_wld_domain_chosen&lt;&gt;"MGMT Workload Domain",CONCATENATE(prefix_wld_az1_rack_cidr,"58.101"),CONCATENATE(prefix_mgmt_az1_cidr,"58.101"))</f>
        <v>10.13.58.101</v>
      </c>
      <c r="D375" s="66"/>
      <c r="E375" s="121" t="s">
        <v>2565</v>
      </c>
    </row>
    <row r="376" spans="2:5" ht="20" customHeight="1" x14ac:dyDescent="0.2">
      <c r="B376" s="23" t="s">
        <v>249</v>
      </c>
      <c r="C376" s="65" t="str">
        <f>IF(cluster_wld_domain_chosen&lt;&gt;"MGMT Workload Domain",CONCATENATE(prefix_wld_az1_rack_cidr,"58.116"),CONCATENATE(prefix_mgmt_az1_cidr,"58.116"))</f>
        <v>10.13.58.116</v>
      </c>
      <c r="D376" s="66"/>
      <c r="E376" s="121" t="s">
        <v>2566</v>
      </c>
    </row>
    <row r="377" spans="2:5" ht="16" customHeight="1" x14ac:dyDescent="0.2"/>
    <row r="378" spans="2:5" ht="34" customHeight="1" x14ac:dyDescent="0.2">
      <c r="B378" s="569" t="s">
        <v>2585</v>
      </c>
      <c r="C378" s="570"/>
      <c r="D378" s="570"/>
      <c r="E378" s="571"/>
    </row>
    <row r="379" spans="2:5" ht="20" customHeight="1" x14ac:dyDescent="0.2">
      <c r="B379" s="62" t="s">
        <v>254</v>
      </c>
      <c r="C379" s="62" t="s">
        <v>255</v>
      </c>
      <c r="D379" s="161" t="s">
        <v>20</v>
      </c>
      <c r="E379" s="62" t="s">
        <v>256</v>
      </c>
    </row>
    <row r="380" spans="2:5" ht="20" customHeight="1" x14ac:dyDescent="0.2">
      <c r="B380" s="424" t="s">
        <v>206</v>
      </c>
      <c r="C380" s="425"/>
      <c r="D380" s="425"/>
      <c r="E380" s="426"/>
    </row>
    <row r="381" spans="2:5" ht="20" customHeight="1" x14ac:dyDescent="0.2">
      <c r="B381" s="4" t="s">
        <v>85</v>
      </c>
      <c r="C381" s="65" t="str">
        <f>IF(cluster_wld_domain_chosen&lt;&gt;"MGMT Workload Domain",CONCATENATE(prefix_wld_az1_rack_vlan,"66"),CONCATENATE(prefix_mgmt_az1_vlan,"66"))</f>
        <v>1366</v>
      </c>
      <c r="D381" s="66"/>
      <c r="E381" s="113"/>
    </row>
    <row r="382" spans="2:5" ht="20" customHeight="1" x14ac:dyDescent="0.2">
      <c r="B382" s="4" t="s">
        <v>182</v>
      </c>
      <c r="C382" s="65" t="str">
        <f>IF(cluster_wld_domain_chosen&lt;&gt;"MGMT Workload Domain",CONCATENATE(prefix_wld_az1_rack_cidr,"66.1"),CONCATENATE(prefix_mgmt_az1_cidr,"66.1"))</f>
        <v>10.13.66.1</v>
      </c>
      <c r="D382" s="66"/>
      <c r="E382" s="42"/>
    </row>
    <row r="383" spans="2:5" ht="20" customHeight="1" x14ac:dyDescent="0.2">
      <c r="B383" s="4" t="s">
        <v>183</v>
      </c>
      <c r="C383" s="65" t="str">
        <f>IF(cluster_wld_domain_chosen&lt;&gt;"MGMT Workload Domain",CONCATENATE(prefix_wld_az1_rack_cidr,"66.0/24"),CONCATENATE(prefix_mgmt_az1_cidr,"66.0/24"))</f>
        <v>10.13.66.0/24</v>
      </c>
      <c r="D383" s="66"/>
      <c r="E383" s="42"/>
    </row>
    <row r="384" spans="2:5" ht="20" customHeight="1" x14ac:dyDescent="0.2">
      <c r="B384" s="4" t="s">
        <v>157</v>
      </c>
      <c r="C384" s="65">
        <v>1500</v>
      </c>
      <c r="D384" s="66"/>
      <c r="E384" s="42"/>
    </row>
    <row r="385" spans="2:5" ht="20" customHeight="1" x14ac:dyDescent="0.2">
      <c r="B385" s="556" t="s">
        <v>207</v>
      </c>
      <c r="C385" s="557"/>
      <c r="D385" s="557"/>
      <c r="E385" s="558"/>
    </row>
    <row r="386" spans="2:5" ht="20" customHeight="1" x14ac:dyDescent="0.2">
      <c r="B386" s="23" t="s">
        <v>208</v>
      </c>
      <c r="C386" s="154" t="str">
        <f>IF(cluster_wld_domain_chosen&lt;&gt;"MGMT Workload Domain",CONCATENATE(prefix_wld_az1_rack_cidr,"66.101"),CONCATENATE(prefix_mgmt_az1_cidr,"66.101"))</f>
        <v>10.13.66.101</v>
      </c>
      <c r="D386" s="66"/>
      <c r="E386" s="121" t="s">
        <v>209</v>
      </c>
    </row>
    <row r="387" spans="2:5" ht="20" customHeight="1" x14ac:dyDescent="0.2">
      <c r="B387" s="23" t="s">
        <v>210</v>
      </c>
      <c r="C387" s="154" t="str">
        <f>IF(cluster_wld_domain_chosen&lt;&gt;"MGMT Workload Domain",CONCATENATE(prefix_wld_az1_rack_cidr,"66.102"),CONCATENATE(prefix_mgmt_az1_cidr,"66.102"))</f>
        <v>10.13.66.102</v>
      </c>
      <c r="D387" s="66"/>
      <c r="E387" s="121" t="s">
        <v>211</v>
      </c>
    </row>
    <row r="388" spans="2:5" ht="20" customHeight="1" x14ac:dyDescent="0.2">
      <c r="B388" s="23" t="s">
        <v>212</v>
      </c>
      <c r="C388" s="154" t="str">
        <f>IF(cluster_wld_domain_chosen&lt;&gt;"MGMT Workload Domain",CONCATENATE(prefix_wld_az1_rack_cidr,"66.103"),CONCATENATE(prefix_mgmt_az1_cidr,"66.103"))</f>
        <v>10.13.66.103</v>
      </c>
      <c r="D388" s="66"/>
      <c r="E388" s="121" t="s">
        <v>213</v>
      </c>
    </row>
    <row r="389" spans="2:5" ht="20" customHeight="1" x14ac:dyDescent="0.2">
      <c r="B389" s="23" t="s">
        <v>214</v>
      </c>
      <c r="C389" s="154" t="str">
        <f>IF(cluster_wld_domain_chosen&lt;&gt;"MGMT Workload Domain",CONCATENATE(prefix_wld_az1_rack_cidr,"66.104"),CONCATENATE(prefix_mgmt_az1_cidr,"66.104"))</f>
        <v>10.13.66.104</v>
      </c>
      <c r="D389" s="66"/>
      <c r="E389" s="121" t="s">
        <v>215</v>
      </c>
    </row>
    <row r="390" spans="2:5" ht="20" customHeight="1" x14ac:dyDescent="0.2">
      <c r="B390" s="23" t="s">
        <v>216</v>
      </c>
      <c r="C390" s="154" t="str">
        <f>IF(cluster_wld_domain_chosen&lt;&gt;"MGMT Workload Domain",CONCATENATE(prefix_wld_az1_rack_cidr,"66.105"),CONCATENATE(prefix_mgmt_az1_cidr,"66.105"))</f>
        <v>10.13.66.105</v>
      </c>
      <c r="D390" s="66"/>
      <c r="E390" s="121" t="s">
        <v>217</v>
      </c>
    </row>
    <row r="391" spans="2:5" ht="20" customHeight="1" x14ac:dyDescent="0.2">
      <c r="B391" s="23" t="s">
        <v>218</v>
      </c>
      <c r="C391" s="154" t="str">
        <f>IF(cluster_wld_domain_chosen&lt;&gt;"MGMT Workload Domain",CONCATENATE(prefix_wld_az1_rack_cidr,"66.106"),CONCATENATE(prefix_mgmt_az1_cidr,"66.106"))</f>
        <v>10.13.66.106</v>
      </c>
      <c r="D391" s="66"/>
      <c r="E391" s="121" t="s">
        <v>219</v>
      </c>
    </row>
    <row r="392" spans="2:5" ht="20" customHeight="1" x14ac:dyDescent="0.2">
      <c r="B392" s="23" t="s">
        <v>220</v>
      </c>
      <c r="C392" s="154" t="str">
        <f>IF(cluster_wld_domain_chosen&lt;&gt;"MGMT Workload Domain",CONCATENATE(prefix_wld_az1_rack_cidr,"66.107"),CONCATENATE(prefix_mgmt_az1_cidr,"66.107"))</f>
        <v>10.13.66.107</v>
      </c>
      <c r="D392" s="66"/>
      <c r="E392" s="121" t="s">
        <v>221</v>
      </c>
    </row>
    <row r="393" spans="2:5" ht="20" customHeight="1" x14ac:dyDescent="0.2">
      <c r="B393" s="23" t="s">
        <v>222</v>
      </c>
      <c r="C393" s="154" t="str">
        <f>IF(cluster_wld_domain_chosen&lt;&gt;"MGMT Workload Domain",CONCATENATE(prefix_wld_az1_rack_cidr,"66.108"),CONCATENATE(prefix_mgmt_az1_cidr,"66.108"))</f>
        <v>10.13.66.108</v>
      </c>
      <c r="D393" s="66"/>
      <c r="E393" s="121" t="s">
        <v>223</v>
      </c>
    </row>
    <row r="394" spans="2:5" ht="20" customHeight="1" x14ac:dyDescent="0.2">
      <c r="B394" s="23" t="s">
        <v>224</v>
      </c>
      <c r="C394" s="154" t="str">
        <f>IF(cluster_wld_domain_chosen&lt;&gt;"MGMT Workload Domain",CONCATENATE(prefix_wld_az1_rack_cidr,"66.109"),CONCATENATE(prefix_mgmt_az1_cidr,"66.109"))</f>
        <v>10.13.66.109</v>
      </c>
      <c r="D394" s="66"/>
      <c r="E394" s="121" t="s">
        <v>225</v>
      </c>
    </row>
    <row r="395" spans="2:5" ht="20" customHeight="1" x14ac:dyDescent="0.2">
      <c r="B395" s="23" t="s">
        <v>226</v>
      </c>
      <c r="C395" s="154" t="str">
        <f>IF(cluster_wld_domain_chosen&lt;&gt;"MGMT Workload Domain",CONCATENATE(prefix_wld_az1_rack_cidr,"66.110"),CONCATENATE(prefix_mgmt_az1_cidr,"66.110"))</f>
        <v>10.13.66.110</v>
      </c>
      <c r="D395" s="66"/>
      <c r="E395" s="121" t="s">
        <v>227</v>
      </c>
    </row>
    <row r="396" spans="2:5" ht="20" customHeight="1" x14ac:dyDescent="0.2">
      <c r="B396" s="23" t="s">
        <v>228</v>
      </c>
      <c r="C396" s="154" t="str">
        <f>IF(cluster_wld_domain_chosen&lt;&gt;"MGMT Workload Domain",CONCATENATE(prefix_wld_az1_rack_cidr,"66.111"),CONCATENATE(prefix_mgmt_az1_cidr,"66.111"))</f>
        <v>10.13.66.111</v>
      </c>
      <c r="D396" s="66"/>
      <c r="E396" s="121" t="s">
        <v>229</v>
      </c>
    </row>
    <row r="397" spans="2:5" ht="20" customHeight="1" x14ac:dyDescent="0.2">
      <c r="B397" s="23" t="s">
        <v>230</v>
      </c>
      <c r="C397" s="154" t="str">
        <f>IF(cluster_wld_domain_chosen&lt;&gt;"MGMT Workload Domain",CONCATENATE(prefix_wld_az1_rack_cidr,"66.112"),CONCATENATE(prefix_mgmt_az1_cidr,"66.112"))</f>
        <v>10.13.66.112</v>
      </c>
      <c r="D397" s="66"/>
      <c r="E397" s="121" t="s">
        <v>231</v>
      </c>
    </row>
    <row r="398" spans="2:5" ht="20" customHeight="1" x14ac:dyDescent="0.2">
      <c r="B398" s="23" t="s">
        <v>232</v>
      </c>
      <c r="C398" s="154" t="str">
        <f>IF(cluster_wld_domain_chosen&lt;&gt;"MGMT Workload Domain",CONCATENATE(prefix_wld_az1_rack_cidr,"66.113"),CONCATENATE(prefix_mgmt_az1_cidr,"66.113"))</f>
        <v>10.13.66.113</v>
      </c>
      <c r="D398" s="66"/>
      <c r="E398" s="121" t="s">
        <v>233</v>
      </c>
    </row>
    <row r="399" spans="2:5" ht="20" customHeight="1" x14ac:dyDescent="0.2">
      <c r="B399" s="23" t="s">
        <v>234</v>
      </c>
      <c r="C399" s="154" t="str">
        <f>IF(cluster_wld_domain_chosen&lt;&gt;"MGMT Workload Domain",CONCATENATE(prefix_wld_az1_rack_cidr,"66.114"),CONCATENATE(prefix_mgmt_az1_cidr,"66.114"))</f>
        <v>10.13.66.114</v>
      </c>
      <c r="D399" s="66"/>
      <c r="E399" s="121" t="s">
        <v>235</v>
      </c>
    </row>
    <row r="400" spans="2:5" ht="20" customHeight="1" x14ac:dyDescent="0.2">
      <c r="B400" s="23" t="s">
        <v>236</v>
      </c>
      <c r="C400" s="154" t="str">
        <f>IF(cluster_wld_domain_chosen&lt;&gt;"MGMT Workload Domain",CONCATENATE(prefix_wld_az1_rack_cidr,"66.115"),CONCATENATE(prefix_mgmt_az1_cidr,"66.115"))</f>
        <v>10.13.66.115</v>
      </c>
      <c r="D400" s="66"/>
      <c r="E400" s="121" t="s">
        <v>237</v>
      </c>
    </row>
    <row r="401" spans="2:5" ht="20" customHeight="1" x14ac:dyDescent="0.2">
      <c r="B401" s="23" t="s">
        <v>238</v>
      </c>
      <c r="C401" s="154" t="str">
        <f>IF(cluster_wld_domain_chosen&lt;&gt;"MGMT Workload Domain",CONCATENATE(prefix_wld_az1_rack_cidr,"66.116"),CONCATENATE(prefix_mgmt_az1_cidr,"66.116"))</f>
        <v>10.13.66.116</v>
      </c>
      <c r="D401" s="66"/>
      <c r="E401" s="121" t="s">
        <v>239</v>
      </c>
    </row>
    <row r="402" spans="2:5" ht="16" customHeight="1" x14ac:dyDescent="0.2">
      <c r="B402" s="9"/>
      <c r="C402" s="9"/>
      <c r="D402" s="9"/>
      <c r="E402" s="9"/>
    </row>
    <row r="403" spans="2:5" ht="34" customHeight="1" x14ac:dyDescent="0.2">
      <c r="B403" s="569" t="s">
        <v>2586</v>
      </c>
      <c r="C403" s="570"/>
      <c r="D403" s="570"/>
      <c r="E403" s="571"/>
    </row>
    <row r="404" spans="2:5" ht="20" customHeight="1" x14ac:dyDescent="0.2">
      <c r="B404" s="62" t="s">
        <v>254</v>
      </c>
      <c r="C404" s="62" t="s">
        <v>255</v>
      </c>
      <c r="D404" s="161" t="s">
        <v>20</v>
      </c>
      <c r="E404" s="62" t="s">
        <v>256</v>
      </c>
    </row>
    <row r="405" spans="2:5" ht="20" customHeight="1" x14ac:dyDescent="0.2">
      <c r="B405" s="4" t="s">
        <v>2554</v>
      </c>
      <c r="C405" s="65" t="s">
        <v>242</v>
      </c>
      <c r="D405" s="155" t="s">
        <v>242</v>
      </c>
      <c r="E405" s="4" t="str">
        <f>IF(wld_az1_rack6_reuse_vcf_networkpool_chosen="Re-use an existing  VCF Network Pool","An exisiting VCF Network Pool will be reused for Host TEP assignment","A new VCF Network Pool will be created")</f>
        <v>A new VCF Network Pool will be created</v>
      </c>
    </row>
    <row r="406" spans="2:5" ht="20" customHeight="1" x14ac:dyDescent="0.2">
      <c r="B406" s="23" t="s">
        <v>243</v>
      </c>
      <c r="C406" s="109" t="str">
        <f>IF(cluster_wld_domain_chosen="Workload Domain",CONCATENATE(this_instance,"01-w0",wld_domain_number_chosen,"-r06-network-pool-01"),CONCATENATE(this_instance,"01-m01","-r06-network-pool-01"))</f>
        <v>sfo01-w01-r06-network-pool-01</v>
      </c>
      <c r="D406" s="66"/>
      <c r="E406" s="42"/>
    </row>
    <row r="407" spans="2:5" ht="20" customHeight="1" x14ac:dyDescent="0.2">
      <c r="B407" s="424" t="s">
        <v>244</v>
      </c>
      <c r="C407" s="425"/>
      <c r="D407" s="425"/>
      <c r="E407" s="426"/>
    </row>
    <row r="408" spans="2:5" ht="20" customHeight="1" x14ac:dyDescent="0.2">
      <c r="B408" s="4" t="s">
        <v>85</v>
      </c>
      <c r="C408" s="65" t="str">
        <f>IF(cluster_wld_domain_chosen&lt;&gt;"MGMT Workload Domain",CONCATENATE(prefix_wld_az1_rack_vlan,"67"),CONCATENATE(prefix_mgmt_az1_vlan,"67"))</f>
        <v>1367</v>
      </c>
      <c r="D408" s="66"/>
      <c r="E408" s="113"/>
    </row>
    <row r="409" spans="2:5" ht="20" customHeight="1" x14ac:dyDescent="0.2">
      <c r="B409" s="4" t="s">
        <v>157</v>
      </c>
      <c r="C409" s="65">
        <v>9000</v>
      </c>
      <c r="D409" s="66"/>
      <c r="E409" s="42"/>
    </row>
    <row r="410" spans="2:5" ht="20" customHeight="1" x14ac:dyDescent="0.2">
      <c r="B410" s="4" t="s">
        <v>183</v>
      </c>
      <c r="C410" s="154" t="str">
        <f>IF(cluster_wld_domain_chosen&lt;&gt;"MGMT Workload Domain",CONCATENATE(prefix_wld_az1_rack_cidr,"67.0"),CONCATENATE(prefix_mgmt_az1_cidr,"67.0"))</f>
        <v>10.13.67.0</v>
      </c>
      <c r="D410" s="66"/>
      <c r="E410" s="42"/>
    </row>
    <row r="411" spans="2:5" ht="20" customHeight="1" x14ac:dyDescent="0.2">
      <c r="B411" s="4" t="s">
        <v>278</v>
      </c>
      <c r="C411" s="154" t="s">
        <v>126</v>
      </c>
      <c r="D411" s="66"/>
      <c r="E411" s="42"/>
    </row>
    <row r="412" spans="2:5" ht="20" customHeight="1" x14ac:dyDescent="0.2">
      <c r="B412" s="4" t="s">
        <v>182</v>
      </c>
      <c r="C412" s="65" t="str">
        <f>IF(cluster_wld_domain_chosen&lt;&gt;"MGMT Workload Domain",CONCATENATE(prefix_wld_az1_rack_cidr,"67.1"),CONCATENATE(prefix_mgmt_az1_cidr,"67.1"))</f>
        <v>10.13.67.1</v>
      </c>
      <c r="D412" s="66"/>
      <c r="E412" s="42"/>
    </row>
    <row r="413" spans="2:5" ht="20" customHeight="1" x14ac:dyDescent="0.2">
      <c r="B413" s="23" t="s">
        <v>248</v>
      </c>
      <c r="C413" s="65" t="str">
        <f>IF(cluster_wld_domain_chosen&lt;&gt;"MGMT Workload Domain",CONCATENATE(prefix_wld_az1_rack_cidr,"67.101"),CONCATENATE(prefix_mgmt_az1_cidr,"67.101"))</f>
        <v>10.13.67.101</v>
      </c>
      <c r="D413" s="66"/>
      <c r="E413" s="121" t="s">
        <v>2555</v>
      </c>
    </row>
    <row r="414" spans="2:5" ht="20" customHeight="1" x14ac:dyDescent="0.2">
      <c r="B414" s="23" t="s">
        <v>249</v>
      </c>
      <c r="C414" s="65" t="str">
        <f>IF(cluster_wld_domain_chosen&lt;&gt;"MGMT Workload Domain",CONCATENATE(prefix_wld_az1_rack_cidr,"67.116"),CONCATENATE(prefix_mgmt_az1_cidr,"67.116"))</f>
        <v>10.13.67.116</v>
      </c>
      <c r="D414" s="66"/>
      <c r="E414" s="121" t="s">
        <v>2556</v>
      </c>
    </row>
    <row r="415" spans="2:5" ht="20" customHeight="1" x14ac:dyDescent="0.2">
      <c r="B415" s="424" t="s">
        <v>250</v>
      </c>
      <c r="C415" s="425"/>
      <c r="D415" s="425"/>
      <c r="E415" s="426"/>
    </row>
    <row r="416" spans="2:5" ht="20" customHeight="1" x14ac:dyDescent="0.2">
      <c r="B416" s="4" t="s">
        <v>85</v>
      </c>
      <c r="C416" s="65" t="str">
        <f>IF(cluster_wld_domain_chosen&lt;&gt;"MGMT Workload Domain",CONCATENATE(prefix_wld_az1_rack_vlan,"68"),CONCATENATE(prefix_mgmt_az1_vlan,"68"))</f>
        <v>1368</v>
      </c>
      <c r="D416" s="66"/>
      <c r="E416" s="42"/>
    </row>
    <row r="417" spans="2:5" ht="20" customHeight="1" x14ac:dyDescent="0.2">
      <c r="B417" s="4" t="s">
        <v>157</v>
      </c>
      <c r="C417" s="65">
        <v>9000</v>
      </c>
      <c r="D417" s="66"/>
      <c r="E417" s="42"/>
    </row>
    <row r="418" spans="2:5" ht="20" customHeight="1" x14ac:dyDescent="0.2">
      <c r="B418" s="4" t="s">
        <v>183</v>
      </c>
      <c r="C418" s="154" t="str">
        <f>IF(cluster_wld_domain_chosen&lt;&gt;"MGMT Workload Domain",CONCATENATE(prefix_wld_az1_rack_cidr,"68.0"),CONCATENATE(prefix_mgmt_az1_cidr,"68.0"))</f>
        <v>10.13.68.0</v>
      </c>
      <c r="D418" s="66"/>
      <c r="E418" s="80"/>
    </row>
    <row r="419" spans="2:5" ht="20" customHeight="1" x14ac:dyDescent="0.2">
      <c r="B419" s="4" t="s">
        <v>278</v>
      </c>
      <c r="C419" s="154" t="s">
        <v>126</v>
      </c>
      <c r="D419" s="66"/>
      <c r="E419" s="42"/>
    </row>
    <row r="420" spans="2:5" ht="20" customHeight="1" x14ac:dyDescent="0.2">
      <c r="B420" s="4" t="s">
        <v>182</v>
      </c>
      <c r="C420" s="65" t="str">
        <f>IF(cluster_wld_domain_chosen&lt;&gt;"MGMT Workload Domain",CONCATENATE(prefix_wld_az1_rack_cidr,"68.1"),CONCATENATE(prefix_mgmt_az1_cidr,"68.1"))</f>
        <v>10.13.68.1</v>
      </c>
      <c r="D420" s="66"/>
      <c r="E420" s="42" t="str">
        <f>IF(AND(mgmt_stretched_cluster_result="Included",mgmt_dpg_reuse_result="Excluded"),"Stretched L2","")</f>
        <v/>
      </c>
    </row>
    <row r="421" spans="2:5" ht="20" customHeight="1" x14ac:dyDescent="0.2">
      <c r="B421" s="23" t="s">
        <v>248</v>
      </c>
      <c r="C421" s="65" t="str">
        <f>IF(cluster_wld_domain_chosen&lt;&gt;"MGMT Workload Domain",CONCATENATE(prefix_wld_az1_rack_cidr,"68.101"),CONCATENATE(prefix_mgmt_az1_cidr,"68.101"))</f>
        <v>10.13.68.101</v>
      </c>
      <c r="D421" s="66"/>
      <c r="E421" s="121" t="s">
        <v>2557</v>
      </c>
    </row>
    <row r="422" spans="2:5" ht="20" customHeight="1" x14ac:dyDescent="0.2">
      <c r="B422" s="23" t="s">
        <v>249</v>
      </c>
      <c r="C422" s="65" t="str">
        <f>IF(cluster_wld_domain_chosen&lt;&gt;"MGMT Workload Domain",CONCATENATE(prefix_wld_az1_rack_cidr,"68.116"),CONCATENATE(prefix_mgmt_az1_cidr,"68.116"))</f>
        <v>10.13.68.116</v>
      </c>
      <c r="D422" s="66"/>
      <c r="E422" s="121" t="s">
        <v>2558</v>
      </c>
    </row>
    <row r="423" spans="2:5" ht="16" customHeight="1" x14ac:dyDescent="0.2">
      <c r="B423" s="9"/>
      <c r="C423" s="9"/>
      <c r="D423" s="9"/>
      <c r="E423" s="9"/>
    </row>
    <row r="424" spans="2:5" ht="34" customHeight="1" x14ac:dyDescent="0.2">
      <c r="B424" s="569" t="s">
        <v>2587</v>
      </c>
      <c r="C424" s="570"/>
      <c r="D424" s="570"/>
      <c r="E424" s="571"/>
    </row>
    <row r="425" spans="2:5" ht="20" customHeight="1" x14ac:dyDescent="0.2">
      <c r="B425" s="62" t="s">
        <v>254</v>
      </c>
      <c r="C425" s="62" t="s">
        <v>255</v>
      </c>
      <c r="D425" s="161" t="s">
        <v>20</v>
      </c>
      <c r="E425" s="62" t="s">
        <v>256</v>
      </c>
    </row>
    <row r="426" spans="2:5" ht="20" customHeight="1" x14ac:dyDescent="0.2">
      <c r="B426" s="23" t="s">
        <v>208</v>
      </c>
      <c r="C426" s="154" t="str">
        <f>IF(cluster_wld_domain_chosen&lt;&gt;"MGMT Workload Domain",CONCATENATE(this_instance,"01-w0",wld_domain_number_chosen,"-r06-esx01",".",sample_child_dns_zone),CONCATENATE(this_instance,"01-m01-r06-esx01",".",sample_child_dns_zone))</f>
        <v>sfo01-w01-r06-esx01.sfo.rainpole.io</v>
      </c>
      <c r="D426" s="66"/>
      <c r="E426" s="42"/>
    </row>
    <row r="427" spans="2:5" ht="20" customHeight="1" x14ac:dyDescent="0.2">
      <c r="B427" s="23" t="s">
        <v>210</v>
      </c>
      <c r="C427" s="154" t="str">
        <f>IF(cluster_wld_domain_chosen&lt;&gt;"MGMT Workload Domain",CONCATENATE(this_instance,"01-w0",wld_domain_number_chosen,"-r06-esx02",".",sample_child_dns_zone),CONCATENATE(this_instance,"01-m01-r06-esx02",".",sample_child_dns_zone))</f>
        <v>sfo01-w01-r06-esx02.sfo.rainpole.io</v>
      </c>
      <c r="D427" s="66"/>
      <c r="E427" s="42"/>
    </row>
    <row r="428" spans="2:5" ht="20" customHeight="1" x14ac:dyDescent="0.2">
      <c r="B428" s="23" t="s">
        <v>212</v>
      </c>
      <c r="C428" s="154" t="str">
        <f>IF(cluster_wld_domain_chosen&lt;&gt;"MGMT Workload Domain",CONCATENATE(this_instance,"01-w0",wld_domain_number_chosen,"-r06-esx03",".",sample_child_dns_zone),CONCATENATE(this_instance,"01-m01-r06-esx03",".",sample_child_dns_zone))</f>
        <v>sfo01-w01-r06-esx03.sfo.rainpole.io</v>
      </c>
      <c r="D428" s="66"/>
      <c r="E428" s="42"/>
    </row>
    <row r="429" spans="2:5" ht="20" customHeight="1" x14ac:dyDescent="0.2">
      <c r="B429" s="23" t="s">
        <v>214</v>
      </c>
      <c r="C429" s="154" t="str">
        <f>IF(cluster_wld_domain_chosen&lt;&gt;"MGMT Workload Domain",CONCATENATE(this_instance,"01-w0",wld_domain_number_chosen,"-r06-esx04",".",sample_child_dns_zone),CONCATENATE(this_instance,"01-m01-r06-esx04",".",sample_child_dns_zone))</f>
        <v>sfo01-w01-r06-esx04.sfo.rainpole.io</v>
      </c>
      <c r="D429" s="66"/>
      <c r="E429" s="42"/>
    </row>
    <row r="430" spans="2:5" ht="20" customHeight="1" x14ac:dyDescent="0.2">
      <c r="B430" s="23" t="s">
        <v>216</v>
      </c>
      <c r="C430" s="154" t="str">
        <f>IF(cluster_wld_domain_chosen&lt;&gt;"MGMT Workload Domain",CONCATENATE(this_instance,"01-w0",wld_domain_number_chosen,"-r06-esx05",".",sample_child_dns_zone),CONCATENATE(this_instance,"01-m01-r06-esx05",".",sample_child_dns_zone))</f>
        <v>sfo01-w01-r06-esx05.sfo.rainpole.io</v>
      </c>
      <c r="D430" s="66"/>
      <c r="E430" s="42"/>
    </row>
    <row r="431" spans="2:5" ht="20" customHeight="1" x14ac:dyDescent="0.2">
      <c r="B431" s="23" t="s">
        <v>218</v>
      </c>
      <c r="C431" s="154" t="str">
        <f>IF(cluster_wld_domain_chosen&lt;&gt;"MGMT Workload Domain",CONCATENATE(this_instance,"01-w0",wld_domain_number_chosen,"-r06-esx06",".",sample_child_dns_zone),CONCATENATE(this_instance,"01-m01-r06-esx06",".",sample_child_dns_zone))</f>
        <v>sfo01-w01-r06-esx06.sfo.rainpole.io</v>
      </c>
      <c r="D431" s="66"/>
      <c r="E431" s="42"/>
    </row>
    <row r="432" spans="2:5" ht="20" customHeight="1" x14ac:dyDescent="0.2">
      <c r="B432" s="23" t="s">
        <v>220</v>
      </c>
      <c r="C432" s="154" t="str">
        <f>IF(cluster_wld_domain_chosen&lt;&gt;"MGMT Workload Domain",CONCATENATE(this_instance,"01-w0",wld_domain_number_chosen,"-r06-esx07",".",sample_child_dns_zone),CONCATENATE(this_instance,"01-m01-r06-esx07",".",sample_child_dns_zone))</f>
        <v>sfo01-w01-r06-esx07.sfo.rainpole.io</v>
      </c>
      <c r="D432" s="66"/>
      <c r="E432" s="42"/>
    </row>
    <row r="433" spans="2:5" ht="20" customHeight="1" x14ac:dyDescent="0.2">
      <c r="B433" s="23" t="s">
        <v>222</v>
      </c>
      <c r="C433" s="154" t="str">
        <f>IF(cluster_wld_domain_chosen&lt;&gt;"MGMT Workload Domain",CONCATENATE(this_instance,"01-w0",wld_domain_number_chosen,"-r06-esx08",".",sample_child_dns_zone),CONCATENATE(this_instance,"01-m01-r06-esx08",".",sample_child_dns_zone))</f>
        <v>sfo01-w01-r06-esx08.sfo.rainpole.io</v>
      </c>
      <c r="D433" s="66"/>
      <c r="E433" s="42"/>
    </row>
    <row r="434" spans="2:5" ht="20" customHeight="1" x14ac:dyDescent="0.2">
      <c r="B434" s="23" t="s">
        <v>224</v>
      </c>
      <c r="C434" s="154" t="str">
        <f>IF(cluster_wld_domain_chosen&lt;&gt;"MGMT Workload Domain",CONCATENATE(this_instance,"01-w0",wld_domain_number_chosen,"-r06-esx09",".",sample_child_dns_zone),CONCATENATE(this_instance,"01-m01-r06-esx09",".",sample_child_dns_zone))</f>
        <v>sfo01-w01-r06-esx09.sfo.rainpole.io</v>
      </c>
      <c r="D434" s="66"/>
      <c r="E434" s="42"/>
    </row>
    <row r="435" spans="2:5" ht="20" customHeight="1" x14ac:dyDescent="0.2">
      <c r="B435" s="23" t="s">
        <v>226</v>
      </c>
      <c r="C435" s="154" t="str">
        <f>IF(cluster_wld_domain_chosen&lt;&gt;"MGMT Workload Domain",CONCATENATE(this_instance,"01-w0",wld_domain_number_chosen,"-r06-esx10",".",sample_child_dns_zone),CONCATENATE(this_instance,"01-m01-r06-esx10",".",sample_child_dns_zone))</f>
        <v>sfo01-w01-r06-esx10.sfo.rainpole.io</v>
      </c>
      <c r="D435" s="66"/>
      <c r="E435" s="42"/>
    </row>
    <row r="436" spans="2:5" ht="20" customHeight="1" x14ac:dyDescent="0.2">
      <c r="B436" s="23" t="s">
        <v>228</v>
      </c>
      <c r="C436" s="154" t="str">
        <f>IF(cluster_wld_domain_chosen&lt;&gt;"MGMT Workload Domain",CONCATENATE(this_instance,"01-w0",wld_domain_number_chosen,"-r06-esx11",".",sample_child_dns_zone),CONCATENATE(this_instance,"01-m01-r06-esx11",".",sample_child_dns_zone))</f>
        <v>sfo01-w01-r06-esx11.sfo.rainpole.io</v>
      </c>
      <c r="D436" s="66"/>
      <c r="E436" s="42"/>
    </row>
    <row r="437" spans="2:5" ht="20" customHeight="1" x14ac:dyDescent="0.2">
      <c r="B437" s="23" t="s">
        <v>230</v>
      </c>
      <c r="C437" s="154" t="str">
        <f>IF(cluster_wld_domain_chosen&lt;&gt;"MGMT Workload Domain",CONCATENATE(this_instance,"01-w0",wld_domain_number_chosen,"-r06-esx12",".",sample_child_dns_zone),CONCATENATE(this_instance,"01-m01-r06-esx12",".",sample_child_dns_zone))</f>
        <v>sfo01-w01-r06-esx12.sfo.rainpole.io</v>
      </c>
      <c r="D437" s="66"/>
      <c r="E437" s="42"/>
    </row>
    <row r="438" spans="2:5" ht="20" customHeight="1" x14ac:dyDescent="0.2">
      <c r="B438" s="23" t="s">
        <v>232</v>
      </c>
      <c r="C438" s="154" t="str">
        <f>IF(cluster_wld_domain_chosen&lt;&gt;"MGMT Workload Domain",CONCATENATE(this_instance,"01-w0",wld_domain_number_chosen,"-r06-esx13",".",sample_child_dns_zone),CONCATENATE(this_instance,"01-m01-r06-esx13",".",sample_child_dns_zone))</f>
        <v>sfo01-w01-r06-esx13.sfo.rainpole.io</v>
      </c>
      <c r="D438" s="66"/>
      <c r="E438" s="42"/>
    </row>
    <row r="439" spans="2:5" ht="20" customHeight="1" x14ac:dyDescent="0.2">
      <c r="B439" s="23" t="s">
        <v>234</v>
      </c>
      <c r="C439" s="154" t="str">
        <f>IF(cluster_wld_domain_chosen&lt;&gt;"MGMT Workload Domain",CONCATENATE(this_instance,"01-w0",wld_domain_number_chosen,"-r06-esx14",".",sample_child_dns_zone),CONCATENATE(this_instance,"01-m01-r06-esx14",".",sample_child_dns_zone))</f>
        <v>sfo01-w01-r06-esx14.sfo.rainpole.io</v>
      </c>
      <c r="D439" s="66"/>
      <c r="E439" s="42"/>
    </row>
    <row r="440" spans="2:5" ht="20" customHeight="1" x14ac:dyDescent="0.2">
      <c r="B440" s="23" t="s">
        <v>236</v>
      </c>
      <c r="C440" s="154" t="str">
        <f>IF(cluster_wld_domain_chosen&lt;&gt;"MGMT Workload Domain",CONCATENATE(this_instance,"01-w0",wld_domain_number_chosen,"-r06-esx14",".",sample_child_dns_zone),CONCATENATE(this_instance,"01-m01-r06-esx15",".",sample_child_dns_zone))</f>
        <v>sfo01-w01-r06-esx14.sfo.rainpole.io</v>
      </c>
      <c r="D440" s="66"/>
      <c r="E440" s="42"/>
    </row>
    <row r="441" spans="2:5" ht="20" customHeight="1" x14ac:dyDescent="0.2">
      <c r="B441" s="23" t="s">
        <v>238</v>
      </c>
      <c r="C441" s="154" t="str">
        <f>IF(cluster_wld_domain_chosen&lt;&gt;"MGMT Workload Domain",CONCATENATE(this_instance,"01-w0",wld_domain_number_chosen,"-r06-esx16",".",sample_child_dns_zone),CONCATENATE(this_instance,"01-m01-r06-esx16",".",sample_child_dns_zone))</f>
        <v>sfo01-w01-r06-esx16.sfo.rainpole.io</v>
      </c>
      <c r="D441" s="66"/>
      <c r="E441" s="42"/>
    </row>
    <row r="442" spans="2:5" ht="20" customHeight="1" x14ac:dyDescent="0.2">
      <c r="B442" s="23" t="s">
        <v>257</v>
      </c>
      <c r="C442" s="154" t="s">
        <v>665</v>
      </c>
      <c r="D442" s="8" t="s">
        <v>258</v>
      </c>
      <c r="E442" s="42"/>
    </row>
    <row r="443" spans="2:5" ht="20" customHeight="1" x14ac:dyDescent="0.2">
      <c r="B443" s="23" t="s">
        <v>259</v>
      </c>
      <c r="C443" s="154" t="s">
        <v>260</v>
      </c>
      <c r="D443"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443" s="4"/>
    </row>
    <row r="444" spans="2:5" ht="20" customHeight="1" x14ac:dyDescent="0.2">
      <c r="B444" s="23" t="s">
        <v>261</v>
      </c>
      <c r="C444" s="154" t="s">
        <v>156</v>
      </c>
      <c r="D444" s="8" t="str">
        <f>IF(AND(vcf_granular_option_chosen="Create Cluster",cluster_principal_storage_chosen="vSAN-ESA"),"Selected",
IF(AND(vcf_granular_option_chosen="Create Workload Domain",wld_principal_storage_chosen="vSAN-ESA"),"Selected","Unselected"))</f>
        <v>Unselected</v>
      </c>
      <c r="E444" s="42"/>
    </row>
    <row r="445" spans="2:5" ht="20" customHeight="1" x14ac:dyDescent="0.2">
      <c r="B445" s="23" t="s">
        <v>243</v>
      </c>
      <c r="C445" s="154" t="str">
        <f>sample_wld_az1_rack6_pool_name</f>
        <v>sfo01-w01-r06-network-pool-01</v>
      </c>
      <c r="D445" s="8" t="str">
        <f>wld_az1_rack6_pool_name</f>
        <v>Value Missing</v>
      </c>
      <c r="E445" s="42"/>
    </row>
    <row r="446" spans="2:5" ht="20" customHeight="1" x14ac:dyDescent="0.2">
      <c r="B446" s="23" t="s">
        <v>47</v>
      </c>
      <c r="C446" s="154" t="s">
        <v>262</v>
      </c>
      <c r="D446"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446" s="42"/>
    </row>
    <row r="447" spans="2:5" ht="20" customHeight="1" x14ac:dyDescent="0.2">
      <c r="B447" s="23" t="s">
        <v>30</v>
      </c>
      <c r="C447" s="154" t="s">
        <v>31</v>
      </c>
      <c r="D447" s="8" t="str">
        <f>IF(AND(vcf_granular_option_chosen="Create Cluster",cluster_chosen="Deploy a Multi-Rack Layer 3 Cluster"),cluster_esx_root_password,
IF(AND(vcf_granular_option_chosen="Create Workload Domain",wld_domain_chosen="Deploy Workload Domain with a Multi-Rack Layer 3 Cluster"),wld_esx_root_password,wld_esx_root_password))</f>
        <v>Value Missing</v>
      </c>
      <c r="E447" s="42"/>
    </row>
    <row r="448" spans="2:5" ht="16" customHeight="1" x14ac:dyDescent="0.2"/>
    <row r="449" spans="2:5" ht="34" customHeight="1" x14ac:dyDescent="0.2">
      <c r="B449" s="569" t="s">
        <v>2588</v>
      </c>
      <c r="C449" s="570"/>
      <c r="D449" s="570"/>
      <c r="E449" s="571"/>
    </row>
    <row r="450" spans="2:5" ht="20" customHeight="1" x14ac:dyDescent="0.2">
      <c r="B450" s="4" t="s">
        <v>329</v>
      </c>
      <c r="C450" s="109" t="str">
        <f>IF(vcf_granular_option_chosen="Create Cluster",CONCATENATE(this_instance,"01-",sample_cluster_name,"-r06-network-profile"),
IF(cluster_wld_domain_chosen="Workload Domain",CONCATENATE(this_instance,"01-",sample_wld_cl01_cluster,"-r06-network-profile"),
CONCATENATE(this_instance,"01-",sample_mgmt_cl01_cluster,"-r06-network-profile")))</f>
        <v>sfo01-sfo-w01-cl01-r06-network-profile</v>
      </c>
      <c r="D450" s="66"/>
      <c r="E450" s="103"/>
    </row>
    <row r="451" spans="2:5" ht="20" customHeight="1" x14ac:dyDescent="0.2">
      <c r="B451" s="4" t="s">
        <v>2561</v>
      </c>
      <c r="C451" s="65" t="s">
        <v>331</v>
      </c>
      <c r="D451" s="155" t="s">
        <v>331</v>
      </c>
      <c r="E451" s="4" t="str">
        <f>IF(wld_az1_rack6_host_overlay_new_pool_chosen="Re-use an existing Pool","An exisitng Pool will be reused for Host TEP assignment","A new Pool will be created for Host TEP assignment")</f>
        <v>A new Pool will be created for Host TEP assignment</v>
      </c>
    </row>
    <row r="452" spans="2:5" ht="20" customHeight="1" x14ac:dyDescent="0.2">
      <c r="B452" s="4" t="s">
        <v>332</v>
      </c>
      <c r="C452" s="109" t="str">
        <f>IF(cluster_wld_domain_chosen="Workload Domain",CONCATENATE(this_instance,"01-w0",wld_domain_number_chosen,"-r06-ip-pool01-host"),CONCATENATE(this_instance,"01-m01","-r06-ip-pool01-host"))</f>
        <v>sfo01-w01-r06-ip-pool01-host</v>
      </c>
      <c r="D452" s="66"/>
      <c r="E452" s="103"/>
    </row>
    <row r="453" spans="2:5" ht="20" customHeight="1" x14ac:dyDescent="0.2">
      <c r="B453" s="4" t="s">
        <v>333</v>
      </c>
      <c r="C453" s="109" t="str">
        <f>IF(cluster_wld_domain_chosen="Workload Domain",CONCATENATE(this_instance,"01-w0",wld_domain_number_chosen,"-r06-uplink-profile01"),CONCATENATE(this_instance,"01-m01","-r06-uplink-profile01"))</f>
        <v>sfo01-w01-r06-uplink-profile01</v>
      </c>
      <c r="D453" s="66"/>
      <c r="E453" s="103"/>
    </row>
    <row r="454" spans="2:5" ht="20" customHeight="1" x14ac:dyDescent="0.2">
      <c r="B454" s="4" t="s">
        <v>2562</v>
      </c>
      <c r="C454" s="109" t="str">
        <f>IF(cluster_wld_domain_chosen="Workload Domain",CONCATENATE(this_instance,"01-w0",wld_domain_number_chosen,"-r06-ip-pool02-edge"),CONCATENATE(this_instance,"01-m01","-r06-ip-pool02-edge"))</f>
        <v>sfo01-w01-r06-ip-pool02-edge</v>
      </c>
      <c r="D454" s="66"/>
      <c r="E454" s="103"/>
    </row>
    <row r="455" spans="2:5" ht="20" customHeight="1" x14ac:dyDescent="0.2">
      <c r="B455" s="4" t="s">
        <v>2563</v>
      </c>
      <c r="C455" s="109" t="str">
        <f>IF(cluster_wld_domain_chosen="Workload Domain",CONCATENATE(this_instance,"01-w0",wld_domain_number_chosen,"-r06-ip-pool03-rtep"),CONCATENATE(this_instance,"01-m01","-r06-ip-pool03-rtep"))</f>
        <v>sfo01-w01-r06-ip-pool03-rtep</v>
      </c>
      <c r="D455" s="66"/>
      <c r="E455" s="103"/>
    </row>
    <row r="456" spans="2:5" ht="20" customHeight="1" x14ac:dyDescent="0.2">
      <c r="B456" s="556" t="s">
        <v>728</v>
      </c>
      <c r="C456" s="557"/>
      <c r="D456" s="557"/>
      <c r="E456" s="558"/>
    </row>
    <row r="457" spans="2:5" ht="20" customHeight="1" x14ac:dyDescent="0.2">
      <c r="B457" s="251" t="s">
        <v>254</v>
      </c>
      <c r="C457" s="251" t="s">
        <v>255</v>
      </c>
      <c r="D457" s="283" t="s">
        <v>20</v>
      </c>
      <c r="E457" s="251" t="s">
        <v>21</v>
      </c>
    </row>
    <row r="458" spans="2:5" ht="20" customHeight="1" x14ac:dyDescent="0.2">
      <c r="B458" s="4" t="s">
        <v>1222</v>
      </c>
      <c r="C458" s="103" t="str">
        <f>IF(cluster_wld_domain_chosen&lt;&gt;"MGMT Workload Domain",CONCATENATE(this_instance,"-w0",wld_domain_number_chosen,"-r06","-vsan-fault-domain"),CONCATENATE(this_instance,"-m01","-r06","-vsan-fault-domain"))</f>
        <v>sfo-w01-r06-vsan-fault-domain</v>
      </c>
      <c r="D458" s="66"/>
      <c r="E458" s="8"/>
    </row>
    <row r="459" spans="2:5" ht="16" customHeight="1" x14ac:dyDescent="0.2"/>
    <row r="460" spans="2:5" ht="34" customHeight="1" x14ac:dyDescent="0.2">
      <c r="B460" s="569" t="s">
        <v>2589</v>
      </c>
      <c r="C460" s="570"/>
      <c r="D460" s="570"/>
      <c r="E460" s="571"/>
    </row>
    <row r="461" spans="2:5" ht="20" customHeight="1" x14ac:dyDescent="0.2">
      <c r="B461" s="62" t="s">
        <v>254</v>
      </c>
      <c r="C461" s="62" t="s">
        <v>255</v>
      </c>
      <c r="D461" s="161" t="s">
        <v>20</v>
      </c>
      <c r="E461" s="62" t="s">
        <v>21</v>
      </c>
    </row>
    <row r="462" spans="2:5" ht="20" customHeight="1" x14ac:dyDescent="0.2">
      <c r="B462" s="424" t="s">
        <v>815</v>
      </c>
      <c r="C462" s="425"/>
      <c r="D462" s="425"/>
      <c r="E462" s="426"/>
    </row>
    <row r="463" spans="2:5" ht="20" customHeight="1" x14ac:dyDescent="0.2">
      <c r="B463" s="4" t="s">
        <v>85</v>
      </c>
      <c r="C463" s="65" t="str">
        <f>IF(cluster_wld_domain_chosen&lt;&gt;"MGMT Workload Domain",CONCATENATE(prefix_wld_az1_rack_vlan,"69"),CONCATENATE(prefix_mgmt_az1_vlan,"69"))</f>
        <v>1369</v>
      </c>
      <c r="D463" s="66"/>
      <c r="E463" s="113"/>
    </row>
    <row r="464" spans="2:5" ht="20" customHeight="1" x14ac:dyDescent="0.2">
      <c r="B464" s="4" t="s">
        <v>157</v>
      </c>
      <c r="C464" s="65">
        <v>9000</v>
      </c>
      <c r="D464" s="66"/>
      <c r="E464" s="42"/>
    </row>
    <row r="465" spans="2:5" ht="20" customHeight="1" x14ac:dyDescent="0.2">
      <c r="B465" s="4" t="s">
        <v>183</v>
      </c>
      <c r="C465" s="65" t="str">
        <f>IF(cluster_wld_domain_chosen&lt;&gt;"MGMT Workload Domain",CONCATENATE(prefix_wld_az1_rack_cidr,"69.0"),CONCATENATE(prefix_mgmt_az1_cidr,"69.0"))</f>
        <v>10.13.69.0</v>
      </c>
      <c r="D465" s="66"/>
      <c r="E465" s="42"/>
    </row>
    <row r="466" spans="2:5" ht="20" customHeight="1" x14ac:dyDescent="0.2">
      <c r="B466" s="4" t="s">
        <v>278</v>
      </c>
      <c r="C466" s="65" t="s">
        <v>126</v>
      </c>
      <c r="D466" s="66"/>
      <c r="E466" s="42"/>
    </row>
    <row r="467" spans="2:5" ht="20" customHeight="1" x14ac:dyDescent="0.2">
      <c r="B467" s="4" t="s">
        <v>182</v>
      </c>
      <c r="C467" s="65" t="str">
        <f>IF(cluster_wld_domain_chosen&lt;&gt;"MGMT Workload Domain",CONCATENATE(prefix_wld_az1_rack_cidr,"69.1"),CONCATENATE(prefix_mgmt_az1_cidr,"69.1"))</f>
        <v>10.13.69.1</v>
      </c>
      <c r="D467" s="66"/>
      <c r="E467" s="42"/>
    </row>
    <row r="468" spans="2:5" ht="20" customHeight="1" x14ac:dyDescent="0.2">
      <c r="B468" s="23" t="s">
        <v>248</v>
      </c>
      <c r="C468" s="65" t="str">
        <f>IF(cluster_wld_domain_chosen&lt;&gt;"MGMT Workload Domain",CONCATENATE(prefix_wld_az1_rack_cidr,"69.101"),CONCATENATE(prefix_mgmt_az1_cidr,"69.101"))</f>
        <v>10.13.69.101</v>
      </c>
      <c r="D468" s="66"/>
      <c r="E468" s="121" t="s">
        <v>2565</v>
      </c>
    </row>
    <row r="469" spans="2:5" ht="20" customHeight="1" x14ac:dyDescent="0.2">
      <c r="B469" s="23" t="s">
        <v>249</v>
      </c>
      <c r="C469" s="65" t="str">
        <f>IF(cluster_wld_domain_chosen&lt;&gt;"MGMT Workload Domain",CONCATENATE(prefix_wld_az1_rack_cidr,"69.116"),CONCATENATE(prefix_mgmt_az1_cidr,"69.116"))</f>
        <v>10.13.69.116</v>
      </c>
      <c r="D469" s="66"/>
      <c r="E469" s="121" t="s">
        <v>2566</v>
      </c>
    </row>
    <row r="470" spans="2:5" ht="16" customHeight="1" x14ac:dyDescent="0.2"/>
    <row r="471" spans="2:5" ht="34" customHeight="1" x14ac:dyDescent="0.2">
      <c r="B471" s="569" t="s">
        <v>2590</v>
      </c>
      <c r="C471" s="570"/>
      <c r="D471" s="570"/>
      <c r="E471" s="571"/>
    </row>
    <row r="472" spans="2:5" ht="20" customHeight="1" x14ac:dyDescent="0.2">
      <c r="B472" s="62" t="s">
        <v>254</v>
      </c>
      <c r="C472" s="62" t="s">
        <v>255</v>
      </c>
      <c r="D472" s="161" t="s">
        <v>20</v>
      </c>
      <c r="E472" s="62" t="s">
        <v>21</v>
      </c>
    </row>
    <row r="473" spans="2:5" ht="20" customHeight="1" x14ac:dyDescent="0.2">
      <c r="B473" s="424" t="s">
        <v>206</v>
      </c>
      <c r="C473" s="425"/>
      <c r="D473" s="425"/>
      <c r="E473" s="426"/>
    </row>
    <row r="474" spans="2:5" ht="20" customHeight="1" x14ac:dyDescent="0.2">
      <c r="B474" s="4" t="s">
        <v>85</v>
      </c>
      <c r="C474" s="65" t="str">
        <f>IF(cluster_wld_domain_chosen&lt;&gt;"MGMT Workload Domain",CONCATENATE(prefix_wld_az1_rack_vlan,"77"),CONCATENATE(prefix_mgmt_az1_vlan,"77"))</f>
        <v>1377</v>
      </c>
      <c r="D474" s="66"/>
      <c r="E474" s="113"/>
    </row>
    <row r="475" spans="2:5" ht="20" customHeight="1" x14ac:dyDescent="0.2">
      <c r="B475" s="4" t="s">
        <v>182</v>
      </c>
      <c r="C475" s="65" t="str">
        <f>IF(cluster_wld_domain_chosen&lt;&gt;"MGMT Workload Domain",CONCATENATE(prefix_wld_az1_rack_cidr,"77.1"),CONCATENATE(prefix_mgmt_az1_cidr,"77.1"))</f>
        <v>10.13.77.1</v>
      </c>
      <c r="D475" s="66"/>
      <c r="E475" s="42"/>
    </row>
    <row r="476" spans="2:5" ht="20" customHeight="1" x14ac:dyDescent="0.2">
      <c r="B476" s="4" t="s">
        <v>183</v>
      </c>
      <c r="C476" s="65" t="str">
        <f>IF(cluster_wld_domain_chosen&lt;&gt;"MGMT Workload Domain",CONCATENATE(prefix_wld_az1_rack_cidr,"77.0/24"),CONCATENATE(prefix_mgmt_az1_cidr,"77.0/24"))</f>
        <v>10.13.77.0/24</v>
      </c>
      <c r="D476" s="66"/>
      <c r="E476" s="42"/>
    </row>
    <row r="477" spans="2:5" ht="20" customHeight="1" x14ac:dyDescent="0.2">
      <c r="B477" s="4" t="s">
        <v>157</v>
      </c>
      <c r="C477" s="65">
        <v>1500</v>
      </c>
      <c r="D477" s="66"/>
      <c r="E477" s="42"/>
    </row>
    <row r="478" spans="2:5" ht="20" customHeight="1" x14ac:dyDescent="0.2">
      <c r="B478" s="556" t="s">
        <v>207</v>
      </c>
      <c r="C478" s="557"/>
      <c r="D478" s="557"/>
      <c r="E478" s="558"/>
    </row>
    <row r="479" spans="2:5" ht="20" customHeight="1" x14ac:dyDescent="0.2">
      <c r="B479" s="23" t="s">
        <v>208</v>
      </c>
      <c r="C479" s="154" t="str">
        <f>IF(cluster_wld_domain_chosen&lt;&gt;"MGMT Workload Domain",CONCATENATE(prefix_wld_az1_rack_cidr,"77.101"),CONCATENATE(prefix_mgmt_az1_cidr,"77.101"))</f>
        <v>10.13.77.101</v>
      </c>
      <c r="D479" s="66"/>
      <c r="E479" s="121" t="s">
        <v>209</v>
      </c>
    </row>
    <row r="480" spans="2:5" ht="20" customHeight="1" x14ac:dyDescent="0.2">
      <c r="B480" s="23" t="s">
        <v>210</v>
      </c>
      <c r="C480" s="154" t="str">
        <f>IF(cluster_wld_domain_chosen&lt;&gt;"MGMT Workload Domain",CONCATENATE(prefix_wld_az1_rack_cidr,"77.102"),CONCATENATE(prefix_mgmt_az1_cidr,"77.102"))</f>
        <v>10.13.77.102</v>
      </c>
      <c r="D480" s="66"/>
      <c r="E480" s="121" t="s">
        <v>211</v>
      </c>
    </row>
    <row r="481" spans="2:5" ht="20" customHeight="1" x14ac:dyDescent="0.2">
      <c r="B481" s="23" t="s">
        <v>212</v>
      </c>
      <c r="C481" s="154" t="str">
        <f>IF(cluster_wld_domain_chosen&lt;&gt;"MGMT Workload Domain",CONCATENATE(prefix_wld_az1_rack_cidr,"77.103"),CONCATENATE(prefix_mgmt_az1_cidr,"77.103"))</f>
        <v>10.13.77.103</v>
      </c>
      <c r="D481" s="66"/>
      <c r="E481" s="121" t="s">
        <v>213</v>
      </c>
    </row>
    <row r="482" spans="2:5" ht="20" customHeight="1" x14ac:dyDescent="0.2">
      <c r="B482" s="23" t="s">
        <v>214</v>
      </c>
      <c r="C482" s="154" t="str">
        <f>IF(cluster_wld_domain_chosen&lt;&gt;"MGMT Workload Domain",CONCATENATE(prefix_wld_az1_rack_cidr,"77.104"),CONCATENATE(prefix_mgmt_az1_cidr,"77.104"))</f>
        <v>10.13.77.104</v>
      </c>
      <c r="D482" s="66"/>
      <c r="E482" s="121" t="s">
        <v>215</v>
      </c>
    </row>
    <row r="483" spans="2:5" ht="20" customHeight="1" x14ac:dyDescent="0.2">
      <c r="B483" s="23" t="s">
        <v>216</v>
      </c>
      <c r="C483" s="154" t="str">
        <f>IF(cluster_wld_domain_chosen&lt;&gt;"MGMT Workload Domain",CONCATENATE(prefix_wld_az1_rack_cidr,"77.105"),CONCATENATE(prefix_mgmt_az1_cidr,"77.105"))</f>
        <v>10.13.77.105</v>
      </c>
      <c r="D483" s="66"/>
      <c r="E483" s="121" t="s">
        <v>217</v>
      </c>
    </row>
    <row r="484" spans="2:5" ht="20" customHeight="1" x14ac:dyDescent="0.2">
      <c r="B484" s="23" t="s">
        <v>218</v>
      </c>
      <c r="C484" s="154" t="str">
        <f>IF(cluster_wld_domain_chosen&lt;&gt;"MGMT Workload Domain",CONCATENATE(prefix_wld_az1_rack_cidr,"77.106"),CONCATENATE(prefix_mgmt_az1_cidr,"77.106"))</f>
        <v>10.13.77.106</v>
      </c>
      <c r="D484" s="66"/>
      <c r="E484" s="121" t="s">
        <v>219</v>
      </c>
    </row>
    <row r="485" spans="2:5" ht="20" customHeight="1" x14ac:dyDescent="0.2">
      <c r="B485" s="23" t="s">
        <v>220</v>
      </c>
      <c r="C485" s="154" t="str">
        <f>IF(cluster_wld_domain_chosen&lt;&gt;"MGMT Workload Domain",CONCATENATE(prefix_wld_az1_rack_cidr,"77.107"),CONCATENATE(prefix_mgmt_az1_cidr,"77.107"))</f>
        <v>10.13.77.107</v>
      </c>
      <c r="D485" s="66"/>
      <c r="E485" s="121" t="s">
        <v>221</v>
      </c>
    </row>
    <row r="486" spans="2:5" ht="20" customHeight="1" x14ac:dyDescent="0.2">
      <c r="B486" s="23" t="s">
        <v>222</v>
      </c>
      <c r="C486" s="154" t="str">
        <f>IF(cluster_wld_domain_chosen&lt;&gt;"MGMT Workload Domain",CONCATENATE(prefix_wld_az1_rack_cidr,"77.108"),CONCATENATE(prefix_mgmt_az1_cidr,"77.108"))</f>
        <v>10.13.77.108</v>
      </c>
      <c r="D486" s="66"/>
      <c r="E486" s="121" t="s">
        <v>223</v>
      </c>
    </row>
    <row r="487" spans="2:5" ht="20" customHeight="1" x14ac:dyDescent="0.2">
      <c r="B487" s="23" t="s">
        <v>224</v>
      </c>
      <c r="C487" s="154" t="str">
        <f>IF(cluster_wld_domain_chosen&lt;&gt;"MGMT Workload Domain",CONCATENATE(prefix_wld_az1_rack_cidr,"77.109"),CONCATENATE(prefix_mgmt_az1_cidr,"77.109"))</f>
        <v>10.13.77.109</v>
      </c>
      <c r="D487" s="66"/>
      <c r="E487" s="121" t="s">
        <v>225</v>
      </c>
    </row>
    <row r="488" spans="2:5" ht="20" customHeight="1" x14ac:dyDescent="0.2">
      <c r="B488" s="23" t="s">
        <v>226</v>
      </c>
      <c r="C488" s="154" t="str">
        <f>IF(cluster_wld_domain_chosen&lt;&gt;"MGMT Workload Domain",CONCATENATE(prefix_wld_az1_rack_cidr,"77.110"),CONCATENATE(prefix_mgmt_az1_cidr,"77.110"))</f>
        <v>10.13.77.110</v>
      </c>
      <c r="D488" s="66"/>
      <c r="E488" s="121" t="s">
        <v>227</v>
      </c>
    </row>
    <row r="489" spans="2:5" ht="20" customHeight="1" x14ac:dyDescent="0.2">
      <c r="B489" s="23" t="s">
        <v>228</v>
      </c>
      <c r="C489" s="154" t="str">
        <f>IF(cluster_wld_domain_chosen&lt;&gt;"MGMT Workload Domain",CONCATENATE(prefix_wld_az1_rack_cidr,"77.111"),CONCATENATE(prefix_mgmt_az1_cidr,"77.111"))</f>
        <v>10.13.77.111</v>
      </c>
      <c r="D489" s="66"/>
      <c r="E489" s="121" t="s">
        <v>229</v>
      </c>
    </row>
    <row r="490" spans="2:5" ht="20" customHeight="1" x14ac:dyDescent="0.2">
      <c r="B490" s="23" t="s">
        <v>230</v>
      </c>
      <c r="C490" s="154" t="str">
        <f>IF(cluster_wld_domain_chosen&lt;&gt;"MGMT Workload Domain",CONCATENATE(prefix_wld_az1_rack_cidr,"77.112"),CONCATENATE(prefix_mgmt_az1_cidr,"77.112"))</f>
        <v>10.13.77.112</v>
      </c>
      <c r="D490" s="66"/>
      <c r="E490" s="121" t="s">
        <v>231</v>
      </c>
    </row>
    <row r="491" spans="2:5" ht="20" customHeight="1" x14ac:dyDescent="0.2">
      <c r="B491" s="23" t="s">
        <v>232</v>
      </c>
      <c r="C491" s="154" t="str">
        <f>IF(cluster_wld_domain_chosen&lt;&gt;"MGMT Workload Domain",CONCATENATE(prefix_wld_az1_rack_cidr,"77.113"),CONCATENATE(prefix_mgmt_az1_cidr,"77.113"))</f>
        <v>10.13.77.113</v>
      </c>
      <c r="D491" s="66"/>
      <c r="E491" s="121" t="s">
        <v>233</v>
      </c>
    </row>
    <row r="492" spans="2:5" ht="20" customHeight="1" x14ac:dyDescent="0.2">
      <c r="B492" s="23" t="s">
        <v>234</v>
      </c>
      <c r="C492" s="154" t="str">
        <f>IF(cluster_wld_domain_chosen&lt;&gt;"MGMT Workload Domain",CONCATENATE(prefix_wld_az1_rack_cidr,"77.114"),CONCATENATE(prefix_mgmt_az1_cidr,"77.114"))</f>
        <v>10.13.77.114</v>
      </c>
      <c r="D492" s="66"/>
      <c r="E492" s="121" t="s">
        <v>235</v>
      </c>
    </row>
    <row r="493" spans="2:5" ht="20" customHeight="1" x14ac:dyDescent="0.2">
      <c r="B493" s="23" t="s">
        <v>236</v>
      </c>
      <c r="C493" s="154" t="str">
        <f>IF(cluster_wld_domain_chosen&lt;&gt;"MGMT Workload Domain",CONCATENATE(prefix_wld_az1_rack_cidr,"77.115"),CONCATENATE(prefix_mgmt_az1_cidr,"77.115"))</f>
        <v>10.13.77.115</v>
      </c>
      <c r="D493" s="66"/>
      <c r="E493" s="121" t="s">
        <v>237</v>
      </c>
    </row>
    <row r="494" spans="2:5" ht="20" customHeight="1" x14ac:dyDescent="0.2">
      <c r="B494" s="23" t="s">
        <v>238</v>
      </c>
      <c r="C494" s="154" t="str">
        <f>IF(cluster_wld_domain_chosen&lt;&gt;"MGMT Workload Domain",CONCATENATE(prefix_wld_az1_rack_cidr,"77.116"),CONCATENATE(prefix_mgmt_az1_cidr,"77.116"))</f>
        <v>10.13.77.116</v>
      </c>
      <c r="D494" s="66"/>
      <c r="E494" s="121" t="s">
        <v>239</v>
      </c>
    </row>
    <row r="495" spans="2:5" ht="16" customHeight="1" x14ac:dyDescent="0.2">
      <c r="B495" s="9"/>
      <c r="C495" s="9"/>
      <c r="D495" s="9"/>
      <c r="E495" s="9"/>
    </row>
    <row r="496" spans="2:5" ht="34" customHeight="1" x14ac:dyDescent="0.2">
      <c r="B496" s="569" t="s">
        <v>2591</v>
      </c>
      <c r="C496" s="570"/>
      <c r="D496" s="570"/>
      <c r="E496" s="571"/>
    </row>
    <row r="497" spans="2:5" ht="20" customHeight="1" x14ac:dyDescent="0.2">
      <c r="B497" s="62" t="s">
        <v>254</v>
      </c>
      <c r="C497" s="62" t="s">
        <v>255</v>
      </c>
      <c r="D497" s="161" t="s">
        <v>20</v>
      </c>
      <c r="E497" s="62" t="s">
        <v>21</v>
      </c>
    </row>
    <row r="498" spans="2:5" ht="20" customHeight="1" x14ac:dyDescent="0.2">
      <c r="B498" s="4" t="s">
        <v>2554</v>
      </c>
      <c r="C498" s="65" t="s">
        <v>242</v>
      </c>
      <c r="D498" s="155" t="s">
        <v>242</v>
      </c>
      <c r="E498" s="4" t="str">
        <f>IF(wld_az1_rack7_reuse_vcf_networkpool_chosen="Re-use an existing  VCF Network Pool","An exisiting VCF Network Pool will be reused for Host TEP assignment","A new VCF Network Pool will be created")</f>
        <v>A new VCF Network Pool will be created</v>
      </c>
    </row>
    <row r="499" spans="2:5" ht="20" customHeight="1" x14ac:dyDescent="0.2">
      <c r="B499" s="23" t="s">
        <v>243</v>
      </c>
      <c r="C499" s="109" t="str">
        <f>IF(cluster_wld_domain_chosen="Workload Domain",CONCATENATE(this_instance,"01-w0",wld_domain_number_chosen,"-r07-network-pool-01"),CONCATENATE(this_instance,"01-m01","-r07-network-pool-01"))</f>
        <v>sfo01-w01-r07-network-pool-01</v>
      </c>
      <c r="D499" s="66"/>
      <c r="E499" s="42"/>
    </row>
    <row r="500" spans="2:5" ht="20" customHeight="1" x14ac:dyDescent="0.2">
      <c r="B500" s="424" t="s">
        <v>244</v>
      </c>
      <c r="C500" s="425"/>
      <c r="D500" s="425"/>
      <c r="E500" s="426"/>
    </row>
    <row r="501" spans="2:5" ht="20" customHeight="1" x14ac:dyDescent="0.2">
      <c r="B501" s="4" t="s">
        <v>85</v>
      </c>
      <c r="C501" s="65" t="str">
        <f>IF(cluster_wld_domain_chosen&lt;&gt;"MGMT Workload Domain",CONCATENATE(prefix_wld_az1_rack_vlan,"78"),CONCATENATE(prefix_mgmt_az1_vlan,"78"))</f>
        <v>1378</v>
      </c>
      <c r="D501" s="66"/>
      <c r="E501" s="113"/>
    </row>
    <row r="502" spans="2:5" ht="20" customHeight="1" x14ac:dyDescent="0.2">
      <c r="B502" s="4" t="s">
        <v>157</v>
      </c>
      <c r="C502" s="65">
        <v>9000</v>
      </c>
      <c r="D502" s="66"/>
      <c r="E502" s="42"/>
    </row>
    <row r="503" spans="2:5" ht="20" customHeight="1" x14ac:dyDescent="0.2">
      <c r="B503" s="4" t="s">
        <v>183</v>
      </c>
      <c r="C503" s="154" t="str">
        <f>IF(cluster_wld_domain_chosen&lt;&gt;"MGMT Workload Domain",CONCATENATE(prefix_wld_az1_rack_cidr,"78.0"),CONCATENATE(prefix_mgmt_az1_cidr,"78.0"))</f>
        <v>10.13.78.0</v>
      </c>
      <c r="D503" s="66"/>
      <c r="E503" s="42"/>
    </row>
    <row r="504" spans="2:5" ht="20" customHeight="1" x14ac:dyDescent="0.2">
      <c r="B504" s="4" t="s">
        <v>278</v>
      </c>
      <c r="C504" s="154" t="s">
        <v>126</v>
      </c>
      <c r="D504" s="66"/>
      <c r="E504" s="42"/>
    </row>
    <row r="505" spans="2:5" ht="20" customHeight="1" x14ac:dyDescent="0.2">
      <c r="B505" s="4" t="s">
        <v>182</v>
      </c>
      <c r="C505" s="65" t="str">
        <f>IF(cluster_wld_domain_chosen&lt;&gt;"MGMT Workload Domain",CONCATENATE(prefix_wld_az1_rack_cidr,"78.1"),CONCATENATE(prefix_mgmt_az1_cidr,"78.1"))</f>
        <v>10.13.78.1</v>
      </c>
      <c r="D505" s="66"/>
      <c r="E505" s="42"/>
    </row>
    <row r="506" spans="2:5" ht="20" customHeight="1" x14ac:dyDescent="0.2">
      <c r="B506" s="23" t="s">
        <v>248</v>
      </c>
      <c r="C506" s="65" t="str">
        <f>IF(cluster_wld_domain_chosen&lt;&gt;"MGMT Workload Domain",CONCATENATE(prefix_wld_az1_rack_cidr,"78.101"),CONCATENATE(prefix_mgmt_az1_cidr,"78.101"))</f>
        <v>10.13.78.101</v>
      </c>
      <c r="D506" s="66"/>
      <c r="E506" s="121" t="s">
        <v>2555</v>
      </c>
    </row>
    <row r="507" spans="2:5" ht="20" customHeight="1" x14ac:dyDescent="0.2">
      <c r="B507" s="23" t="s">
        <v>249</v>
      </c>
      <c r="C507" s="65" t="str">
        <f>IF(cluster_wld_domain_chosen&lt;&gt;"MGMT Workload Domain",CONCATENATE(prefix_wld_az1_rack_cidr,"78.116"),CONCATENATE(prefix_mgmt_az1_cidr,"78.116"))</f>
        <v>10.13.78.116</v>
      </c>
      <c r="D507" s="66"/>
      <c r="E507" s="121" t="s">
        <v>2556</v>
      </c>
    </row>
    <row r="508" spans="2:5" ht="20" customHeight="1" x14ac:dyDescent="0.2">
      <c r="B508" s="424" t="s">
        <v>250</v>
      </c>
      <c r="C508" s="425"/>
      <c r="D508" s="425"/>
      <c r="E508" s="426"/>
    </row>
    <row r="509" spans="2:5" ht="20" customHeight="1" x14ac:dyDescent="0.2">
      <c r="B509" s="4" t="s">
        <v>85</v>
      </c>
      <c r="C509" s="65" t="str">
        <f>IF(cluster_wld_domain_chosen&lt;&gt;"MGMT Workload Domain",CONCATENATE(prefix_wld_az1_rack_vlan,"79"),CONCATENATE(prefix_mgmt_az1_vlan,"79"))</f>
        <v>1379</v>
      </c>
      <c r="D509" s="66"/>
      <c r="E509" s="42"/>
    </row>
    <row r="510" spans="2:5" ht="20" customHeight="1" x14ac:dyDescent="0.2">
      <c r="B510" s="4" t="s">
        <v>157</v>
      </c>
      <c r="C510" s="65">
        <v>9000</v>
      </c>
      <c r="D510" s="66"/>
      <c r="E510" s="42"/>
    </row>
    <row r="511" spans="2:5" ht="20" customHeight="1" x14ac:dyDescent="0.2">
      <c r="B511" s="4" t="s">
        <v>183</v>
      </c>
      <c r="C511" s="154" t="str">
        <f>IF(cluster_wld_domain_chosen&lt;&gt;"MGMT Workload Domain",CONCATENATE(prefix_wld_az1_rack_cidr,"79.0"),CONCATENATE(prefix_mgmt_az1_cidr,"79.0"))</f>
        <v>10.13.79.0</v>
      </c>
      <c r="D511" s="66"/>
      <c r="E511" s="80"/>
    </row>
    <row r="512" spans="2:5" ht="20" customHeight="1" x14ac:dyDescent="0.2">
      <c r="B512" s="4" t="s">
        <v>278</v>
      </c>
      <c r="C512" s="154" t="s">
        <v>126</v>
      </c>
      <c r="D512" s="66"/>
      <c r="E512" s="42"/>
    </row>
    <row r="513" spans="2:5" ht="20" customHeight="1" x14ac:dyDescent="0.2">
      <c r="B513" s="4" t="s">
        <v>182</v>
      </c>
      <c r="C513" s="65" t="str">
        <f>IF(cluster_wld_domain_chosen&lt;&gt;"MGMT Workload Domain",CONCATENATE(prefix_wld_az1_rack_cidr,"79.1"),CONCATENATE(prefix_mgmt_az1_cidr,"79.1"))</f>
        <v>10.13.79.1</v>
      </c>
      <c r="D513" s="66"/>
      <c r="E513" s="42" t="str">
        <f>IF(AND(mgmt_stretched_cluster_result="Included",mgmt_dpg_reuse_result="Excluded"),"Stretched L2","")</f>
        <v/>
      </c>
    </row>
    <row r="514" spans="2:5" ht="20" customHeight="1" x14ac:dyDescent="0.2">
      <c r="B514" s="23" t="s">
        <v>248</v>
      </c>
      <c r="C514" s="65" t="str">
        <f>IF(cluster_wld_domain_chosen&lt;&gt;"MGMT Workload Domain",CONCATENATE(prefix_wld_az1_rack_cidr,"79.101"),CONCATENATE(prefix_mgmt_az1_cidr,"79.101"))</f>
        <v>10.13.79.101</v>
      </c>
      <c r="D514" s="66"/>
      <c r="E514" s="121" t="s">
        <v>2557</v>
      </c>
    </row>
    <row r="515" spans="2:5" ht="20" customHeight="1" x14ac:dyDescent="0.2">
      <c r="B515" s="23" t="s">
        <v>249</v>
      </c>
      <c r="C515" s="65" t="str">
        <f>IF(cluster_wld_domain_chosen&lt;&gt;"MGMT Workload Domain",CONCATENATE(prefix_wld_az1_rack_cidr,"79.116"),CONCATENATE(prefix_mgmt_az1_cidr,"79.116"))</f>
        <v>10.13.79.116</v>
      </c>
      <c r="D515" s="66"/>
      <c r="E515" s="121" t="s">
        <v>2558</v>
      </c>
    </row>
    <row r="516" spans="2:5" ht="16" customHeight="1" x14ac:dyDescent="0.2">
      <c r="B516" s="9"/>
      <c r="C516" s="9"/>
      <c r="D516" s="9"/>
      <c r="E516" s="9"/>
    </row>
    <row r="517" spans="2:5" ht="34" customHeight="1" x14ac:dyDescent="0.2">
      <c r="B517" s="569" t="s">
        <v>2592</v>
      </c>
      <c r="C517" s="570"/>
      <c r="D517" s="570"/>
      <c r="E517" s="571"/>
    </row>
    <row r="518" spans="2:5" ht="20" customHeight="1" x14ac:dyDescent="0.2">
      <c r="B518" s="62" t="s">
        <v>254</v>
      </c>
      <c r="C518" s="62" t="s">
        <v>255</v>
      </c>
      <c r="D518" s="161" t="s">
        <v>20</v>
      </c>
      <c r="E518" s="62" t="s">
        <v>21</v>
      </c>
    </row>
    <row r="519" spans="2:5" ht="20" customHeight="1" x14ac:dyDescent="0.2">
      <c r="B519" s="23" t="s">
        <v>208</v>
      </c>
      <c r="C519" s="154" t="str">
        <f>IF(cluster_wld_domain_chosen&lt;&gt;"MGMT Workload Domain",CONCATENATE(this_instance,"01-w0",wld_domain_number_chosen,"-r07-esx01",".",sample_child_dns_zone),CONCATENATE(this_instance,"01-m01-r07-esx01",".",sample_child_dns_zone))</f>
        <v>sfo01-w01-r07-esx01.sfo.rainpole.io</v>
      </c>
      <c r="D519" s="66"/>
      <c r="E519" s="42"/>
    </row>
    <row r="520" spans="2:5" ht="20" customHeight="1" x14ac:dyDescent="0.2">
      <c r="B520" s="23" t="s">
        <v>210</v>
      </c>
      <c r="C520" s="154" t="str">
        <f>IF(cluster_wld_domain_chosen&lt;&gt;"MGMT Workload Domain",CONCATENATE(this_instance,"01-w0",wld_domain_number_chosen,"-r07-esx02",".",sample_child_dns_zone),CONCATENATE(this_instance,"01-m01-r07-esx02",".",sample_child_dns_zone))</f>
        <v>sfo01-w01-r07-esx02.sfo.rainpole.io</v>
      </c>
      <c r="D520" s="66"/>
      <c r="E520" s="42"/>
    </row>
    <row r="521" spans="2:5" ht="20" customHeight="1" x14ac:dyDescent="0.2">
      <c r="B521" s="23" t="s">
        <v>212</v>
      </c>
      <c r="C521" s="154" t="str">
        <f>IF(cluster_wld_domain_chosen&lt;&gt;"MGMT Workload Domain",CONCATENATE(this_instance,"01-w0",wld_domain_number_chosen,"-r07-esx03",".",sample_child_dns_zone),CONCATENATE(this_instance,"01-m01-r07-esx03",".",sample_child_dns_zone))</f>
        <v>sfo01-w01-r07-esx03.sfo.rainpole.io</v>
      </c>
      <c r="D521" s="66"/>
      <c r="E521" s="42"/>
    </row>
    <row r="522" spans="2:5" ht="20" customHeight="1" x14ac:dyDescent="0.2">
      <c r="B522" s="23" t="s">
        <v>214</v>
      </c>
      <c r="C522" s="154" t="str">
        <f>IF(cluster_wld_domain_chosen&lt;&gt;"MGMT Workload Domain",CONCATENATE(this_instance,"01-w0",wld_domain_number_chosen,"-r07-esx04",".",sample_child_dns_zone),CONCATENATE(this_instance,"01-m01-r07-esx04",".",sample_child_dns_zone))</f>
        <v>sfo01-w01-r07-esx04.sfo.rainpole.io</v>
      </c>
      <c r="D522" s="66"/>
      <c r="E522" s="42"/>
    </row>
    <row r="523" spans="2:5" ht="20" customHeight="1" x14ac:dyDescent="0.2">
      <c r="B523" s="23" t="s">
        <v>216</v>
      </c>
      <c r="C523" s="154" t="str">
        <f>IF(cluster_wld_domain_chosen&lt;&gt;"MGMT Workload Domain",CONCATENATE(this_instance,"01-w0",wld_domain_number_chosen,"-r07-esx05",".",sample_child_dns_zone),CONCATENATE(this_instance,"01-m01-r07-esx05",".",sample_child_dns_zone))</f>
        <v>sfo01-w01-r07-esx05.sfo.rainpole.io</v>
      </c>
      <c r="D523" s="66"/>
      <c r="E523" s="42"/>
    </row>
    <row r="524" spans="2:5" ht="20" customHeight="1" x14ac:dyDescent="0.2">
      <c r="B524" s="23" t="s">
        <v>218</v>
      </c>
      <c r="C524" s="154" t="str">
        <f>IF(cluster_wld_domain_chosen&lt;&gt;"MGMT Workload Domain",CONCATENATE(this_instance,"01-w0",wld_domain_number_chosen,"-r07-esx06",".",sample_child_dns_zone),CONCATENATE(this_instance,"01-m01-r07-esx06",".",sample_child_dns_zone))</f>
        <v>sfo01-w01-r07-esx06.sfo.rainpole.io</v>
      </c>
      <c r="D524" s="66"/>
      <c r="E524" s="42"/>
    </row>
    <row r="525" spans="2:5" ht="20" customHeight="1" x14ac:dyDescent="0.2">
      <c r="B525" s="23" t="s">
        <v>220</v>
      </c>
      <c r="C525" s="154" t="str">
        <f>IF(cluster_wld_domain_chosen&lt;&gt;"MGMT Workload Domain",CONCATENATE(this_instance,"01-w0",wld_domain_number_chosen,"-r07-esx07",".",sample_child_dns_zone),CONCATENATE(this_instance,"01-m01-r07-esx07",".",sample_child_dns_zone))</f>
        <v>sfo01-w01-r07-esx07.sfo.rainpole.io</v>
      </c>
      <c r="D525" s="66"/>
      <c r="E525" s="42"/>
    </row>
    <row r="526" spans="2:5" ht="20" customHeight="1" x14ac:dyDescent="0.2">
      <c r="B526" s="23" t="s">
        <v>222</v>
      </c>
      <c r="C526" s="154" t="str">
        <f>IF(cluster_wld_domain_chosen&lt;&gt;"MGMT Workload Domain",CONCATENATE(this_instance,"01-w0",wld_domain_number_chosen,"-r07-esx08",".",sample_child_dns_zone),CONCATENATE(this_instance,"01-m01-r07-esx08",".",sample_child_dns_zone))</f>
        <v>sfo01-w01-r07-esx08.sfo.rainpole.io</v>
      </c>
      <c r="D526" s="66"/>
      <c r="E526" s="42"/>
    </row>
    <row r="527" spans="2:5" ht="20" customHeight="1" x14ac:dyDescent="0.2">
      <c r="B527" s="23" t="s">
        <v>224</v>
      </c>
      <c r="C527" s="154" t="str">
        <f>IF(cluster_wld_domain_chosen&lt;&gt;"MGMT Workload Domain",CONCATENATE(this_instance,"01-w0",wld_domain_number_chosen,"-r07-esx09",".",sample_child_dns_zone),CONCATENATE(this_instance,"01-m01-r07-esx09",".",sample_child_dns_zone))</f>
        <v>sfo01-w01-r07-esx09.sfo.rainpole.io</v>
      </c>
      <c r="D527" s="66"/>
      <c r="E527" s="42"/>
    </row>
    <row r="528" spans="2:5" ht="20" customHeight="1" x14ac:dyDescent="0.2">
      <c r="B528" s="23" t="s">
        <v>226</v>
      </c>
      <c r="C528" s="154" t="str">
        <f>IF(cluster_wld_domain_chosen&lt;&gt;"MGMT Workload Domain",CONCATENATE(this_instance,"01-w0",wld_domain_number_chosen,"-r07-esx10",".",sample_child_dns_zone),CONCATENATE(this_instance,"01-m01-r07-esx10",".",sample_child_dns_zone))</f>
        <v>sfo01-w01-r07-esx10.sfo.rainpole.io</v>
      </c>
      <c r="D528" s="66"/>
      <c r="E528" s="42"/>
    </row>
    <row r="529" spans="2:5" ht="20" customHeight="1" x14ac:dyDescent="0.2">
      <c r="B529" s="23" t="s">
        <v>228</v>
      </c>
      <c r="C529" s="154" t="str">
        <f>IF(cluster_wld_domain_chosen&lt;&gt;"MGMT Workload Domain",CONCATENATE(this_instance,"01-w0",wld_domain_number_chosen,"-r07-esx11",".",sample_child_dns_zone),CONCATENATE(this_instance,"01-m01-r07-esx11",".",sample_child_dns_zone))</f>
        <v>sfo01-w01-r07-esx11.sfo.rainpole.io</v>
      </c>
      <c r="D529" s="66"/>
      <c r="E529" s="42"/>
    </row>
    <row r="530" spans="2:5" ht="20" customHeight="1" x14ac:dyDescent="0.2">
      <c r="B530" s="23" t="s">
        <v>230</v>
      </c>
      <c r="C530" s="154" t="str">
        <f>IF(cluster_wld_domain_chosen&lt;&gt;"MGMT Workload Domain",CONCATENATE(this_instance,"01-w0",wld_domain_number_chosen,"-r07-esx12",".",sample_child_dns_zone),CONCATENATE(this_instance,"01-m01-r07-esx12",".",sample_child_dns_zone))</f>
        <v>sfo01-w01-r07-esx12.sfo.rainpole.io</v>
      </c>
      <c r="D530" s="66"/>
      <c r="E530" s="42"/>
    </row>
    <row r="531" spans="2:5" ht="20" customHeight="1" x14ac:dyDescent="0.2">
      <c r="B531" s="23" t="s">
        <v>232</v>
      </c>
      <c r="C531" s="154" t="str">
        <f>IF(cluster_wld_domain_chosen&lt;&gt;"MGMT Workload Domain",CONCATENATE(this_instance,"01-w0",wld_domain_number_chosen,"-r07-esx13",".",sample_child_dns_zone),CONCATENATE(this_instance,"01-m01-r07-esx13",".",sample_child_dns_zone))</f>
        <v>sfo01-w01-r07-esx13.sfo.rainpole.io</v>
      </c>
      <c r="D531" s="66"/>
      <c r="E531" s="42"/>
    </row>
    <row r="532" spans="2:5" ht="20" customHeight="1" x14ac:dyDescent="0.2">
      <c r="B532" s="23" t="s">
        <v>234</v>
      </c>
      <c r="C532" s="154" t="str">
        <f>IF(cluster_wld_domain_chosen&lt;&gt;"MGMT Workload Domain",CONCATENATE(this_instance,"01-w0",wld_domain_number_chosen,"-r07-esx14",".",sample_child_dns_zone),CONCATENATE(this_instance,"01-m01-r07-esx14",".",sample_child_dns_zone))</f>
        <v>sfo01-w01-r07-esx14.sfo.rainpole.io</v>
      </c>
      <c r="D532" s="66"/>
      <c r="E532" s="42"/>
    </row>
    <row r="533" spans="2:5" ht="20" customHeight="1" x14ac:dyDescent="0.2">
      <c r="B533" s="23" t="s">
        <v>236</v>
      </c>
      <c r="C533" s="154" t="str">
        <f>IF(cluster_wld_domain_chosen&lt;&gt;"MGMT Workload Domain",CONCATENATE(this_instance,"01-w0",wld_domain_number_chosen,"-r07-esx14",".",sample_child_dns_zone),CONCATENATE(this_instance,"01-m01-r07-esx15",".",sample_child_dns_zone))</f>
        <v>sfo01-w01-r07-esx14.sfo.rainpole.io</v>
      </c>
      <c r="D533" s="66"/>
      <c r="E533" s="42"/>
    </row>
    <row r="534" spans="2:5" ht="20" customHeight="1" x14ac:dyDescent="0.2">
      <c r="B534" s="23" t="s">
        <v>238</v>
      </c>
      <c r="C534" s="154" t="str">
        <f>IF(cluster_wld_domain_chosen&lt;&gt;"MGMT Workload Domain",CONCATENATE(this_instance,"01-w0",wld_domain_number_chosen,"-r07-esx16",".",sample_child_dns_zone),CONCATENATE(this_instance,"01-m01-r07-esx16",".",sample_child_dns_zone))</f>
        <v>sfo01-w01-r07-esx16.sfo.rainpole.io</v>
      </c>
      <c r="D534" s="66"/>
      <c r="E534" s="42"/>
    </row>
    <row r="535" spans="2:5" ht="20" customHeight="1" x14ac:dyDescent="0.2">
      <c r="B535" s="23" t="s">
        <v>257</v>
      </c>
      <c r="C535" s="154" t="s">
        <v>665</v>
      </c>
      <c r="D535" s="8" t="s">
        <v>258</v>
      </c>
      <c r="E535" s="42"/>
    </row>
    <row r="536" spans="2:5" ht="20" customHeight="1" x14ac:dyDescent="0.2">
      <c r="B536" s="23" t="s">
        <v>259</v>
      </c>
      <c r="C536" s="154" t="s">
        <v>260</v>
      </c>
      <c r="D536"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536" s="4"/>
    </row>
    <row r="537" spans="2:5" ht="20" customHeight="1" x14ac:dyDescent="0.2">
      <c r="B537" s="23" t="s">
        <v>261</v>
      </c>
      <c r="C537" s="154" t="s">
        <v>156</v>
      </c>
      <c r="D537" s="8" t="str">
        <f>IF(AND(vcf_granular_option_chosen="Create Cluster",cluster_principal_storage_chosen="vSAN-ESA"),"Selected",
IF(AND(vcf_granular_option_chosen="Create Workload Domain",wld_principal_storage_chosen="vSAN-ESA"),"Selected","Unselected"))</f>
        <v>Unselected</v>
      </c>
      <c r="E537" s="42"/>
    </row>
    <row r="538" spans="2:5" ht="20" customHeight="1" x14ac:dyDescent="0.2">
      <c r="B538" s="23" t="s">
        <v>243</v>
      </c>
      <c r="C538" s="154" t="str">
        <f>sample_wld_az1_rack7_pool_name</f>
        <v>sfo01-w01-r07-network-pool-01</v>
      </c>
      <c r="D538" s="8" t="str">
        <f>wld_az1_rack7_pool_name</f>
        <v>Value Missing</v>
      </c>
      <c r="E538" s="42"/>
    </row>
    <row r="539" spans="2:5" ht="20" customHeight="1" x14ac:dyDescent="0.2">
      <c r="B539" s="23" t="s">
        <v>47</v>
      </c>
      <c r="C539" s="154" t="s">
        <v>262</v>
      </c>
      <c r="D539"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539" s="42"/>
    </row>
    <row r="540" spans="2:5" ht="20" customHeight="1" x14ac:dyDescent="0.2">
      <c r="B540" s="23" t="s">
        <v>30</v>
      </c>
      <c r="C540" s="154" t="s">
        <v>31</v>
      </c>
      <c r="D540" s="8" t="str">
        <f>IF(AND(vcf_granular_option_chosen="Create Cluster",cluster_chosen="Deploy a Multi-Rack Layer 3 Cluster"),cluster_esx_root_password,
IF(AND(vcf_granular_option_chosen="Create Workload Domain",wld_domain_chosen="Deploy Workload Domain with a Multi-Rack Layer 3 Cluster"),wld_esx_root_password,wld_esx_root_password))</f>
        <v>Value Missing</v>
      </c>
      <c r="E540" s="42"/>
    </row>
    <row r="541" spans="2:5" ht="16" customHeight="1" x14ac:dyDescent="0.2"/>
    <row r="542" spans="2:5" ht="34" customHeight="1" x14ac:dyDescent="0.2">
      <c r="B542" s="569" t="s">
        <v>2593</v>
      </c>
      <c r="C542" s="570"/>
      <c r="D542" s="570"/>
      <c r="E542" s="571"/>
    </row>
    <row r="543" spans="2:5" ht="20" customHeight="1" x14ac:dyDescent="0.2">
      <c r="B543" s="4" t="s">
        <v>329</v>
      </c>
      <c r="C543" s="109" t="str">
        <f>IF(vcf_granular_option_chosen="Create Cluster",CONCATENATE(this_instance,"01-",sample_cluster_name,"-r07-network-profile"),
IF(cluster_wld_domain_chosen="Workload Domain",CONCATENATE(this_instance,"01-",sample_wld_cl01_cluster,"-r07-network-profile"),
CONCATENATE(this_instance,"01-",sample_mgmt_cl01_cluster,"-r07-network-profile")))</f>
        <v>sfo01-sfo-w01-cl01-r07-network-profile</v>
      </c>
      <c r="D543" s="66"/>
      <c r="E543" s="103"/>
    </row>
    <row r="544" spans="2:5" ht="20" customHeight="1" x14ac:dyDescent="0.2">
      <c r="B544" s="4" t="s">
        <v>2561</v>
      </c>
      <c r="C544" s="65" t="s">
        <v>331</v>
      </c>
      <c r="D544" s="155" t="s">
        <v>331</v>
      </c>
      <c r="E544" s="4" t="str">
        <f>IF(wld_az1_rack7_host_overlay_new_pool_chosen="Re-use an existing Pool","An exisitng Pool will be reused for Host TEP assignment","A new Pool will be created for Host TEP assignment")</f>
        <v>A new Pool will be created for Host TEP assignment</v>
      </c>
    </row>
    <row r="545" spans="2:5" ht="20" customHeight="1" x14ac:dyDescent="0.2">
      <c r="B545" s="4" t="s">
        <v>332</v>
      </c>
      <c r="C545" s="109" t="str">
        <f>IF(cluster_wld_domain_chosen="Workload Domain",CONCATENATE(this_instance,"01-w0",wld_domain_number_chosen,"-r07-ip-pool01-host"),CONCATENATE(this_instance,"01-m01","-r07-ip-pool01-host"))</f>
        <v>sfo01-w01-r07-ip-pool01-host</v>
      </c>
      <c r="D545" s="66"/>
      <c r="E545" s="103"/>
    </row>
    <row r="546" spans="2:5" ht="20" customHeight="1" x14ac:dyDescent="0.2">
      <c r="B546" s="4" t="s">
        <v>333</v>
      </c>
      <c r="C546" s="109" t="str">
        <f>IF(cluster_wld_domain_chosen="Workload Domain",CONCATENATE(this_instance,"01-w0",wld_domain_number_chosen,"-r07-uplink-profile01"),CONCATENATE(this_instance,"01-m01","-r07-uplink-profile01"))</f>
        <v>sfo01-w01-r07-uplink-profile01</v>
      </c>
      <c r="D546" s="66"/>
      <c r="E546" s="103"/>
    </row>
    <row r="547" spans="2:5" ht="20" customHeight="1" x14ac:dyDescent="0.2">
      <c r="B547" s="4" t="s">
        <v>2562</v>
      </c>
      <c r="C547" s="109" t="str">
        <f>IF(cluster_wld_domain_chosen="Workload Domain",CONCATENATE(this_instance,"01-w0",wld_domain_number_chosen,"-r07-ip-pool02-edge"),CONCATENATE(this_instance,"01-m01","-r07-ip-pool02-edge"))</f>
        <v>sfo01-w01-r07-ip-pool02-edge</v>
      </c>
      <c r="D547" s="66"/>
      <c r="E547" s="103"/>
    </row>
    <row r="548" spans="2:5" ht="20" customHeight="1" x14ac:dyDescent="0.2">
      <c r="B548" s="4" t="s">
        <v>2563</v>
      </c>
      <c r="C548" s="109" t="str">
        <f>IF(cluster_wld_domain_chosen="Workload Domain",CONCATENATE(this_instance,"01-w0",wld_domain_number_chosen,"-r07-ip-pool03-rtep"),CONCATENATE(this_instance,"01-m01","-r07-ip-pool03-rtep"))</f>
        <v>sfo01-w01-r07-ip-pool03-rtep</v>
      </c>
      <c r="D548" s="66"/>
      <c r="E548" s="103"/>
    </row>
    <row r="549" spans="2:5" ht="20" customHeight="1" x14ac:dyDescent="0.2">
      <c r="B549" s="556" t="s">
        <v>728</v>
      </c>
      <c r="C549" s="557"/>
      <c r="D549" s="557"/>
      <c r="E549" s="558"/>
    </row>
    <row r="550" spans="2:5" ht="20" customHeight="1" x14ac:dyDescent="0.2">
      <c r="B550" s="251" t="s">
        <v>254</v>
      </c>
      <c r="C550" s="251" t="s">
        <v>255</v>
      </c>
      <c r="D550" s="283" t="s">
        <v>20</v>
      </c>
      <c r="E550" s="251" t="s">
        <v>21</v>
      </c>
    </row>
    <row r="551" spans="2:5" ht="20" customHeight="1" x14ac:dyDescent="0.2">
      <c r="B551" s="4" t="s">
        <v>1222</v>
      </c>
      <c r="C551" s="103" t="str">
        <f>IF(cluster_wld_domain_chosen&lt;&gt;"MGMT Workload Domain",CONCATENATE(this_instance,"-w0",wld_domain_number_chosen,"-r07","-vsan-fault-domain"),CONCATENATE(this_instance,"-m01","-r07","-vsan-fault-domain"))</f>
        <v>sfo-w01-r07-vsan-fault-domain</v>
      </c>
      <c r="D551" s="66"/>
      <c r="E551" s="8"/>
    </row>
    <row r="552" spans="2:5" ht="16" customHeight="1" x14ac:dyDescent="0.2"/>
    <row r="553" spans="2:5" ht="34" customHeight="1" x14ac:dyDescent="0.2">
      <c r="B553" s="569" t="s">
        <v>2594</v>
      </c>
      <c r="C553" s="570"/>
      <c r="D553" s="570"/>
      <c r="E553" s="571"/>
    </row>
    <row r="554" spans="2:5" ht="20" customHeight="1" x14ac:dyDescent="0.2">
      <c r="B554" s="62" t="s">
        <v>254</v>
      </c>
      <c r="C554" s="62" t="s">
        <v>255</v>
      </c>
      <c r="D554" s="161" t="s">
        <v>20</v>
      </c>
      <c r="E554" s="62" t="s">
        <v>21</v>
      </c>
    </row>
    <row r="555" spans="2:5" ht="20" customHeight="1" x14ac:dyDescent="0.2">
      <c r="B555" s="424" t="s">
        <v>815</v>
      </c>
      <c r="C555" s="425"/>
      <c r="D555" s="425"/>
      <c r="E555" s="426"/>
    </row>
    <row r="556" spans="2:5" ht="20" customHeight="1" x14ac:dyDescent="0.2">
      <c r="B556" s="4" t="s">
        <v>85</v>
      </c>
      <c r="C556" s="65" t="str">
        <f>IF(cluster_wld_domain_chosen&lt;&gt;"MGMT Workload Domain",CONCATENATE(prefix_wld_az1_rack_vlan,"80"),CONCATENATE(prefix_mgmt_az1_vlan,"80"))</f>
        <v>1380</v>
      </c>
      <c r="D556" s="66"/>
      <c r="E556" s="113"/>
    </row>
    <row r="557" spans="2:5" ht="20" customHeight="1" x14ac:dyDescent="0.2">
      <c r="B557" s="4" t="s">
        <v>157</v>
      </c>
      <c r="C557" s="65">
        <v>9000</v>
      </c>
      <c r="D557" s="66"/>
      <c r="E557" s="42"/>
    </row>
    <row r="558" spans="2:5" ht="20" customHeight="1" x14ac:dyDescent="0.2">
      <c r="B558" s="4" t="s">
        <v>183</v>
      </c>
      <c r="C558" s="65" t="str">
        <f>IF(cluster_wld_domain_chosen&lt;&gt;"MGMT Workload Domain",CONCATENATE(prefix_wld_az1_rack_cidr,"80.0"),CONCATENATE(prefix_mgmt_az1_cidr,"80.0"))</f>
        <v>10.13.80.0</v>
      </c>
      <c r="D558" s="66"/>
      <c r="E558" s="42"/>
    </row>
    <row r="559" spans="2:5" ht="20" customHeight="1" x14ac:dyDescent="0.2">
      <c r="B559" s="4" t="s">
        <v>278</v>
      </c>
      <c r="C559" s="65" t="s">
        <v>126</v>
      </c>
      <c r="D559" s="66"/>
      <c r="E559" s="42"/>
    </row>
    <row r="560" spans="2:5" ht="20" customHeight="1" x14ac:dyDescent="0.2">
      <c r="B560" s="4" t="s">
        <v>182</v>
      </c>
      <c r="C560" s="65" t="str">
        <f>IF(cluster_wld_domain_chosen&lt;&gt;"MGMT Workload Domain",CONCATENATE(prefix_wld_az1_rack_cidr,"80.1"),CONCATENATE(prefix_mgmt_az1_cidr,"80.1"))</f>
        <v>10.13.80.1</v>
      </c>
      <c r="D560" s="66"/>
      <c r="E560" s="42"/>
    </row>
    <row r="561" spans="2:5" ht="20" customHeight="1" x14ac:dyDescent="0.2">
      <c r="B561" s="23" t="s">
        <v>248</v>
      </c>
      <c r="C561" s="65" t="str">
        <f>IF(cluster_wld_domain_chosen&lt;&gt;"MGMT Workload Domain",CONCATENATE(prefix_wld_az1_rack_cidr,"80.101"),CONCATENATE(prefix_mgmt_az1_cidr,"80.101"))</f>
        <v>10.13.80.101</v>
      </c>
      <c r="D561" s="66"/>
      <c r="E561" s="121" t="s">
        <v>2595</v>
      </c>
    </row>
    <row r="562" spans="2:5" ht="20" customHeight="1" x14ac:dyDescent="0.2">
      <c r="B562" s="23" t="s">
        <v>249</v>
      </c>
      <c r="C562" s="65" t="str">
        <f>IF(cluster_wld_domain_chosen&lt;&gt;"MGMT Workload Domain",CONCATENATE(prefix_wld_az1_rack_cidr,"80.116"),CONCATENATE(prefix_mgmt_az1_cidr,"80.116"))</f>
        <v>10.13.80.116</v>
      </c>
      <c r="D562" s="66"/>
      <c r="E562" s="121" t="s">
        <v>2596</v>
      </c>
    </row>
    <row r="563" spans="2:5" ht="16" customHeight="1" x14ac:dyDescent="0.2"/>
    <row r="564" spans="2:5" ht="34" customHeight="1" x14ac:dyDescent="0.2">
      <c r="B564" s="569" t="s">
        <v>2597</v>
      </c>
      <c r="C564" s="570"/>
      <c r="D564" s="570"/>
      <c r="E564" s="571"/>
    </row>
    <row r="565" spans="2:5" ht="20" customHeight="1" x14ac:dyDescent="0.2">
      <c r="B565" s="62" t="s">
        <v>254</v>
      </c>
      <c r="C565" s="62" t="s">
        <v>255</v>
      </c>
      <c r="D565" s="161" t="s">
        <v>20</v>
      </c>
      <c r="E565" s="62" t="s">
        <v>21</v>
      </c>
    </row>
    <row r="566" spans="2:5" ht="20" customHeight="1" x14ac:dyDescent="0.2">
      <c r="B566" s="424" t="s">
        <v>206</v>
      </c>
      <c r="C566" s="425"/>
      <c r="D566" s="425"/>
      <c r="E566" s="426"/>
    </row>
    <row r="567" spans="2:5" ht="20" customHeight="1" x14ac:dyDescent="0.2">
      <c r="B567" s="4" t="s">
        <v>85</v>
      </c>
      <c r="C567" s="65" t="str">
        <f>IF(cluster_wld_domain_chosen&lt;&gt;"MGMT Workload Domain",CONCATENATE(prefix_wld_az1_rack_vlan,"88"),CONCATENATE(prefix_mgmt_az1_vlan,"88"))</f>
        <v>1388</v>
      </c>
      <c r="D567" s="66"/>
      <c r="E567" s="113"/>
    </row>
    <row r="568" spans="2:5" ht="20" customHeight="1" x14ac:dyDescent="0.2">
      <c r="B568" s="4" t="s">
        <v>182</v>
      </c>
      <c r="C568" s="65" t="str">
        <f>IF(cluster_wld_domain_chosen&lt;&gt;"MGMT Workload Domain",CONCATENATE(prefix_wld_az1_rack_cidr,"88.1"),CONCATENATE(prefix_mgmt_az1_cidr,"88.1"))</f>
        <v>10.13.88.1</v>
      </c>
      <c r="D568" s="66"/>
      <c r="E568" s="42"/>
    </row>
    <row r="569" spans="2:5" ht="20" customHeight="1" x14ac:dyDescent="0.2">
      <c r="B569" s="4" t="s">
        <v>183</v>
      </c>
      <c r="C569" s="65" t="str">
        <f>IF(cluster_wld_domain_chosen&lt;&gt;"MGMT Workload Domain",CONCATENATE(prefix_wld_az1_rack_cidr,"88.0/24"),CONCATENATE(prefix_mgmt_az1_cidr,"88.0/24"))</f>
        <v>10.13.88.0/24</v>
      </c>
      <c r="D569" s="66"/>
      <c r="E569" s="42"/>
    </row>
    <row r="570" spans="2:5" ht="20" customHeight="1" x14ac:dyDescent="0.2">
      <c r="B570" s="4" t="s">
        <v>157</v>
      </c>
      <c r="C570" s="65">
        <v>1500</v>
      </c>
      <c r="D570" s="66"/>
      <c r="E570" s="42"/>
    </row>
    <row r="571" spans="2:5" ht="20" customHeight="1" x14ac:dyDescent="0.2">
      <c r="B571" s="556" t="s">
        <v>207</v>
      </c>
      <c r="C571" s="557"/>
      <c r="D571" s="557"/>
      <c r="E571" s="558"/>
    </row>
    <row r="572" spans="2:5" ht="20" customHeight="1" x14ac:dyDescent="0.2">
      <c r="B572" s="23" t="s">
        <v>208</v>
      </c>
      <c r="C572" s="154" t="str">
        <f>IF(cluster_wld_domain_chosen&lt;&gt;"MGMT Workload Domain",CONCATENATE(prefix_wld_az1_rack_cidr,"88.101"),CONCATENATE(prefix_mgmt_az1_cidr,"88.101"))</f>
        <v>10.13.88.101</v>
      </c>
      <c r="D572" s="66"/>
      <c r="E572" s="121" t="s">
        <v>209</v>
      </c>
    </row>
    <row r="573" spans="2:5" ht="20" customHeight="1" x14ac:dyDescent="0.2">
      <c r="B573" s="23" t="s">
        <v>210</v>
      </c>
      <c r="C573" s="154" t="str">
        <f>IF(cluster_wld_domain_chosen&lt;&gt;"MGMT Workload Domain",CONCATENATE(prefix_wld_az1_rack_cidr,"88.102"),CONCATENATE(prefix_mgmt_az1_cidr,"88.102"))</f>
        <v>10.13.88.102</v>
      </c>
      <c r="D573" s="66"/>
      <c r="E573" s="121" t="s">
        <v>211</v>
      </c>
    </row>
    <row r="574" spans="2:5" ht="20" customHeight="1" x14ac:dyDescent="0.2">
      <c r="B574" s="23" t="s">
        <v>212</v>
      </c>
      <c r="C574" s="154" t="str">
        <f>IF(cluster_wld_domain_chosen&lt;&gt;"MGMT Workload Domain",CONCATENATE(prefix_wld_az1_rack_cidr,"88.103"),CONCATENATE(prefix_mgmt_az1_cidr,"88.103"))</f>
        <v>10.13.88.103</v>
      </c>
      <c r="D574" s="66"/>
      <c r="E574" s="121" t="s">
        <v>213</v>
      </c>
    </row>
    <row r="575" spans="2:5" ht="20" customHeight="1" x14ac:dyDescent="0.2">
      <c r="B575" s="23" t="s">
        <v>214</v>
      </c>
      <c r="C575" s="154" t="str">
        <f>IF(cluster_wld_domain_chosen&lt;&gt;"MGMT Workload Domain",CONCATENATE(prefix_wld_az1_rack_cidr,"88.104"),CONCATENATE(prefix_mgmt_az1_cidr,"88.104"))</f>
        <v>10.13.88.104</v>
      </c>
      <c r="D575" s="66"/>
      <c r="E575" s="121" t="s">
        <v>215</v>
      </c>
    </row>
    <row r="576" spans="2:5" ht="20" customHeight="1" x14ac:dyDescent="0.2">
      <c r="B576" s="23" t="s">
        <v>216</v>
      </c>
      <c r="C576" s="154" t="str">
        <f>IF(cluster_wld_domain_chosen&lt;&gt;"MGMT Workload Domain",CONCATENATE(prefix_wld_az1_rack_cidr,"88.105"),CONCATENATE(prefix_mgmt_az1_cidr,"88.105"))</f>
        <v>10.13.88.105</v>
      </c>
      <c r="D576" s="66"/>
      <c r="E576" s="121" t="s">
        <v>217</v>
      </c>
    </row>
    <row r="577" spans="2:5" ht="20" customHeight="1" x14ac:dyDescent="0.2">
      <c r="B577" s="23" t="s">
        <v>218</v>
      </c>
      <c r="C577" s="154" t="str">
        <f>IF(cluster_wld_domain_chosen&lt;&gt;"MGMT Workload Domain",CONCATENATE(prefix_wld_az1_rack_cidr,"88.106"),CONCATENATE(prefix_mgmt_az1_cidr,"88.106"))</f>
        <v>10.13.88.106</v>
      </c>
      <c r="D577" s="66"/>
      <c r="E577" s="121" t="s">
        <v>219</v>
      </c>
    </row>
    <row r="578" spans="2:5" ht="20" customHeight="1" x14ac:dyDescent="0.2">
      <c r="B578" s="23" t="s">
        <v>220</v>
      </c>
      <c r="C578" s="154" t="str">
        <f>IF(cluster_wld_domain_chosen&lt;&gt;"MGMT Workload Domain",CONCATENATE(prefix_wld_az1_rack_cidr,"88.107"),CONCATENATE(prefix_mgmt_az1_cidr,"88.107"))</f>
        <v>10.13.88.107</v>
      </c>
      <c r="D578" s="66"/>
      <c r="E578" s="121" t="s">
        <v>221</v>
      </c>
    </row>
    <row r="579" spans="2:5" ht="20" customHeight="1" x14ac:dyDescent="0.2">
      <c r="B579" s="23" t="s">
        <v>222</v>
      </c>
      <c r="C579" s="154" t="str">
        <f>IF(cluster_wld_domain_chosen&lt;&gt;"MGMT Workload Domain",CONCATENATE(prefix_wld_az1_rack_cidr,"88.108"),CONCATENATE(prefix_mgmt_az1_cidr,"88.108"))</f>
        <v>10.13.88.108</v>
      </c>
      <c r="D579" s="66"/>
      <c r="E579" s="121" t="s">
        <v>223</v>
      </c>
    </row>
    <row r="580" spans="2:5" ht="20" customHeight="1" x14ac:dyDescent="0.2">
      <c r="B580" s="23" t="s">
        <v>224</v>
      </c>
      <c r="C580" s="154" t="str">
        <f>IF(cluster_wld_domain_chosen&lt;&gt;"MGMT Workload Domain",CONCATENATE(prefix_wld_az1_rack_cidr,"88.109"),CONCATENATE(prefix_mgmt_az1_cidr,"88.109"))</f>
        <v>10.13.88.109</v>
      </c>
      <c r="D580" s="66"/>
      <c r="E580" s="121" t="s">
        <v>225</v>
      </c>
    </row>
    <row r="581" spans="2:5" ht="20" customHeight="1" x14ac:dyDescent="0.2">
      <c r="B581" s="23" t="s">
        <v>226</v>
      </c>
      <c r="C581" s="154" t="str">
        <f>IF(cluster_wld_domain_chosen&lt;&gt;"MGMT Workload Domain",CONCATENATE(prefix_wld_az1_rack_cidr,"88.110"),CONCATENATE(prefix_mgmt_az1_cidr,"88.110"))</f>
        <v>10.13.88.110</v>
      </c>
      <c r="D581" s="66"/>
      <c r="E581" s="121" t="s">
        <v>227</v>
      </c>
    </row>
    <row r="582" spans="2:5" ht="20" customHeight="1" x14ac:dyDescent="0.2">
      <c r="B582" s="23" t="s">
        <v>228</v>
      </c>
      <c r="C582" s="154" t="str">
        <f>IF(cluster_wld_domain_chosen&lt;&gt;"MGMT Workload Domain",CONCATENATE(prefix_wld_az1_rack_cidr,"88.111"),CONCATENATE(prefix_mgmt_az1_cidr,"88.111"))</f>
        <v>10.13.88.111</v>
      </c>
      <c r="D582" s="66"/>
      <c r="E582" s="121" t="s">
        <v>229</v>
      </c>
    </row>
    <row r="583" spans="2:5" ht="20" customHeight="1" x14ac:dyDescent="0.2">
      <c r="B583" s="23" t="s">
        <v>230</v>
      </c>
      <c r="C583" s="154" t="str">
        <f>IF(cluster_wld_domain_chosen&lt;&gt;"MGMT Workload Domain",CONCATENATE(prefix_wld_az1_rack_cidr,"88.112"),CONCATENATE(prefix_mgmt_az1_cidr,"88.112"))</f>
        <v>10.13.88.112</v>
      </c>
      <c r="D583" s="66"/>
      <c r="E583" s="121" t="s">
        <v>231</v>
      </c>
    </row>
    <row r="584" spans="2:5" ht="20" customHeight="1" x14ac:dyDescent="0.2">
      <c r="B584" s="23" t="s">
        <v>232</v>
      </c>
      <c r="C584" s="154" t="str">
        <f>IF(cluster_wld_domain_chosen&lt;&gt;"MGMT Workload Domain",CONCATENATE(prefix_wld_az1_rack_cidr,"88.113"),CONCATENATE(prefix_mgmt_az1_cidr,"88.113"))</f>
        <v>10.13.88.113</v>
      </c>
      <c r="D584" s="66"/>
      <c r="E584" s="121" t="s">
        <v>233</v>
      </c>
    </row>
    <row r="585" spans="2:5" ht="20" customHeight="1" x14ac:dyDescent="0.2">
      <c r="B585" s="23" t="s">
        <v>234</v>
      </c>
      <c r="C585" s="154" t="str">
        <f>IF(cluster_wld_domain_chosen&lt;&gt;"MGMT Workload Domain",CONCATENATE(prefix_wld_az1_rack_cidr,"88.114"),CONCATENATE(prefix_mgmt_az1_cidr,"88.114"))</f>
        <v>10.13.88.114</v>
      </c>
      <c r="D585" s="66"/>
      <c r="E585" s="121" t="s">
        <v>235</v>
      </c>
    </row>
    <row r="586" spans="2:5" ht="20" customHeight="1" x14ac:dyDescent="0.2">
      <c r="B586" s="23" t="s">
        <v>236</v>
      </c>
      <c r="C586" s="154" t="str">
        <f>IF(cluster_wld_domain_chosen&lt;&gt;"MGMT Workload Domain",CONCATENATE(prefix_wld_az1_rack_cidr,"88.115"),CONCATENATE(prefix_mgmt_az1_cidr,"88.115"))</f>
        <v>10.13.88.115</v>
      </c>
      <c r="D586" s="66"/>
      <c r="E586" s="121" t="s">
        <v>237</v>
      </c>
    </row>
    <row r="587" spans="2:5" ht="20" customHeight="1" x14ac:dyDescent="0.2">
      <c r="B587" s="23" t="s">
        <v>238</v>
      </c>
      <c r="C587" s="154" t="str">
        <f>IF(cluster_wld_domain_chosen&lt;&gt;"MGMT Workload Domain",CONCATENATE(prefix_wld_az1_rack_cidr,"88.116"),CONCATENATE(prefix_mgmt_az1_cidr,"88.116"))</f>
        <v>10.13.88.116</v>
      </c>
      <c r="D587" s="66"/>
      <c r="E587" s="121" t="s">
        <v>239</v>
      </c>
    </row>
    <row r="588" spans="2:5" ht="16" customHeight="1" x14ac:dyDescent="0.2">
      <c r="B588" s="9"/>
      <c r="C588" s="9"/>
      <c r="D588" s="9"/>
      <c r="E588" s="9"/>
    </row>
    <row r="589" spans="2:5" ht="34" customHeight="1" x14ac:dyDescent="0.2">
      <c r="B589" s="569" t="s">
        <v>2598</v>
      </c>
      <c r="C589" s="570"/>
      <c r="D589" s="570"/>
      <c r="E589" s="571"/>
    </row>
    <row r="590" spans="2:5" ht="20" customHeight="1" x14ac:dyDescent="0.2">
      <c r="B590" s="62" t="s">
        <v>254</v>
      </c>
      <c r="C590" s="62" t="s">
        <v>255</v>
      </c>
      <c r="D590" s="161" t="s">
        <v>20</v>
      </c>
      <c r="E590" s="62" t="s">
        <v>21</v>
      </c>
    </row>
    <row r="591" spans="2:5" ht="20" customHeight="1" x14ac:dyDescent="0.2">
      <c r="B591" s="4" t="s">
        <v>2554</v>
      </c>
      <c r="C591" s="65" t="s">
        <v>242</v>
      </c>
      <c r="D591" s="155" t="s">
        <v>242</v>
      </c>
      <c r="E591" s="4" t="str">
        <f>IF(wld_az1_rack7_reuse_vcf_networkpool_chosen="Re-use an existing  VCF Network Pool","An exisiting VCF Network Pool will be reused for Host TEP assignment","A new VCF Network Pool will be created")</f>
        <v>A new VCF Network Pool will be created</v>
      </c>
    </row>
    <row r="592" spans="2:5" ht="20" customHeight="1" x14ac:dyDescent="0.2">
      <c r="B592" s="23" t="s">
        <v>243</v>
      </c>
      <c r="C592" s="109" t="str">
        <f>IF(cluster_wld_domain_chosen="Workload Domain",CONCATENATE(this_instance,"01-w0",wld_domain_number_chosen,"-r08-network-pool-01"),CONCATENATE(this_instance,"01-m01","-r08-network-pool-01"))</f>
        <v>sfo01-w01-r08-network-pool-01</v>
      </c>
      <c r="D592" s="66"/>
      <c r="E592" s="42"/>
    </row>
    <row r="593" spans="2:5" ht="20" customHeight="1" x14ac:dyDescent="0.2">
      <c r="B593" s="424" t="s">
        <v>244</v>
      </c>
      <c r="C593" s="425"/>
      <c r="D593" s="425"/>
      <c r="E593" s="426"/>
    </row>
    <row r="594" spans="2:5" ht="20" customHeight="1" x14ac:dyDescent="0.2">
      <c r="B594" s="4" t="s">
        <v>85</v>
      </c>
      <c r="C594" s="65" t="str">
        <f>IF(cluster_wld_domain_chosen&lt;&gt;"MGMT Workload Domain",CONCATENATE(prefix_wld_az1_rack_vlan,"89"),CONCATENATE(prefix_mgmt_az1_vlan,"89"))</f>
        <v>1389</v>
      </c>
      <c r="D594" s="66"/>
      <c r="E594" s="113"/>
    </row>
    <row r="595" spans="2:5" ht="20" customHeight="1" x14ac:dyDescent="0.2">
      <c r="B595" s="4" t="s">
        <v>157</v>
      </c>
      <c r="C595" s="65">
        <v>9000</v>
      </c>
      <c r="D595" s="66"/>
      <c r="E595" s="42"/>
    </row>
    <row r="596" spans="2:5" ht="20" customHeight="1" x14ac:dyDescent="0.2">
      <c r="B596" s="4" t="s">
        <v>183</v>
      </c>
      <c r="C596" s="154" t="str">
        <f>IF(cluster_wld_domain_chosen&lt;&gt;"MGMT Workload Domain",CONCATENATE(prefix_wld_az1_rack_cidr,"89.0"),CONCATENATE(prefix_mgmt_az1_cidr,"89.0"))</f>
        <v>10.13.89.0</v>
      </c>
      <c r="D596" s="66"/>
      <c r="E596" s="42"/>
    </row>
    <row r="597" spans="2:5" ht="20" customHeight="1" x14ac:dyDescent="0.2">
      <c r="B597" s="4" t="s">
        <v>278</v>
      </c>
      <c r="C597" s="154" t="s">
        <v>126</v>
      </c>
      <c r="D597" s="66"/>
      <c r="E597" s="42"/>
    </row>
    <row r="598" spans="2:5" ht="20" customHeight="1" x14ac:dyDescent="0.2">
      <c r="B598" s="4" t="s">
        <v>182</v>
      </c>
      <c r="C598" s="65" t="str">
        <f>IF(cluster_wld_domain_chosen&lt;&gt;"MGMT Workload Domain",CONCATENATE(prefix_wld_az1_rack_cidr,"89.1"),CONCATENATE(prefix_mgmt_az1_cidr,"89.1"))</f>
        <v>10.13.89.1</v>
      </c>
      <c r="D598" s="66"/>
      <c r="E598" s="42"/>
    </row>
    <row r="599" spans="2:5" ht="20" customHeight="1" x14ac:dyDescent="0.2">
      <c r="B599" s="23" t="s">
        <v>248</v>
      </c>
      <c r="C599" s="65" t="str">
        <f>IF(cluster_wld_domain_chosen&lt;&gt;"MGMT Workload Domain",CONCATENATE(prefix_wld_az1_rack_cidr,"89.101"),CONCATENATE(prefix_mgmt_az1_cidr,"89.101"))</f>
        <v>10.13.89.101</v>
      </c>
      <c r="D599" s="66"/>
      <c r="E599" s="121" t="s">
        <v>2574</v>
      </c>
    </row>
    <row r="600" spans="2:5" ht="20" customHeight="1" x14ac:dyDescent="0.2">
      <c r="B600" s="23" t="s">
        <v>249</v>
      </c>
      <c r="C600" s="65" t="str">
        <f>IF(cluster_wld_domain_chosen&lt;&gt;"MGMT Workload Domain",CONCATENATE(prefix_wld_az1_rack_cidr,"89.116"),CONCATENATE(prefix_mgmt_az1_cidr,"89.116"))</f>
        <v>10.13.89.116</v>
      </c>
      <c r="D600" s="66"/>
      <c r="E600" s="121" t="s">
        <v>2575</v>
      </c>
    </row>
    <row r="601" spans="2:5" ht="20" customHeight="1" x14ac:dyDescent="0.2">
      <c r="B601" s="424" t="s">
        <v>250</v>
      </c>
      <c r="C601" s="425"/>
      <c r="D601" s="425"/>
      <c r="E601" s="426"/>
    </row>
    <row r="602" spans="2:5" ht="20" customHeight="1" x14ac:dyDescent="0.2">
      <c r="B602" s="4" t="s">
        <v>85</v>
      </c>
      <c r="C602" s="65" t="str">
        <f>IF(cluster_wld_domain_chosen&lt;&gt;"MGMT Workload Domain",CONCATENATE(prefix_wld_az1_rack_vlan,"90"),CONCATENATE(prefix_mgmt_az1_vlan,"90"))</f>
        <v>1390</v>
      </c>
      <c r="D602" s="66"/>
      <c r="E602" s="42"/>
    </row>
    <row r="603" spans="2:5" ht="20" customHeight="1" x14ac:dyDescent="0.2">
      <c r="B603" s="4" t="s">
        <v>157</v>
      </c>
      <c r="C603" s="65">
        <v>9000</v>
      </c>
      <c r="D603" s="66"/>
      <c r="E603" s="42"/>
    </row>
    <row r="604" spans="2:5" ht="20" customHeight="1" x14ac:dyDescent="0.2">
      <c r="B604" s="4" t="s">
        <v>183</v>
      </c>
      <c r="C604" s="154" t="str">
        <f>IF(cluster_wld_domain_chosen&lt;&gt;"MGMT Workload Domain",CONCATENATE(prefix_wld_az1_rack_cidr,"90.0"),CONCATENATE(prefix_mgmt_az1_cidr,"90.0"))</f>
        <v>10.13.90.0</v>
      </c>
      <c r="D604" s="66"/>
      <c r="E604" s="80"/>
    </row>
    <row r="605" spans="2:5" ht="20" customHeight="1" x14ac:dyDescent="0.2">
      <c r="B605" s="4" t="s">
        <v>278</v>
      </c>
      <c r="C605" s="154" t="s">
        <v>126</v>
      </c>
      <c r="D605" s="66"/>
      <c r="E605" s="42"/>
    </row>
    <row r="606" spans="2:5" ht="20" customHeight="1" x14ac:dyDescent="0.2">
      <c r="B606" s="4" t="s">
        <v>182</v>
      </c>
      <c r="C606" s="65" t="str">
        <f>IF(cluster_wld_domain_chosen&lt;&gt;"MGMT Workload Domain",CONCATENATE(prefix_wld_az1_rack_cidr,"90.1"),CONCATENATE(prefix_mgmt_az1_cidr,"90.1"))</f>
        <v>10.13.90.1</v>
      </c>
      <c r="D606" s="66"/>
      <c r="E606" s="42" t="str">
        <f>IF(AND(mgmt_stretched_cluster_result="Included",mgmt_dpg_reuse_result="Excluded"),"Stretched L2","")</f>
        <v/>
      </c>
    </row>
    <row r="607" spans="2:5" ht="20" customHeight="1" x14ac:dyDescent="0.2">
      <c r="B607" s="23" t="s">
        <v>248</v>
      </c>
      <c r="C607" s="65" t="str">
        <f>IF(cluster_wld_domain_chosen&lt;&gt;"MGMT Workload Domain",CONCATENATE(prefix_wld_az1_rack_cidr,"90.101"),CONCATENATE(prefix_mgmt_az1_cidr,"90.101"))</f>
        <v>10.13.90.101</v>
      </c>
      <c r="D607" s="66"/>
      <c r="E607" s="121" t="s">
        <v>2599</v>
      </c>
    </row>
    <row r="608" spans="2:5" ht="20" customHeight="1" x14ac:dyDescent="0.2">
      <c r="B608" s="23" t="s">
        <v>249</v>
      </c>
      <c r="C608" s="65" t="str">
        <f>IF(cluster_wld_domain_chosen&lt;&gt;"MGMT Workload Domain",CONCATENATE(prefix_wld_az1_rack_cidr,"90.116"),CONCATENATE(prefix_mgmt_az1_cidr,"90.116"))</f>
        <v>10.13.90.116</v>
      </c>
      <c r="D608" s="66"/>
      <c r="E608" s="121" t="s">
        <v>2600</v>
      </c>
    </row>
    <row r="609" spans="2:5" ht="16" customHeight="1" x14ac:dyDescent="0.2">
      <c r="B609" s="9"/>
      <c r="C609" s="9"/>
      <c r="D609" s="9"/>
      <c r="E609" s="9"/>
    </row>
    <row r="610" spans="2:5" ht="34" customHeight="1" x14ac:dyDescent="0.2">
      <c r="B610" s="569" t="s">
        <v>2601</v>
      </c>
      <c r="C610" s="570"/>
      <c r="D610" s="570"/>
      <c r="E610" s="571"/>
    </row>
    <row r="611" spans="2:5" ht="20" customHeight="1" x14ac:dyDescent="0.2">
      <c r="B611" s="62" t="s">
        <v>254</v>
      </c>
      <c r="C611" s="62" t="s">
        <v>255</v>
      </c>
      <c r="D611" s="161" t="s">
        <v>20</v>
      </c>
      <c r="E611" s="62" t="s">
        <v>21</v>
      </c>
    </row>
    <row r="612" spans="2:5" ht="20" customHeight="1" x14ac:dyDescent="0.2">
      <c r="B612" s="23" t="s">
        <v>208</v>
      </c>
      <c r="C612" s="154" t="str">
        <f>IF(cluster_wld_domain_chosen&lt;&gt;"MGMT Workload Domain",CONCATENATE(this_instance,"01-w0",wld_domain_number_chosen,"-r08-esx01",".",sample_child_dns_zone),CONCATENATE(this_instance,"01-m01-r08-esx01",".",sample_child_dns_zone))</f>
        <v>sfo01-w01-r08-esx01.sfo.rainpole.io</v>
      </c>
      <c r="D612" s="66"/>
      <c r="E612" s="42"/>
    </row>
    <row r="613" spans="2:5" ht="20" customHeight="1" x14ac:dyDescent="0.2">
      <c r="B613" s="23" t="s">
        <v>210</v>
      </c>
      <c r="C613" s="154" t="str">
        <f>IF(cluster_wld_domain_chosen&lt;&gt;"MGMT Workload Domain",CONCATENATE(this_instance,"01-w0",wld_domain_number_chosen,"-r08-esx02",".",sample_child_dns_zone),CONCATENATE(this_instance,"01-m01-r08-esx02",".",sample_child_dns_zone))</f>
        <v>sfo01-w01-r08-esx02.sfo.rainpole.io</v>
      </c>
      <c r="D613" s="66"/>
      <c r="E613" s="42"/>
    </row>
    <row r="614" spans="2:5" ht="20" customHeight="1" x14ac:dyDescent="0.2">
      <c r="B614" s="23" t="s">
        <v>212</v>
      </c>
      <c r="C614" s="154" t="str">
        <f>IF(cluster_wld_domain_chosen&lt;&gt;"MGMT Workload Domain",CONCATENATE(this_instance,"01-w0",wld_domain_number_chosen,"-r08-esx03",".",sample_child_dns_zone),CONCATENATE(this_instance,"01-m01-r08-esx03",".",sample_child_dns_zone))</f>
        <v>sfo01-w01-r08-esx03.sfo.rainpole.io</v>
      </c>
      <c r="D614" s="66"/>
      <c r="E614" s="42"/>
    </row>
    <row r="615" spans="2:5" ht="20" customHeight="1" x14ac:dyDescent="0.2">
      <c r="B615" s="23" t="s">
        <v>214</v>
      </c>
      <c r="C615" s="154" t="str">
        <f>IF(cluster_wld_domain_chosen&lt;&gt;"MGMT Workload Domain",CONCATENATE(this_instance,"01-w0",wld_domain_number_chosen,"-r08-esx04",".",sample_child_dns_zone),CONCATENATE(this_instance,"01-m01-r08-esx04",".",sample_child_dns_zone))</f>
        <v>sfo01-w01-r08-esx04.sfo.rainpole.io</v>
      </c>
      <c r="D615" s="66"/>
      <c r="E615" s="42"/>
    </row>
    <row r="616" spans="2:5" ht="20" customHeight="1" x14ac:dyDescent="0.2">
      <c r="B616" s="23" t="s">
        <v>216</v>
      </c>
      <c r="C616" s="154" t="str">
        <f>IF(cluster_wld_domain_chosen&lt;&gt;"MGMT Workload Domain",CONCATENATE(this_instance,"01-w0",wld_domain_number_chosen,"-r08-esx05",".",sample_child_dns_zone),CONCATENATE(this_instance,"01-m01-r08-esx05",".",sample_child_dns_zone))</f>
        <v>sfo01-w01-r08-esx05.sfo.rainpole.io</v>
      </c>
      <c r="D616" s="66"/>
      <c r="E616" s="42"/>
    </row>
    <row r="617" spans="2:5" ht="20" customHeight="1" x14ac:dyDescent="0.2">
      <c r="B617" s="23" t="s">
        <v>218</v>
      </c>
      <c r="C617" s="154" t="str">
        <f>IF(cluster_wld_domain_chosen&lt;&gt;"MGMT Workload Domain",CONCATENATE(this_instance,"01-w0",wld_domain_number_chosen,"-r08-esx06",".",sample_child_dns_zone),CONCATENATE(this_instance,"01-m01-r08-esx06",".",sample_child_dns_zone))</f>
        <v>sfo01-w01-r08-esx06.sfo.rainpole.io</v>
      </c>
      <c r="D617" s="66"/>
      <c r="E617" s="42"/>
    </row>
    <row r="618" spans="2:5" ht="20" customHeight="1" x14ac:dyDescent="0.2">
      <c r="B618" s="23" t="s">
        <v>220</v>
      </c>
      <c r="C618" s="154" t="str">
        <f>IF(cluster_wld_domain_chosen&lt;&gt;"MGMT Workload Domain",CONCATENATE(this_instance,"01-w0",wld_domain_number_chosen,"-r08-esx07",".",sample_child_dns_zone),CONCATENATE(this_instance,"01-m01-r08-esx07",".",sample_child_dns_zone))</f>
        <v>sfo01-w01-r08-esx07.sfo.rainpole.io</v>
      </c>
      <c r="D618" s="66"/>
      <c r="E618" s="42"/>
    </row>
    <row r="619" spans="2:5" ht="20" customHeight="1" x14ac:dyDescent="0.2">
      <c r="B619" s="23" t="s">
        <v>222</v>
      </c>
      <c r="C619" s="154" t="str">
        <f>IF(cluster_wld_domain_chosen&lt;&gt;"MGMT Workload Domain",CONCATENATE(this_instance,"01-w0",wld_domain_number_chosen,"-r08-esx08",".",sample_child_dns_zone),CONCATENATE(this_instance,"01-m01-r08-esx08",".",sample_child_dns_zone))</f>
        <v>sfo01-w01-r08-esx08.sfo.rainpole.io</v>
      </c>
      <c r="D619" s="66"/>
      <c r="E619" s="42"/>
    </row>
    <row r="620" spans="2:5" ht="20" customHeight="1" x14ac:dyDescent="0.2">
      <c r="B620" s="23" t="s">
        <v>224</v>
      </c>
      <c r="C620" s="154" t="str">
        <f>IF(cluster_wld_domain_chosen&lt;&gt;"MGMT Workload Domain",CONCATENATE(this_instance,"01-w0",wld_domain_number_chosen,"-r08-esx09",".",sample_child_dns_zone),CONCATENATE(this_instance,"01-m01-r08-esx09",".",sample_child_dns_zone))</f>
        <v>sfo01-w01-r08-esx09.sfo.rainpole.io</v>
      </c>
      <c r="D620" s="66"/>
      <c r="E620" s="42"/>
    </row>
    <row r="621" spans="2:5" ht="20" customHeight="1" x14ac:dyDescent="0.2">
      <c r="B621" s="23" t="s">
        <v>226</v>
      </c>
      <c r="C621" s="154" t="str">
        <f>IF(cluster_wld_domain_chosen&lt;&gt;"MGMT Workload Domain",CONCATENATE(this_instance,"01-w0",wld_domain_number_chosen,"-r08-esx10",".",sample_child_dns_zone),CONCATENATE(this_instance,"01-m01-r08-esx10",".",sample_child_dns_zone))</f>
        <v>sfo01-w01-r08-esx10.sfo.rainpole.io</v>
      </c>
      <c r="D621" s="66"/>
      <c r="E621" s="42"/>
    </row>
    <row r="622" spans="2:5" ht="20" customHeight="1" x14ac:dyDescent="0.2">
      <c r="B622" s="23" t="s">
        <v>228</v>
      </c>
      <c r="C622" s="154" t="str">
        <f>IF(cluster_wld_domain_chosen&lt;&gt;"MGMT Workload Domain",CONCATENATE(this_instance,"01-w0",wld_domain_number_chosen,"-r08-esx11",".",sample_child_dns_zone),CONCATENATE(this_instance,"01-m01-r08-esx11",".",sample_child_dns_zone))</f>
        <v>sfo01-w01-r08-esx11.sfo.rainpole.io</v>
      </c>
      <c r="D622" s="66"/>
      <c r="E622" s="42"/>
    </row>
    <row r="623" spans="2:5" ht="20" customHeight="1" x14ac:dyDescent="0.2">
      <c r="B623" s="23" t="s">
        <v>230</v>
      </c>
      <c r="C623" s="154" t="str">
        <f>IF(cluster_wld_domain_chosen&lt;&gt;"MGMT Workload Domain",CONCATENATE(this_instance,"01-w0",wld_domain_number_chosen,"-r08-esx12",".",sample_child_dns_zone),CONCATENATE(this_instance,"01-m01-r08-esx12",".",sample_child_dns_zone))</f>
        <v>sfo01-w01-r08-esx12.sfo.rainpole.io</v>
      </c>
      <c r="D623" s="66"/>
      <c r="E623" s="42"/>
    </row>
    <row r="624" spans="2:5" ht="20" customHeight="1" x14ac:dyDescent="0.2">
      <c r="B624" s="23" t="s">
        <v>232</v>
      </c>
      <c r="C624" s="154" t="str">
        <f>IF(cluster_wld_domain_chosen&lt;&gt;"MGMT Workload Domain",CONCATENATE(this_instance,"01-w0",wld_domain_number_chosen,"-r08-esx13",".",sample_child_dns_zone),CONCATENATE(this_instance,"01-m01-r08-esx13",".",sample_child_dns_zone))</f>
        <v>sfo01-w01-r08-esx13.sfo.rainpole.io</v>
      </c>
      <c r="D624" s="66"/>
      <c r="E624" s="42"/>
    </row>
    <row r="625" spans="2:5" ht="20" customHeight="1" x14ac:dyDescent="0.2">
      <c r="B625" s="23" t="s">
        <v>234</v>
      </c>
      <c r="C625" s="154" t="str">
        <f>IF(cluster_wld_domain_chosen&lt;&gt;"MGMT Workload Domain",CONCATENATE(this_instance,"01-w0",wld_domain_number_chosen,"-r08-esx14",".",sample_child_dns_zone),CONCATENATE(this_instance,"01-m01-r08-esx14",".",sample_child_dns_zone))</f>
        <v>sfo01-w01-r08-esx14.sfo.rainpole.io</v>
      </c>
      <c r="D625" s="66"/>
      <c r="E625" s="42"/>
    </row>
    <row r="626" spans="2:5" ht="20" customHeight="1" x14ac:dyDescent="0.2">
      <c r="B626" s="23" t="s">
        <v>236</v>
      </c>
      <c r="C626" s="154" t="str">
        <f>IF(cluster_wld_domain_chosen&lt;&gt;"MGMT Workload Domain",CONCATENATE(this_instance,"01-w0",wld_domain_number_chosen,"-r08-esx14",".",sample_child_dns_zone),CONCATENATE(this_instance,"01-m01-r08-esx15",".",sample_child_dns_zone))</f>
        <v>sfo01-w01-r08-esx14.sfo.rainpole.io</v>
      </c>
      <c r="D626" s="66"/>
      <c r="E626" s="42"/>
    </row>
    <row r="627" spans="2:5" ht="20" customHeight="1" x14ac:dyDescent="0.2">
      <c r="B627" s="23" t="s">
        <v>238</v>
      </c>
      <c r="C627" s="154" t="str">
        <f>IF(cluster_wld_domain_chosen&lt;&gt;"MGMT Workload Domain",CONCATENATE(this_instance,"01-w0",wld_domain_number_chosen,"-r08-esx16",".",sample_child_dns_zone),CONCATENATE(this_instance,"01-m01-r08-esx16",".",sample_child_dns_zone))</f>
        <v>sfo01-w01-r08-esx16.sfo.rainpole.io</v>
      </c>
      <c r="D627" s="66"/>
      <c r="E627" s="42"/>
    </row>
    <row r="628" spans="2:5" ht="20" customHeight="1" x14ac:dyDescent="0.2">
      <c r="B628" s="23" t="s">
        <v>257</v>
      </c>
      <c r="C628" s="109" t="s">
        <v>665</v>
      </c>
      <c r="D628" s="8" t="s">
        <v>258</v>
      </c>
      <c r="E628" s="42"/>
    </row>
    <row r="629" spans="2:5" ht="20" customHeight="1" x14ac:dyDescent="0.2">
      <c r="B629" s="23" t="s">
        <v>259</v>
      </c>
      <c r="C629" s="109" t="s">
        <v>260</v>
      </c>
      <c r="D629" s="8" t="b">
        <f>IF(vcf_granular_option_chosen="Create Cluster",IF(cluster_principal_storage_chosen="vSAN Compute Cluster","Compute Cluster",IF(OR(cluster_principal_storage_chosen="vSAN-ESA",cluster_principal_storage_chosen="vSAN-OSA"),"vSAN HCI","")),
IF(vcf_granular_option_chosen="Create Workload Domain",IF(wld_principal_storage_chosen="vSAN Compute Cluster","Compute Cluster",IF(OR(wld_principal_storage_chosen="vSAN-ESA",wld_principal_storage_chosen="vSAN-OSA"),"vSAN HCI",""))))</f>
        <v>0</v>
      </c>
      <c r="E629" s="4"/>
    </row>
    <row r="630" spans="2:5" ht="20" customHeight="1" x14ac:dyDescent="0.2">
      <c r="B630" s="23" t="s">
        <v>261</v>
      </c>
      <c r="C630" s="109" t="s">
        <v>156</v>
      </c>
      <c r="D630" s="8" t="str">
        <f>IF(AND(vcf_granular_option_chosen="Create Cluster",cluster_principal_storage_chosen="vSAN-ESA"),"Selected",
IF(AND(vcf_granular_option_chosen="Create Workload Domain",wld_principal_storage_chosen="vSAN-ESA"),"Selected","Unselected"))</f>
        <v>Unselected</v>
      </c>
      <c r="E630" s="42"/>
    </row>
    <row r="631" spans="2:5" ht="20" customHeight="1" x14ac:dyDescent="0.2">
      <c r="B631" s="23" t="s">
        <v>243</v>
      </c>
      <c r="C631" s="109" t="str">
        <f>sample_wld_az1_rack8_pool_name</f>
        <v>sfo01-w01-r08-network-pool-01</v>
      </c>
      <c r="D631" s="8" t="str">
        <f>wld_az1_rack8_pool_name</f>
        <v>Value Missing</v>
      </c>
      <c r="E631" s="42"/>
    </row>
    <row r="632" spans="2:5" ht="20" customHeight="1" x14ac:dyDescent="0.2">
      <c r="B632" s="23" t="s">
        <v>47</v>
      </c>
      <c r="C632" s="109" t="s">
        <v>262</v>
      </c>
      <c r="D632" s="8" t="str">
        <f>IF(AND(vcf_granular_option_chosen="Create Cluster",cluster_chosen="Deploy a Multi-Rack Layer 3 Cluster"),cluster_esx_root_username,
IF(AND(vcf_granular_option_chosen="Create Workload Domain",wld_domain_chosen="Deploy Workload Domain with a Multi-Rack Layer 3 Cluster"),wld_esx_root_username,wld_esx_root_username))</f>
        <v>Value Missing</v>
      </c>
      <c r="E632" s="42"/>
    </row>
    <row r="633" spans="2:5" ht="20" customHeight="1" x14ac:dyDescent="0.2">
      <c r="B633" s="23" t="s">
        <v>30</v>
      </c>
      <c r="C633" s="109" t="s">
        <v>31</v>
      </c>
      <c r="D633" s="8" t="str">
        <f>IF(cluster_chosen="Deploy a Multi-Rack Layer 3 Cluster",cluster_esx_root_password,
IF(wld_domain_chosen="Deploy Workload Domain with a Multi-Rack Layer 3 Cluster",wld_esx_root_password,"Mulitrack deployment type (Cluster/WLD not set"))</f>
        <v>Mulitrack deployment type (Cluster/WLD not set</v>
      </c>
      <c r="E633" s="42"/>
    </row>
    <row r="634" spans="2:5" ht="20" customHeight="1" x14ac:dyDescent="0.2"/>
    <row r="635" spans="2:5" ht="34" customHeight="1" x14ac:dyDescent="0.2">
      <c r="B635" s="569" t="s">
        <v>2602</v>
      </c>
      <c r="C635" s="570"/>
      <c r="D635" s="570"/>
      <c r="E635" s="571"/>
    </row>
    <row r="636" spans="2:5" ht="20" customHeight="1" x14ac:dyDescent="0.2">
      <c r="B636" s="4" t="s">
        <v>329</v>
      </c>
      <c r="C636" s="109" t="str">
        <f>IF(vcf_granular_option_chosen="Create Cluster",CONCATENATE(this_instance,"01-",sample_cluster_name,"-r08-network-profile"),
IF(cluster_wld_domain_chosen="Workload Domain",CONCATENATE(this_instance,"01-",sample_wld_cl01_cluster,"-r08-network-profile"),
CONCATENATE(this_instance,"01-",sample_mgmt_cl01_cluster,"-r08-network-profile")))</f>
        <v>sfo01-sfo-w01-cl01-r08-network-profile</v>
      </c>
      <c r="D636" s="66"/>
      <c r="E636" s="103"/>
    </row>
    <row r="637" spans="2:5" ht="20" customHeight="1" x14ac:dyDescent="0.2">
      <c r="B637" s="4" t="s">
        <v>2561</v>
      </c>
      <c r="C637" s="65" t="s">
        <v>331</v>
      </c>
      <c r="D637" s="155" t="s">
        <v>331</v>
      </c>
      <c r="E637" s="4" t="str">
        <f>IF(wld_az1_rack8_host_overlay_new_pool_chosen="Re-use an existing Pool","An existing Pool will be reused for Host TEP assignment","A new Pool will be created for Host TEP assignment")</f>
        <v>A new Pool will be created for Host TEP assignment</v>
      </c>
    </row>
    <row r="638" spans="2:5" ht="20" customHeight="1" x14ac:dyDescent="0.2">
      <c r="B638" s="4" t="s">
        <v>332</v>
      </c>
      <c r="C638" s="109" t="str">
        <f>IF(cluster_wld_domain_chosen="Workload Domain",CONCATENATE(this_instance,"01-w0",wld_domain_number_chosen,"-r08-ip-pool01-host"),CONCATENATE(this_instance,"01-m01","-r08-ip-pool01-host"))</f>
        <v>sfo01-w01-r08-ip-pool01-host</v>
      </c>
      <c r="D638" s="66"/>
      <c r="E638" s="103"/>
    </row>
    <row r="639" spans="2:5" ht="20" customHeight="1" x14ac:dyDescent="0.2">
      <c r="B639" s="4" t="s">
        <v>333</v>
      </c>
      <c r="C639" s="109" t="str">
        <f>IF(cluster_wld_domain_chosen="Workload Domain",CONCATENATE(this_instance,"01-w0",wld_domain_number_chosen,"-r08-uplink-profile01"),CONCATENATE(this_instance,"01-m01","-r08-uplink-profile01"))</f>
        <v>sfo01-w01-r08-uplink-profile01</v>
      </c>
      <c r="D639" s="66"/>
      <c r="E639" s="103"/>
    </row>
    <row r="640" spans="2:5" ht="20" customHeight="1" x14ac:dyDescent="0.2">
      <c r="B640" s="4" t="s">
        <v>2562</v>
      </c>
      <c r="C640" s="109" t="str">
        <f>IF(cluster_wld_domain_chosen="Workload Domain",CONCATENATE(this_instance,"01-w0",wld_domain_number_chosen,"-r08-ip-pool02-edge"),CONCATENATE(this_instance,"01-m01","-r08-ip-pool02-edge"))</f>
        <v>sfo01-w01-r08-ip-pool02-edge</v>
      </c>
      <c r="D640" s="66"/>
      <c r="E640" s="103"/>
    </row>
    <row r="641" spans="2:5" ht="20" customHeight="1" x14ac:dyDescent="0.2">
      <c r="B641" s="4" t="s">
        <v>2563</v>
      </c>
      <c r="C641" s="109" t="str">
        <f>IF(cluster_wld_domain_chosen="Workload Domain",CONCATENATE(this_instance,"01-w0",wld_domain_number_chosen,"-r08-ip-pool03-rtep"),CONCATENATE(this_instance,"01-m01","-r08-ip-pool03-rtep"))</f>
        <v>sfo01-w01-r08-ip-pool03-rtep</v>
      </c>
      <c r="D641" s="66"/>
      <c r="E641" s="103"/>
    </row>
    <row r="642" spans="2:5" ht="20" customHeight="1" x14ac:dyDescent="0.2">
      <c r="B642" s="424" t="s">
        <v>728</v>
      </c>
      <c r="C642" s="425"/>
      <c r="D642" s="425"/>
      <c r="E642" s="426"/>
    </row>
    <row r="643" spans="2:5" ht="20" customHeight="1" x14ac:dyDescent="0.2">
      <c r="B643" s="251" t="s">
        <v>254</v>
      </c>
      <c r="C643" s="251" t="s">
        <v>255</v>
      </c>
      <c r="D643" s="283" t="s">
        <v>20</v>
      </c>
      <c r="E643" s="251" t="s">
        <v>21</v>
      </c>
    </row>
    <row r="644" spans="2:5" ht="20" customHeight="1" x14ac:dyDescent="0.2">
      <c r="B644" s="4" t="s">
        <v>1222</v>
      </c>
      <c r="C644" s="103" t="str">
        <f>IF(cluster_wld_domain_chosen&lt;&gt;"MGMT Workload Domain",CONCATENATE(this_instance,"-w0",wld_domain_number_chosen,"-r08","-vsan-fault-domain"),CONCATENATE(this_instance,"-m01","-r08","-vsan-fault-domain"))</f>
        <v>sfo-w01-r08-vsan-fault-domain</v>
      </c>
      <c r="D644" s="66"/>
      <c r="E644" s="8"/>
    </row>
    <row r="645" spans="2:5" ht="16" customHeight="1" x14ac:dyDescent="0.2"/>
    <row r="646" spans="2:5" ht="34" customHeight="1" x14ac:dyDescent="0.2">
      <c r="B646" s="569" t="s">
        <v>2603</v>
      </c>
      <c r="C646" s="570"/>
      <c r="D646" s="570"/>
      <c r="E646" s="571"/>
    </row>
    <row r="647" spans="2:5" ht="20" customHeight="1" x14ac:dyDescent="0.2">
      <c r="B647" s="62" t="s">
        <v>254</v>
      </c>
      <c r="C647" s="62" t="s">
        <v>255</v>
      </c>
      <c r="D647" s="161" t="s">
        <v>20</v>
      </c>
      <c r="E647" s="62" t="s">
        <v>21</v>
      </c>
    </row>
    <row r="648" spans="2:5" ht="20" customHeight="1" x14ac:dyDescent="0.2">
      <c r="B648" s="424" t="s">
        <v>815</v>
      </c>
      <c r="C648" s="425"/>
      <c r="D648" s="425"/>
      <c r="E648" s="426"/>
    </row>
    <row r="649" spans="2:5" ht="20" customHeight="1" x14ac:dyDescent="0.2">
      <c r="B649" s="4" t="s">
        <v>85</v>
      </c>
      <c r="C649" s="65" t="str">
        <f>IF(cluster_wld_domain_chosen&lt;&gt;"MGMT Workload Domain",CONCATENATE(prefix_wld_az1_rack_vlan,"91"),CONCATENATE(prefix_mgmt_az1_vlan,"91"))</f>
        <v>1391</v>
      </c>
      <c r="D649" s="66"/>
      <c r="E649" s="113"/>
    </row>
    <row r="650" spans="2:5" ht="20" customHeight="1" x14ac:dyDescent="0.2">
      <c r="B650" s="4" t="s">
        <v>157</v>
      </c>
      <c r="C650" s="65">
        <v>9000</v>
      </c>
      <c r="D650" s="66"/>
      <c r="E650" s="42"/>
    </row>
    <row r="651" spans="2:5" ht="20" customHeight="1" x14ac:dyDescent="0.2">
      <c r="B651" s="4" t="s">
        <v>183</v>
      </c>
      <c r="C651" s="154" t="str">
        <f>IF(cluster_wld_domain_chosen&lt;&gt;"MGMT Workload Domain",CONCATENATE(prefix_wld_az1_rack_cidr,"91.0"),CONCATENATE(prefix_mgmt_az1_cidr,"91.0"))</f>
        <v>10.13.91.0</v>
      </c>
      <c r="D651" s="66"/>
      <c r="E651" s="42"/>
    </row>
    <row r="652" spans="2:5" ht="20" customHeight="1" x14ac:dyDescent="0.2">
      <c r="B652" s="4" t="s">
        <v>278</v>
      </c>
      <c r="C652" s="154" t="s">
        <v>126</v>
      </c>
      <c r="D652" s="66"/>
      <c r="E652" s="42"/>
    </row>
    <row r="653" spans="2:5" ht="20" customHeight="1" x14ac:dyDescent="0.2">
      <c r="B653" s="4" t="s">
        <v>182</v>
      </c>
      <c r="C653" s="65" t="str">
        <f>IF(cluster_wld_domain_chosen&lt;&gt;"MGMT Workload Domain",CONCATENATE(prefix_wld_az1_rack_cidr,"91.1"),CONCATENATE(prefix_mgmt_az1_cidr,"91.1"))</f>
        <v>10.13.91.1</v>
      </c>
      <c r="D653" s="66"/>
      <c r="E653" s="42"/>
    </row>
    <row r="654" spans="2:5" ht="20" customHeight="1" x14ac:dyDescent="0.2">
      <c r="B654" s="23" t="s">
        <v>248</v>
      </c>
      <c r="C654" s="65" t="str">
        <f>IF(cluster_wld_domain_chosen&lt;&gt;"MGMT Workload Domain",CONCATENATE(prefix_wld_az1_rack_cidr,"91.101"),CONCATENATE(prefix_mgmt_az1_cidr,"91.101"))</f>
        <v>10.13.91.101</v>
      </c>
      <c r="D654" s="66"/>
      <c r="E654" s="121" t="s">
        <v>2595</v>
      </c>
    </row>
    <row r="655" spans="2:5" ht="20" customHeight="1" x14ac:dyDescent="0.2">
      <c r="B655" s="23" t="s">
        <v>249</v>
      </c>
      <c r="C655" s="65" t="str">
        <f>IF(cluster_wld_domain_chosen&lt;&gt;"MGMT Workload Domain",CONCATENATE(prefix_wld_az1_rack_cidr,"91.116"),CONCATENATE(prefix_mgmt_az1_cidr,"91.116"))</f>
        <v>10.13.91.116</v>
      </c>
      <c r="D655" s="66"/>
      <c r="E655" s="121" t="s">
        <v>2596</v>
      </c>
    </row>
    <row r="656" spans="2:5" ht="20" customHeight="1" x14ac:dyDescent="0.2"/>
  </sheetData>
  <sheetProtection algorithmName="SHA-512" hashValue="DWGbSd/GZSYc/8BRk5p50cl+QsbBciK/R9uzpaajOu0wtzIKbPYfxQ19m82DWrwR0Vj+sJyjFBN3c3tW15U9bQ==" saltValue="feiVvKXOVBJYIZR48nDIdA==" spinCount="100000" sheet="1" selectLockedCells="1"/>
  <mergeCells count="79">
    <mergeCell ref="B646:E646"/>
    <mergeCell ref="B648:E648"/>
    <mergeCell ref="B88:E88"/>
    <mergeCell ref="B90:E90"/>
    <mergeCell ref="B181:E181"/>
    <mergeCell ref="B183:E183"/>
    <mergeCell ref="B274:E274"/>
    <mergeCell ref="B276:E276"/>
    <mergeCell ref="B367:E367"/>
    <mergeCell ref="B369:E369"/>
    <mergeCell ref="B460:E460"/>
    <mergeCell ref="B462:E462"/>
    <mergeCell ref="B553:E553"/>
    <mergeCell ref="B555:E555"/>
    <mergeCell ref="B601:E601"/>
    <mergeCell ref="B610:E610"/>
    <mergeCell ref="B635:E635"/>
    <mergeCell ref="B642:E642"/>
    <mergeCell ref="B564:E564"/>
    <mergeCell ref="B566:E566"/>
    <mergeCell ref="B571:E571"/>
    <mergeCell ref="B589:E589"/>
    <mergeCell ref="B593:E593"/>
    <mergeCell ref="B508:E508"/>
    <mergeCell ref="B517:E517"/>
    <mergeCell ref="B542:E542"/>
    <mergeCell ref="B549:E549"/>
    <mergeCell ref="B471:E471"/>
    <mergeCell ref="B473:E473"/>
    <mergeCell ref="B478:E478"/>
    <mergeCell ref="B496:E496"/>
    <mergeCell ref="B500:E500"/>
    <mergeCell ref="B415:E415"/>
    <mergeCell ref="B424:E424"/>
    <mergeCell ref="B449:E449"/>
    <mergeCell ref="B456:E456"/>
    <mergeCell ref="B378:E378"/>
    <mergeCell ref="B380:E380"/>
    <mergeCell ref="B385:E385"/>
    <mergeCell ref="B403:E403"/>
    <mergeCell ref="B407:E407"/>
    <mergeCell ref="B363:E363"/>
    <mergeCell ref="B314:E314"/>
    <mergeCell ref="B322:E322"/>
    <mergeCell ref="B331:E331"/>
    <mergeCell ref="B356:E356"/>
    <mergeCell ref="B285:E285"/>
    <mergeCell ref="B287:E287"/>
    <mergeCell ref="B292:E292"/>
    <mergeCell ref="B310:E310"/>
    <mergeCell ref="B35:E35"/>
    <mergeCell ref="B43:E43"/>
    <mergeCell ref="B52:E52"/>
    <mergeCell ref="B106:E106"/>
    <mergeCell ref="B124:E124"/>
    <mergeCell ref="B128:E128"/>
    <mergeCell ref="B136:E136"/>
    <mergeCell ref="B145:E145"/>
    <mergeCell ref="B192:E192"/>
    <mergeCell ref="B194:E194"/>
    <mergeCell ref="B199:E199"/>
    <mergeCell ref="B170:E170"/>
    <mergeCell ref="B2:E2"/>
    <mergeCell ref="B3:E3"/>
    <mergeCell ref="B6:E6"/>
    <mergeCell ref="B8:E8"/>
    <mergeCell ref="B13:E13"/>
    <mergeCell ref="B31:E31"/>
    <mergeCell ref="B84:E84"/>
    <mergeCell ref="B77:E77"/>
    <mergeCell ref="B99:E99"/>
    <mergeCell ref="B101:E101"/>
    <mergeCell ref="B177:E177"/>
    <mergeCell ref="B263:E263"/>
    <mergeCell ref="B270:E270"/>
    <mergeCell ref="B217:E217"/>
    <mergeCell ref="B221:E221"/>
    <mergeCell ref="B229:E229"/>
    <mergeCell ref="B238:E238"/>
  </mergeCells>
  <conditionalFormatting sqref="D9:D12 D14:D29 D33:D34 D36:D42 D44:D50 D54:D75 D78:D83 D86 D91:D97 D102:D105 D107:D122 D126:D127 D129:D135 D137:D143 D147:D168 D171:D176 D179 D184:D190 D195:D198 D200:D215 D219:D220 D222:D228 D230:D236 D240:D261 D264:D269 D272 D277:D283 D288:D291 D293:D308 D312:D313 D315:D321 D323:D329 D333:D354 D357:D362 D365 D370:D376 D381:D384 D386:D401 D405:D406 D408:D414 D416:D422 D426:D447 D450:D455 D458 D463:D469 D474:D477 D479:D494 D498:D499 D501:D507 D509:D515 D519:D540 D543:D548 D551 D556:D562 D567:D570 D572:D587 D591:D592 D594:D600 D602:D608 D612:D633 D636:D641 D644 D649:D655">
    <cfRule type="expression" dxfId="413" priority="26">
      <formula>wld_multirack_result="Excluded"</formula>
    </cfRule>
  </conditionalFormatting>
  <conditionalFormatting sqref="D9:D12 D14:D29 D33:D34 D54:D75 D78:D83 D86 D91:D97 D102:D105 D107:D122 D126:D127 D129:D135 D137:D143 D147:D168 D171:D176 D179 D184:D190 D195:D198 D200:D215 D219:D220 D222:D228 D230:D236 D240:D261 D264:D269 D272 D277:D283 D288:D291 D293:D308 D312:D313 D315:D321 D323:D329 D333:D354 D357:D362 D365 D370:D376 D381:D384 D386:D401 D405:D406 D408:D414 D416:D422 D426:D447 D450:D455 D458 D463:D469 D474:D477 D479:D494 D498:D499 D501:D507 D509:D515 D519:D540 D543:D548 D551 D556:D562 D567:D570 D572:D587 D591:D592 D594:D600 D602:D608 D612:D633 D636:D641 D644 D649:D655 D36:D42 D44:D50">
    <cfRule type="containsBlanks" dxfId="412" priority="1432">
      <formula>LEN(TRIM(D9))=0</formula>
    </cfRule>
  </conditionalFormatting>
  <conditionalFormatting sqref="D9:D12 D14:D29 D33:D34 D54:D75 D78:D83 D86 D91:D97 D102:D105 D107:D122 D126:D127 D129:D135 D137:D143 D147:D168 D171:D176 D179 D184:D190 D195:D198 D200:D215 D219:D220 D222:D228 D230:D236 D240:D261 D264:D269 D272 D277:D283 D288:D291 D293:D308 D312:D313 D315:D321 D323:D329 D333:D354 D357:D362 D365 D370:D376 D381:D384 D386:D401 D405:D406 D408:D414 D416:D422 D426:D447 D450:D455 D458 D463:D469 D474:D477 D479:D494 D498:D499 D501:D507 D509:D515 D519:D540 D543:D548 D551 D556:D562 D567:D570 D572:D587 D591:D592 D594:D600 D602:D608 D612:D633 D636:D641 D644 D649:D655">
    <cfRule type="notContainsBlanks" dxfId="411" priority="1431">
      <formula>LEN(TRIM(D9))&gt;0</formula>
    </cfRule>
  </conditionalFormatting>
  <conditionalFormatting sqref="D15 D55 D108 D148 D201 D241 D294 D334 D387 D427 D480 D520 D573 D613">
    <cfRule type="expression" dxfId="410" priority="27">
      <formula>AND((cluster_compute_hosts_per_rack_chosen&lt;2),(vcf_granular_option_chosen="Create Cluster"))</formula>
    </cfRule>
    <cfRule type="expression" dxfId="409" priority="46">
      <formula>AND((wld_compute_hosts_per_rack_chosen&lt;2),(vcf_granular_option_chosen="Create VI Workload Domain"))</formula>
    </cfRule>
  </conditionalFormatting>
  <conditionalFormatting sqref="D16 D56 D109 D149 D202 D242 D295 D335 D388 D428 D481 D521 D574 D614">
    <cfRule type="expression" dxfId="408" priority="28">
      <formula>AND((cluster_compute_hosts_per_rack_chosen&lt;3),(vcf_granular_option_chosen="Create Cluster"))</formula>
    </cfRule>
    <cfRule type="expression" dxfId="407" priority="47">
      <formula>AND((wld_compute_hosts_per_rack_chosen&lt;3),(vcf_granular_option_chosen="Create VI Workload Domain"))</formula>
    </cfRule>
  </conditionalFormatting>
  <conditionalFormatting sqref="D17 D57 D110 D150 D203 D243 D296 D336 D389 D429 D482 D522 D575 D615">
    <cfRule type="expression" dxfId="406" priority="29">
      <formula>AND((cluster_compute_hosts_per_rack_chosen&lt;4),(vcf_granular_option_chosen="Create Cluster"))</formula>
    </cfRule>
    <cfRule type="expression" dxfId="405" priority="48">
      <formula>AND((wld_compute_hosts_per_rack_chosen&lt;4),(vcf_granular_option_chosen="Create VI Workload Domain"))</formula>
    </cfRule>
  </conditionalFormatting>
  <conditionalFormatting sqref="D18 D58 D111 D151 D204 D244 D297 D337 D390 D430 D483 D523 D576 D616">
    <cfRule type="expression" dxfId="404" priority="30">
      <formula>AND((cluster_compute_hosts_per_rack_chosen&lt;5),(vcf_granular_option_chosen="Create Cluster"))</formula>
    </cfRule>
    <cfRule type="expression" dxfId="403" priority="49">
      <formula>AND((wld_compute_hosts_per_rack_chosen&lt;5),(vcf_granular_option_chosen="Create VI Workload Domain"))</formula>
    </cfRule>
  </conditionalFormatting>
  <conditionalFormatting sqref="D19 D59 D112 D152 D205 D245 D298 D338 D391 D431 D484 D524 D577 D617">
    <cfRule type="expression" dxfId="402" priority="31">
      <formula>AND((cluster_compute_hosts_per_rack_chosen&lt;6),(vcf_granular_option_chosen="Create Cluster"))</formula>
    </cfRule>
    <cfRule type="expression" dxfId="401" priority="50">
      <formula>AND((wld_compute_hosts_per_rack_chosen&lt;6),(vcf_granular_option_chosen="Create VI Workload Domain"))</formula>
    </cfRule>
  </conditionalFormatting>
  <conditionalFormatting sqref="D20 D60 D113 D153 D206 D246 D299 D339 D392 D432 D485 D525 D578 D618">
    <cfRule type="expression" dxfId="400" priority="32">
      <formula>AND((cluster_compute_hosts_per_rack_chosen&lt;7),(vcf_granular_option_chosen="Create Cluster"))</formula>
    </cfRule>
    <cfRule type="expression" dxfId="399" priority="51">
      <formula>AND((wld_compute_hosts_per_rack_chosen&lt;7),(vcf_granular_option_chosen="Create VI Workload Domain"))</formula>
    </cfRule>
  </conditionalFormatting>
  <conditionalFormatting sqref="D21 D61 D114 D154 D207 D247 D300 D340 D393 D433 D486 D526 D579 D619">
    <cfRule type="expression" dxfId="398" priority="33">
      <formula>AND((cluster_compute_hosts_per_rack_chosen&lt;8),(vcf_granular_option_chosen="Create Cluster"))</formula>
    </cfRule>
    <cfRule type="expression" dxfId="397" priority="52">
      <formula>AND((wld_compute_hosts_per_rack_chosen&lt;8),(vcf_granular_option_chosen="Create VI Workload Domain"))</formula>
    </cfRule>
  </conditionalFormatting>
  <conditionalFormatting sqref="D22 D62 D115 D155 D208 D248 D301 D341 D394 D434 D487 D527 D580 D620">
    <cfRule type="expression" dxfId="396" priority="34">
      <formula>AND((cluster_compute_hosts_per_rack_chosen&lt;9),(vcf_granular_option_chosen="Create Cluster"))</formula>
    </cfRule>
    <cfRule type="expression" dxfId="395" priority="53">
      <formula>AND((wld_compute_hosts_per_rack_chosen&lt;9),(vcf_granular_option_chosen="Create VI Workload Domain"))</formula>
    </cfRule>
  </conditionalFormatting>
  <conditionalFormatting sqref="D23 D63 D116 D156 D209 D249 D302 D342 D395 D435 D488 D528 D581 D621">
    <cfRule type="expression" dxfId="394" priority="35">
      <formula>AND((cluster_compute_hosts_per_rack_chosen&lt;10),(vcf_granular_option_chosen="Create Cluster"))</formula>
    </cfRule>
    <cfRule type="expression" dxfId="393" priority="54">
      <formula>AND((wld_compute_hosts_per_rack_chosen&lt;10),(vcf_granular_option_chosen="Create VI Workload Domain"))</formula>
    </cfRule>
  </conditionalFormatting>
  <conditionalFormatting sqref="D24 D64 D117 D157 D210 D250 D303 D343 D396 D436 D489 D529 D582 D622">
    <cfRule type="expression" dxfId="392" priority="36">
      <formula>AND((cluster_compute_hosts_per_rack_chosen&lt;11),(vcf_granular_option_chosen="Create Cluster"))</formula>
    </cfRule>
    <cfRule type="expression" dxfId="391" priority="55">
      <formula>AND((wld_compute_hosts_per_rack_chosen&lt;11),(vcf_granular_option_chosen="Create VI Workload Domain"))</formula>
    </cfRule>
  </conditionalFormatting>
  <conditionalFormatting sqref="D25 D65 D118 D158 D211 D251 D304 D344 D397 D437 D490 D530 D583 D623">
    <cfRule type="expression" dxfId="390" priority="37">
      <formula>AND((cluster_compute_hosts_per_rack_chosen&lt;12),(vcf_granular_option_chosen="Create Cluster"))</formula>
    </cfRule>
    <cfRule type="expression" dxfId="389" priority="56">
      <formula>AND((wld_compute_hosts_per_rack_chosen&lt;12),(vcf_granular_option_chosen="Create VI Workload Domain"))</formula>
    </cfRule>
  </conditionalFormatting>
  <conditionalFormatting sqref="D26 D66 D119 D159 D212 D252 D305 D345 D398 D438 D491 D531 D584 D624">
    <cfRule type="expression" dxfId="388" priority="38">
      <formula>AND((cluster_compute_hosts_per_rack_chosen&lt;13),(vcf_granular_option_chosen="Create Cluster"))</formula>
    </cfRule>
    <cfRule type="expression" dxfId="387" priority="57">
      <formula>AND((wld_compute_hosts_per_rack_chosen&lt;13),(vcf_granular_option_chosen="Create VI Workload Domain"))</formula>
    </cfRule>
  </conditionalFormatting>
  <conditionalFormatting sqref="D27 D67 D120 D160 D213 D253 D306 D346 D399 D439 D492 D532 D585 D625">
    <cfRule type="expression" dxfId="386" priority="39">
      <formula>AND((cluster_compute_hosts_per_rack_chosen&lt;14),(vcf_granular_option_chosen="Create Cluster"))</formula>
    </cfRule>
    <cfRule type="expression" dxfId="385" priority="58">
      <formula>AND((wld_compute_hosts_per_rack_chosen&lt;14),(vcf_granular_option_chosen="Create VI Workload Domain"))</formula>
    </cfRule>
  </conditionalFormatting>
  <conditionalFormatting sqref="D28 D68 D121 D161 D214 D254 D307 D347 D400 D440 D493 D533 D586 D626">
    <cfRule type="expression" dxfId="384" priority="40">
      <formula>AND((cluster_compute_hosts_per_rack_chosen&lt;15),(vcf_granular_option_chosen="Create Cluster"))</formula>
    </cfRule>
    <cfRule type="expression" dxfId="383" priority="59">
      <formula>AND((wld_compute_hosts_per_rack_chosen&lt;15),(vcf_granular_option_chosen="Create VI Workload Domain"))</formula>
    </cfRule>
  </conditionalFormatting>
  <conditionalFormatting sqref="D29 D69 D122 D162 D215 D255 D308 D348 D401 D441 D494 D534 D587 D627">
    <cfRule type="expression" dxfId="382" priority="41">
      <formula>AND((cluster_compute_hosts_per_rack_chosen&lt;16),(vcf_granular_option_chosen="Create Cluster"))</formula>
    </cfRule>
    <cfRule type="expression" dxfId="381" priority="60">
      <formula>AND((wld_compute_hosts_per_rack_chosen&lt;16),(vcf_granular_option_chosen="Create VI Workload Domain"))</formula>
    </cfRule>
  </conditionalFormatting>
  <conditionalFormatting sqref="D36:D42 D44:D50">
    <cfRule type="expression" dxfId="380" priority="7">
      <formula>wld_az1_rack2_reuse_vcf_networkpool_chosen="Re-use an existing VCF Network Pool"</formula>
    </cfRule>
  </conditionalFormatting>
  <conditionalFormatting sqref="D36:D50">
    <cfRule type="notContainsBlanks" dxfId="379" priority="1394">
      <formula>LEN(TRIM(D36))&gt;0</formula>
    </cfRule>
  </conditionalFormatting>
  <conditionalFormatting sqref="D43">
    <cfRule type="expression" dxfId="378" priority="1391">
      <formula>mgmt_domain_existing_vcenter_chosen="Selected"</formula>
    </cfRule>
    <cfRule type="containsBlanks" dxfId="376" priority="1393">
      <formula>LEN(TRIM(D43))=0</formula>
    </cfRule>
  </conditionalFormatting>
  <conditionalFormatting sqref="D91:D97">
    <cfRule type="expression" dxfId="375" priority="14">
      <formula>wld_az1_rack2_host_overlay_new_pool_chosen="Re-use an existing Pool"</formula>
    </cfRule>
  </conditionalFormatting>
  <conditionalFormatting sqref="D129:D135 D137:D143">
    <cfRule type="expression" dxfId="374" priority="6">
      <formula>wld_az1_rack3_reuse_vcf_networkpool_chosen="Re-use an existing VCF Network Pool"</formula>
    </cfRule>
  </conditionalFormatting>
  <conditionalFormatting sqref="D184:D190">
    <cfRule type="expression" dxfId="373" priority="13">
      <formula>wld_az1_rack3_host_overlay_new_pool_chosen="Re-use an existing Pool"</formula>
    </cfRule>
  </conditionalFormatting>
  <conditionalFormatting sqref="D222:D228 D230:D236">
    <cfRule type="expression" dxfId="372" priority="5">
      <formula>wld_az1_rack4_reuse_vcf_networkpool_chosen="Re-use an existing VCF Network Pool"</formula>
    </cfRule>
  </conditionalFormatting>
  <conditionalFormatting sqref="D277:D283">
    <cfRule type="expression" dxfId="371" priority="12">
      <formula>wld_az1_rack3_host_overlay_new_pool_chosen="Re-use an existing Pool"</formula>
    </cfRule>
  </conditionalFormatting>
  <conditionalFormatting sqref="D293:D308 D333:D354 D288:D291 D312:D313 D315:D321 D323:D329 D357:D362 D365 D370:D376">
    <cfRule type="expression" dxfId="370" priority="61">
      <formula>wld_multi_rack_count_chosen&lt;4</formula>
    </cfRule>
  </conditionalFormatting>
  <conditionalFormatting sqref="D315:D321 D323:D329">
    <cfRule type="expression" dxfId="369" priority="4">
      <formula>wld_az1_rack5_reuse_vcf_networkpool_chosen="Re-use an existing VCF Network Pool"</formula>
    </cfRule>
  </conditionalFormatting>
  <conditionalFormatting sqref="D370:D376">
    <cfRule type="expression" dxfId="368" priority="8">
      <formula>wld_az1_rack5_host_overlay_new_pool_chosen="Re-use an existing Pool"</formula>
    </cfRule>
  </conditionalFormatting>
  <conditionalFormatting sqref="D386:D401 D426:D447 D479:D494 D381:D384 D405:D406 D408:D414 D416:D422 D450:D455 D458 D463:D469 D474:D477">
    <cfRule type="expression" dxfId="367" priority="62">
      <formula>wld_multi_rack_count_chosen&lt;5</formula>
    </cfRule>
  </conditionalFormatting>
  <conditionalFormatting sqref="D408:D414 D416:D422">
    <cfRule type="expression" dxfId="366" priority="3">
      <formula>wld_az1_rack6_reuse_vcf_networkpool_chosen="Re-use an existing VCF Network Pool"</formula>
    </cfRule>
  </conditionalFormatting>
  <conditionalFormatting sqref="D463:D469">
    <cfRule type="expression" dxfId="365" priority="9">
      <formula>wld_az1_rack6_host_overlay_new_pool_chosen="Re-use an existing Pool"</formula>
    </cfRule>
  </conditionalFormatting>
  <conditionalFormatting sqref="D479:D494 D519:D540 D572:D587 D474:D477 D498:D507 D509:D515 D543:D548 D551 D556:D562 D567:D570">
    <cfRule type="expression" dxfId="364" priority="68">
      <formula>wld_multi_rack_count_chosen&lt;6</formula>
    </cfRule>
  </conditionalFormatting>
  <conditionalFormatting sqref="D501:D507 D509:D515">
    <cfRule type="expression" dxfId="363" priority="2">
      <formula>wld_az1_rack7_reuse_vcf_networkpool_chosen="Re-use an existing VCF Network Pool"</formula>
    </cfRule>
  </conditionalFormatting>
  <conditionalFormatting sqref="D556:D562">
    <cfRule type="expression" dxfId="362" priority="10">
      <formula>wld_az1_rack7_host_overlay_new_pool_chosen="Re-use an existing Pool"</formula>
    </cfRule>
  </conditionalFormatting>
  <conditionalFormatting sqref="D594:D600 D602:D608">
    <cfRule type="expression" dxfId="360" priority="1">
      <formula>wld_az1_rack8_reuse_vcf_networkpool_chosen="Re-use an existing VCF Network Pool"</formula>
    </cfRule>
  </conditionalFormatting>
  <conditionalFormatting sqref="D612:D633 D591:D600 D602:D608 D636:D641 D644 D649:D655">
    <cfRule type="expression" dxfId="359" priority="69">
      <formula>wld_multi_rack_count_chosen&lt;7</formula>
    </cfRule>
  </conditionalFormatting>
  <conditionalFormatting sqref="D649:D655">
    <cfRule type="expression" dxfId="358" priority="11">
      <formula>wld_az1_rack8_host_overlay_new_pool_chosen="Re-use an existing Pool"</formula>
    </cfRule>
  </conditionalFormatting>
  <conditionalFormatting sqref="E54:E69">
    <cfRule type="expression" dxfId="357" priority="1387">
      <formula>OR((wld_vlcm_model_result="Excluded"),(wld_vlcm_model_chosen="Baselines"))</formula>
    </cfRule>
  </conditionalFormatting>
  <conditionalFormatting sqref="E147:E162">
    <cfRule type="expression" dxfId="356" priority="1343">
      <formula>OR((wld_vlcm_model_result="Excluded"),(wld_vlcm_model_chosen="Baselines"))</formula>
    </cfRule>
  </conditionalFormatting>
  <conditionalFormatting sqref="E240:E255">
    <cfRule type="expression" dxfId="355" priority="1213">
      <formula>OR((wld_vlcm_model_result="Excluded"),(wld_vlcm_model_chosen="Baselines"))</formula>
    </cfRule>
  </conditionalFormatting>
  <conditionalFormatting sqref="E333:E348">
    <cfRule type="expression" dxfId="354" priority="1071">
      <formula>OR((wld_vlcm_model_result="Excluded"),(wld_vlcm_model_chosen="Baselines"))</formula>
    </cfRule>
  </conditionalFormatting>
  <conditionalFormatting sqref="E426:E441">
    <cfRule type="expression" dxfId="353" priority="867">
      <formula>OR((wld_vlcm_model_result="Excluded"),(wld_vlcm_model_chosen="Baselines"))</formula>
    </cfRule>
  </conditionalFormatting>
  <conditionalFormatting sqref="E519:E534">
    <cfRule type="expression" dxfId="352" priority="664">
      <formula>OR((wld_vlcm_model_result="Excluded"),(wld_vlcm_model_chosen="Baselines"))</formula>
    </cfRule>
  </conditionalFormatting>
  <conditionalFormatting sqref="E612:E627">
    <cfRule type="expression" dxfId="351" priority="433">
      <formula>OR((wld_vlcm_model_result="Excluded"),(wld_vlcm_model_chosen="Baselines"))</formula>
    </cfRule>
  </conditionalFormatting>
  <dataValidations count="2">
    <dataValidation type="list" allowBlank="1" showInputMessage="1" showErrorMessage="1" sqref="D79 D172 D265 D358 D451 D544 D637" xr:uid="{989746BE-20D3-B04B-B241-5D8673966251}">
      <formula1>"Re-use an existing Pool,Create New Static IP Pool"</formula1>
    </dataValidation>
    <dataValidation type="list" allowBlank="1" showInputMessage="1" showErrorMessage="1" sqref="D33 D126 D219 D312 D405 D498 D591" xr:uid="{25988990-77E1-0A4B-8C16-FB6FFFFE0B19}">
      <formula1>"Re-use an existing VCF Network Pool,Create a new VCF Network Pool"</formula1>
    </dataValidation>
  </dataValidations>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1392" stopIfTrue="1" operator="containsText" id="{B65623A2-5B9B-B54D-B3DC-68BAF6D50331}">
            <xm:f>NOT(ISERROR(SEARCH("Value Missing",D43)))</xm:f>
            <xm:f>"Value Missing"</xm:f>
            <x14:dxf>
              <font>
                <color rgb="FF0E223A"/>
              </font>
              <fill>
                <patternFill>
                  <bgColor rgb="FFFFBE29"/>
                </patternFill>
              </fill>
            </x14:dxf>
          </x14:cfRule>
          <xm:sqref>D43</xm:sqref>
        </x14:conditionalFormatting>
        <x14:conditionalFormatting xmlns:xm="http://schemas.microsoft.com/office/excel/2006/main">
          <x14:cfRule type="containsText" priority="70" operator="containsText" id="{99B7F492-99A1-FA46-BA20-5FB217EB571B}">
            <xm:f>NOT(ISERROR(SEARCH("Value Missing",D9)))</xm:f>
            <xm:f>"Value Missing"</xm:f>
            <x14:dxf>
              <font>
                <color rgb="FF0E223A"/>
              </font>
              <fill>
                <patternFill>
                  <bgColor rgb="FFFFBE29"/>
                </patternFill>
              </fill>
            </x14:dxf>
          </x14:cfRule>
          <xm:sqref>D591:D592 D594:D600 D602:D608 D612:D633 D636:D641 D644 D649:D655 D474:D477 D479:D494 D498:D499 D501:D507 D509:D515 D519:D540 D543:D548 D551 D556:D562 D567:D570 D572:D587 D381:D384 D386:D401 D405:D406 D408:D414 D416:D422 D426:D447 D450:D455 D458 D463:D469 D288:D291 D293:D308 D312:D313 D315:D321 D323:D329 D333:D354 D357:D362 D365 D370:D376 D14:D29 D54:D75 D107:D122 D147:D168 D200:D215 D240:D261 D9:D12 D33:D34 D36:D42 D44:D50 D78:D83 D86 D91:D97 D102:D105 D126:D127 D129:D135 D137:D143 D171:D176 D179 D184:D190 D195:D198 D219:D220 D222:D228 D230:D236 D264:D269 D272 D277:D283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41579-A873-4E44-8245-E84045B02140}">
  <sheetPr codeName="Sheet25">
    <tabColor theme="8" tint="0.39997558519241921"/>
  </sheetPr>
  <dimension ref="A1:L551"/>
  <sheetViews>
    <sheetView showGridLines="0" zoomScaleNormal="100" workbookViewId="0">
      <pane ySplit="6" topLeftCell="A430" activePane="bottomLeft" state="frozen"/>
      <selection pane="bottomLeft" activeCell="D478" sqref="D478"/>
    </sheetView>
  </sheetViews>
  <sheetFormatPr baseColWidth="10" defaultColWidth="11" defaultRowHeight="16" x14ac:dyDescent="0.2"/>
  <cols>
    <col min="1" max="1" width="2.83203125" style="9" customWidth="1"/>
    <col min="2" max="2" width="79.83203125" style="2" customWidth="1"/>
    <col min="3" max="3" width="70.83203125" style="9" customWidth="1"/>
    <col min="4" max="4" width="70.83203125" style="2" customWidth="1"/>
    <col min="5" max="5" width="83.6640625" style="9" customWidth="1"/>
    <col min="6" max="6" width="24" style="9" bestFit="1" customWidth="1"/>
    <col min="7" max="7" width="10.83203125" style="9" customWidth="1"/>
    <col min="8" max="10" width="11" style="9" customWidth="1"/>
    <col min="11" max="16384" width="11" style="9"/>
  </cols>
  <sheetData>
    <row r="1" spans="1:10" s="2" customFormat="1" ht="16" customHeight="1" x14ac:dyDescent="0.2">
      <c r="A1" s="361"/>
      <c r="F1" s="9"/>
      <c r="G1" s="9"/>
      <c r="H1" s="9"/>
      <c r="I1" s="9"/>
      <c r="J1" s="9"/>
    </row>
    <row r="2" spans="1:10" s="2" customFormat="1" ht="54" customHeight="1" x14ac:dyDescent="0.2">
      <c r="B2" s="655" t="s">
        <v>3985</v>
      </c>
      <c r="C2" s="656"/>
      <c r="D2" s="656"/>
      <c r="E2" s="657"/>
      <c r="F2" s="9"/>
      <c r="G2" s="9"/>
      <c r="H2" s="9"/>
      <c r="I2" s="9"/>
      <c r="J2" s="9"/>
    </row>
    <row r="3" spans="1:10" s="2" customFormat="1" ht="20" customHeight="1" x14ac:dyDescent="0.2">
      <c r="B3" s="658" t="s">
        <v>3986</v>
      </c>
      <c r="C3" s="659"/>
      <c r="D3" s="659"/>
      <c r="E3" s="660"/>
      <c r="F3" s="9"/>
      <c r="G3" s="9"/>
      <c r="H3" s="9"/>
      <c r="I3" s="9"/>
      <c r="J3" s="9"/>
    </row>
    <row r="5" spans="1:10" ht="34" customHeight="1" x14ac:dyDescent="0.2">
      <c r="B5" s="252" t="s">
        <v>2349</v>
      </c>
      <c r="C5" s="252" t="s">
        <v>2604</v>
      </c>
      <c r="D5" s="344"/>
      <c r="E5" s="344"/>
    </row>
    <row r="6" spans="1:10" s="2" customFormat="1" x14ac:dyDescent="0.2">
      <c r="D6" s="11"/>
      <c r="E6" s="3"/>
      <c r="F6" s="3"/>
    </row>
    <row r="7" spans="1:10" ht="16" customHeight="1" x14ac:dyDescent="0.2"/>
    <row r="8" spans="1:10" ht="34" customHeight="1" x14ac:dyDescent="0.2">
      <c r="B8" s="608" t="s">
        <v>2349</v>
      </c>
      <c r="C8" s="609"/>
      <c r="D8" s="609"/>
      <c r="E8" s="609"/>
    </row>
    <row r="10" spans="1:10" ht="30" customHeight="1" x14ac:dyDescent="0.2">
      <c r="B10" s="609" t="s">
        <v>2605</v>
      </c>
      <c r="C10" s="609"/>
      <c r="D10" s="609"/>
      <c r="E10" s="609"/>
    </row>
    <row r="11" spans="1:10" ht="20" customHeight="1" x14ac:dyDescent="0.2">
      <c r="B11" s="601"/>
      <c r="C11" s="601"/>
      <c r="D11" s="601"/>
      <c r="E11" s="601"/>
    </row>
    <row r="12" spans="1:10" ht="20" customHeight="1" x14ac:dyDescent="0.2">
      <c r="B12" s="357" t="s">
        <v>18</v>
      </c>
      <c r="C12" s="358" t="s">
        <v>19</v>
      </c>
      <c r="D12" s="358" t="s">
        <v>20</v>
      </c>
      <c r="E12" s="358" t="s">
        <v>21</v>
      </c>
    </row>
    <row r="13" spans="1:10" ht="20" customHeight="1" x14ac:dyDescent="0.2">
      <c r="B13" s="4" t="s">
        <v>2606</v>
      </c>
      <c r="C13" s="65" t="str">
        <f>CONCATENATE(prefix_portable_component,"-fm01.",sample_vvs_dr_parent_dns_zone)</f>
        <v>flt-fm01.rainpole.io</v>
      </c>
      <c r="D13" s="66"/>
      <c r="E13" s="42"/>
    </row>
    <row r="14" spans="1:10" ht="20" customHeight="1" x14ac:dyDescent="0.2">
      <c r="B14" s="579" t="s">
        <v>2607</v>
      </c>
      <c r="C14" s="580"/>
      <c r="D14" s="580"/>
      <c r="E14" s="581"/>
    </row>
    <row r="15" spans="1:10" ht="20" customHeight="1" x14ac:dyDescent="0.2">
      <c r="B15" s="4" t="s">
        <v>1087</v>
      </c>
      <c r="C15" s="65" t="str">
        <f>CONCATENATE("DNS=",sample_vvs_dr_dns1_ip)</f>
        <v>DNS=10.21.10.4</v>
      </c>
      <c r="D15" s="66"/>
      <c r="E15" s="42"/>
    </row>
    <row r="16" spans="1:10" ht="20" customHeight="1" x14ac:dyDescent="0.2">
      <c r="B16" s="579" t="s">
        <v>2608</v>
      </c>
      <c r="C16" s="580"/>
      <c r="D16" s="580"/>
      <c r="E16" s="581"/>
    </row>
    <row r="17" spans="2:5" ht="20" customHeight="1" x14ac:dyDescent="0.2">
      <c r="B17" s="28" t="s">
        <v>2609</v>
      </c>
      <c r="C17" s="65" t="s">
        <v>1393</v>
      </c>
      <c r="D17" s="66"/>
      <c r="E17" s="42"/>
    </row>
    <row r="18" spans="2:5" ht="16" customHeight="1" x14ac:dyDescent="0.2"/>
    <row r="19" spans="2:5" ht="30" customHeight="1" x14ac:dyDescent="0.2">
      <c r="B19" s="609" t="s">
        <v>2610</v>
      </c>
      <c r="C19" s="609"/>
      <c r="D19" s="609"/>
      <c r="E19" s="609"/>
    </row>
    <row r="20" spans="2:5" ht="20" customHeight="1" x14ac:dyDescent="0.2">
      <c r="B20" s="357" t="s">
        <v>18</v>
      </c>
      <c r="C20" s="358" t="s">
        <v>19</v>
      </c>
      <c r="D20" s="358" t="s">
        <v>20</v>
      </c>
      <c r="E20" s="358" t="s">
        <v>21</v>
      </c>
    </row>
    <row r="21" spans="2:5" ht="20" customHeight="1" x14ac:dyDescent="0.2">
      <c r="B21" s="4" t="s">
        <v>2611</v>
      </c>
      <c r="C21" s="65" t="str">
        <f>CONCATENATE(prefix_portable_component,"-ops01a.",sample_vvs_dr_parent_dns_zone)</f>
        <v>flt-ops01a.rainpole.io</v>
      </c>
      <c r="D21" s="66"/>
      <c r="E21" s="42"/>
    </row>
    <row r="22" spans="2:5" ht="20" customHeight="1" x14ac:dyDescent="0.2">
      <c r="B22" s="4" t="s">
        <v>254</v>
      </c>
      <c r="C22" s="65" t="s">
        <v>2612</v>
      </c>
      <c r="D22" s="66"/>
      <c r="E22" s="42"/>
    </row>
    <row r="23" spans="2:5" ht="20" customHeight="1" x14ac:dyDescent="0.2">
      <c r="B23" s="4" t="s">
        <v>2613</v>
      </c>
      <c r="C23" s="65" t="str">
        <f>CONCATENATE("ntp0",".",other_instance,".",sample_vvs_dr_parent_dns_zone)</f>
        <v>ntp0.lax.rainpole.io</v>
      </c>
      <c r="D23" s="66"/>
      <c r="E23" s="42"/>
    </row>
    <row r="24" spans="2:5" ht="16" customHeight="1" x14ac:dyDescent="0.2"/>
    <row r="25" spans="2:5" ht="30" customHeight="1" x14ac:dyDescent="0.2">
      <c r="B25" s="609" t="s">
        <v>2614</v>
      </c>
      <c r="C25" s="609"/>
      <c r="D25" s="609"/>
      <c r="E25" s="609"/>
    </row>
    <row r="26" spans="2:5" ht="20" customHeight="1" x14ac:dyDescent="0.2">
      <c r="B26" s="601"/>
      <c r="C26" s="601"/>
      <c r="D26" s="601"/>
      <c r="E26" s="601"/>
    </row>
    <row r="27" spans="2:5" ht="20" customHeight="1" x14ac:dyDescent="0.2">
      <c r="B27" s="357" t="s">
        <v>18</v>
      </c>
      <c r="C27" s="358" t="s">
        <v>19</v>
      </c>
      <c r="D27" s="358" t="s">
        <v>20</v>
      </c>
      <c r="E27" s="358" t="s">
        <v>21</v>
      </c>
    </row>
    <row r="28" spans="2:5" ht="20" customHeight="1" x14ac:dyDescent="0.2">
      <c r="B28" s="4" t="s">
        <v>2611</v>
      </c>
      <c r="C28" s="65" t="str">
        <f>sample_vvs_dr_flt_ops_nodea_fqdn</f>
        <v>flt-ops01a.rainpole.io</v>
      </c>
      <c r="D28" s="8" t="str">
        <f>vvs_dr_flt_ops_nodea_fqdn</f>
        <v>Value Missing</v>
      </c>
      <c r="E28" s="42"/>
    </row>
    <row r="29" spans="2:5" ht="20" customHeight="1" x14ac:dyDescent="0.2">
      <c r="B29" s="579" t="s">
        <v>2607</v>
      </c>
      <c r="C29" s="580"/>
      <c r="D29" s="580"/>
      <c r="E29" s="581"/>
    </row>
    <row r="30" spans="2:5" ht="20" customHeight="1" x14ac:dyDescent="0.2">
      <c r="B30" s="4" t="s">
        <v>1087</v>
      </c>
      <c r="C30" s="65" t="str">
        <f>CONCATENATE("DNS=",sample_vvs_dr_dns1_ip)</f>
        <v>DNS=10.21.10.4</v>
      </c>
      <c r="D30" s="8" t="str">
        <f>IF(ISBLANK(D15),"Value Missing",D15)</f>
        <v>Value Missing</v>
      </c>
      <c r="E30" s="42"/>
    </row>
    <row r="31" spans="2:5" ht="20" customHeight="1" x14ac:dyDescent="0.2">
      <c r="B31" s="579" t="s">
        <v>2608</v>
      </c>
      <c r="C31" s="580"/>
      <c r="D31" s="580"/>
      <c r="E31" s="581"/>
    </row>
    <row r="32" spans="2:5" ht="20" customHeight="1" x14ac:dyDescent="0.2">
      <c r="B32" s="28" t="s">
        <v>2609</v>
      </c>
      <c r="C32" s="65" t="str">
        <f>sample_vvs_dr_parent_dns_zone</f>
        <v>rainpole.io</v>
      </c>
      <c r="D32" s="8" t="str">
        <f t="array" ref="D32">vvs_dr_parent_dns_zone</f>
        <v>Value Missing</v>
      </c>
      <c r="E32" s="42"/>
    </row>
    <row r="33" spans="2:5" ht="20" customHeight="1" x14ac:dyDescent="0.2">
      <c r="B33" s="4" t="s">
        <v>1756</v>
      </c>
      <c r="C33" s="65" t="str">
        <f>CONCATENATE(prefix_portable_component,"-ops01b.",sample_vvs_dr_parent_dns_zone)</f>
        <v>flt-ops01b.rainpole.io</v>
      </c>
      <c r="D33" s="66"/>
      <c r="E33" s="42"/>
    </row>
    <row r="34" spans="2:5" ht="20" customHeight="1" x14ac:dyDescent="0.2">
      <c r="B34" s="4" t="s">
        <v>1762</v>
      </c>
      <c r="C34" s="65" t="str">
        <f>CONCATENATE(prefix_portable_component,"-ops01c.",sample_vvs_dr_parent_dns_zone)</f>
        <v>flt-ops01c.rainpole.io</v>
      </c>
      <c r="D34" s="66"/>
      <c r="E34" s="42"/>
    </row>
    <row r="35" spans="2:5" ht="20" customHeight="1" x14ac:dyDescent="0.2">
      <c r="B35" s="4" t="s">
        <v>1766</v>
      </c>
      <c r="C35" s="65" t="str">
        <f>CONCATENATE(prefix_portable_component,"-logs01a",".",sample_vvs_dr_parent_dns_zone)</f>
        <v>flt-logs01a.rainpole.io</v>
      </c>
      <c r="D35" s="66"/>
      <c r="E35" s="42"/>
    </row>
    <row r="36" spans="2:5" ht="20" customHeight="1" x14ac:dyDescent="0.2">
      <c r="B36" s="4" t="s">
        <v>1770</v>
      </c>
      <c r="C36" s="65" t="str">
        <f>CONCATENATE(prefix_portable_component,"-logs01b",".",sample_vvs_dr_parent_dns_zone)</f>
        <v>flt-logs01b.rainpole.io</v>
      </c>
      <c r="D36" s="66"/>
      <c r="E36" s="42"/>
    </row>
    <row r="37" spans="2:5" ht="20" customHeight="1" x14ac:dyDescent="0.2">
      <c r="B37" s="4" t="s">
        <v>1774</v>
      </c>
      <c r="C37" s="65" t="str">
        <f>CONCATENATE(prefix_portable_component,"-logs01c",".",sample_vvs_dr_parent_dns_zone)</f>
        <v>flt-logs01c.rainpole.io</v>
      </c>
      <c r="D37" s="66"/>
      <c r="E37" s="42"/>
    </row>
    <row r="38" spans="2:5" ht="20" customHeight="1" x14ac:dyDescent="0.2">
      <c r="B38" s="4" t="s">
        <v>1778</v>
      </c>
      <c r="C38" s="65" t="str">
        <f>CONCATENATE(prefix_portable_component,"-net01a",".",sample_vvs_dr_parent_dns_zone)</f>
        <v>flt-net01a.rainpole.io</v>
      </c>
      <c r="D38" s="66"/>
      <c r="E38" s="42"/>
    </row>
    <row r="39" spans="2:5" ht="20" customHeight="1" x14ac:dyDescent="0.2">
      <c r="B39" s="4" t="s">
        <v>1783</v>
      </c>
      <c r="C39" s="65" t="str">
        <f>CONCATENATE(prefix_portable_component,"-net01b",".",sample_vvs_dr_parent_dns_zone)</f>
        <v>flt-net01b.rainpole.io</v>
      </c>
      <c r="D39" s="66"/>
      <c r="E39" s="42"/>
    </row>
    <row r="40" spans="2:5" ht="20" customHeight="1" x14ac:dyDescent="0.2">
      <c r="B40" s="4" t="s">
        <v>1788</v>
      </c>
      <c r="C40" s="65" t="str">
        <f>CONCATENATE(prefix_portable_component,"-net01c",".",sample_vvs_dr_parent_dns_zone)</f>
        <v>flt-net01c.rainpole.io</v>
      </c>
      <c r="D40" s="66"/>
      <c r="E40" s="42"/>
    </row>
    <row r="41" spans="2:5" ht="16" customHeight="1" x14ac:dyDescent="0.2"/>
    <row r="42" spans="2:5" ht="30" customHeight="1" x14ac:dyDescent="0.2">
      <c r="B42" s="609" t="s">
        <v>2615</v>
      </c>
      <c r="C42" s="609"/>
      <c r="D42" s="609"/>
      <c r="E42" s="609"/>
    </row>
    <row r="43" spans="2:5" ht="20" customHeight="1" x14ac:dyDescent="0.2">
      <c r="B43" s="601"/>
      <c r="C43" s="601"/>
      <c r="D43" s="601"/>
      <c r="E43" s="601"/>
    </row>
    <row r="44" spans="2:5" ht="20" customHeight="1" x14ac:dyDescent="0.2">
      <c r="B44" s="357" t="s">
        <v>18</v>
      </c>
      <c r="C44" s="358" t="s">
        <v>19</v>
      </c>
      <c r="D44" s="358" t="s">
        <v>20</v>
      </c>
      <c r="E44" s="358" t="s">
        <v>21</v>
      </c>
    </row>
    <row r="45" spans="2:5" ht="20" customHeight="1" x14ac:dyDescent="0.2">
      <c r="B45" s="4" t="s">
        <v>2611</v>
      </c>
      <c r="C45" s="65" t="str">
        <f>sample_vvs_dr_flt_ops_nodea_fqdn</f>
        <v>flt-ops01a.rainpole.io</v>
      </c>
      <c r="D45" s="8" t="str">
        <f>vvs_dr_flt_ops_nodea_fqdn</f>
        <v>Value Missing</v>
      </c>
      <c r="E45" s="42"/>
    </row>
    <row r="46" spans="2:5" ht="20" customHeight="1" x14ac:dyDescent="0.2">
      <c r="B46" s="4" t="s">
        <v>2616</v>
      </c>
      <c r="C46" s="65" t="str">
        <f>sample_vvs_dr_ntp1_server</f>
        <v>ntp0.lax.rainpole.io</v>
      </c>
      <c r="D46" s="8" t="str">
        <f>vvs_dr_ntp1_server</f>
        <v>Value Missing</v>
      </c>
      <c r="E46" s="42"/>
    </row>
    <row r="47" spans="2:5" ht="16" customHeight="1" x14ac:dyDescent="0.2"/>
    <row r="48" spans="2:5" ht="30" customHeight="1" x14ac:dyDescent="0.2">
      <c r="B48" s="609" t="s">
        <v>2617</v>
      </c>
      <c r="C48" s="609"/>
      <c r="D48" s="609"/>
      <c r="E48" s="609"/>
    </row>
    <row r="49" spans="2:5" ht="20" customHeight="1" x14ac:dyDescent="0.2">
      <c r="B49" s="601"/>
      <c r="C49" s="601"/>
      <c r="D49" s="601"/>
      <c r="E49" s="601"/>
    </row>
    <row r="50" spans="2:5" ht="20" customHeight="1" x14ac:dyDescent="0.2">
      <c r="B50" s="357" t="s">
        <v>18</v>
      </c>
      <c r="C50" s="358" t="s">
        <v>19</v>
      </c>
      <c r="D50" s="358" t="s">
        <v>20</v>
      </c>
      <c r="E50" s="358" t="s">
        <v>21</v>
      </c>
    </row>
    <row r="51" spans="2:5" ht="20" customHeight="1" x14ac:dyDescent="0.2">
      <c r="B51" s="4" t="s">
        <v>1766</v>
      </c>
      <c r="C51" s="65" t="str">
        <f>sample_vvs_dr_flt_logs_nodea_fqdn</f>
        <v>flt-logs01a.rainpole.io</v>
      </c>
      <c r="D51" s="8" t="str">
        <f>vvs_dr_flt_logs_nodea_fqdn</f>
        <v>Value Missing</v>
      </c>
      <c r="E51" s="42"/>
    </row>
    <row r="52" spans="2:5" ht="20" customHeight="1" x14ac:dyDescent="0.2">
      <c r="B52" s="4" t="s">
        <v>2616</v>
      </c>
      <c r="C52" s="65" t="str">
        <f>sample_vvs_dr_ntp1_server</f>
        <v>ntp0.lax.rainpole.io</v>
      </c>
      <c r="D52" s="8" t="str">
        <f>vvs_dr_ntp1_server</f>
        <v>Value Missing</v>
      </c>
      <c r="E52" s="42"/>
    </row>
    <row r="53" spans="2:5" ht="20" customHeight="1" x14ac:dyDescent="0.2">
      <c r="B53" s="4" t="s">
        <v>1770</v>
      </c>
      <c r="C53" s="65" t="str">
        <f>sample_vvs_dr_flt_logs_nodeb_fqdn</f>
        <v>flt-logs01b.rainpole.io</v>
      </c>
      <c r="D53" s="8" t="str">
        <f>vvs_dr_flt_logs_nodeb_fqdn</f>
        <v>Value Missing</v>
      </c>
      <c r="E53" s="42"/>
    </row>
    <row r="54" spans="2:5" ht="20" customHeight="1" x14ac:dyDescent="0.2">
      <c r="B54" s="4" t="s">
        <v>1774</v>
      </c>
      <c r="C54" s="65" t="str">
        <f>sample_vvs_dr_flt_logs_nodec_fqdn</f>
        <v>flt-logs01c.rainpole.io</v>
      </c>
      <c r="D54" s="8" t="str">
        <f>vvs_dr_flt_logs_nodec_fqdn</f>
        <v>Value Missing</v>
      </c>
      <c r="E54" s="42"/>
    </row>
    <row r="55" spans="2:5" ht="16" customHeight="1" x14ac:dyDescent="0.2"/>
    <row r="56" spans="2:5" ht="30" customHeight="1" x14ac:dyDescent="0.2">
      <c r="B56" s="609" t="s">
        <v>2618</v>
      </c>
      <c r="C56" s="609"/>
      <c r="D56" s="609"/>
      <c r="E56" s="609"/>
    </row>
    <row r="57" spans="2:5" ht="20" customHeight="1" x14ac:dyDescent="0.2">
      <c r="B57" s="601"/>
      <c r="C57" s="601"/>
      <c r="D57" s="601"/>
      <c r="E57" s="601"/>
    </row>
    <row r="58" spans="2:5" ht="20" customHeight="1" x14ac:dyDescent="0.2">
      <c r="B58" s="357" t="s">
        <v>18</v>
      </c>
      <c r="C58" s="358" t="s">
        <v>19</v>
      </c>
      <c r="D58" s="358" t="s">
        <v>20</v>
      </c>
      <c r="E58" s="358" t="s">
        <v>21</v>
      </c>
    </row>
    <row r="59" spans="2:5" ht="20" customHeight="1" x14ac:dyDescent="0.2">
      <c r="B59" s="4" t="s">
        <v>1778</v>
      </c>
      <c r="C59" s="65" t="str">
        <f>sample_vvs_dr_flt_net_nodea_fqdn</f>
        <v>flt-net01a.rainpole.io</v>
      </c>
      <c r="D59" s="8" t="str">
        <f>vvs_dr_flt_net_nodea_fqdn</f>
        <v>Value Missing</v>
      </c>
      <c r="E59" s="42"/>
    </row>
    <row r="60" spans="2:5" ht="20" customHeight="1" x14ac:dyDescent="0.2">
      <c r="B60" s="4" t="s">
        <v>2616</v>
      </c>
      <c r="C60" s="65" t="str">
        <f>sample_vvs_dr_ntp1_server</f>
        <v>ntp0.lax.rainpole.io</v>
      </c>
      <c r="D60" s="8" t="str">
        <f>vvs_dr_ntp1_server</f>
        <v>Value Missing</v>
      </c>
      <c r="E60" s="42"/>
    </row>
    <row r="61" spans="2:5" ht="20" customHeight="1" x14ac:dyDescent="0.2">
      <c r="B61" s="4" t="s">
        <v>1783</v>
      </c>
      <c r="C61" s="65" t="str">
        <f>sample_vvs_dr_flt_net_nodeb_fqdn</f>
        <v>flt-net01b.rainpole.io</v>
      </c>
      <c r="D61" s="8" t="str">
        <f>vvs_dr_flt_net_nodeb_fqdn</f>
        <v>Value Missing</v>
      </c>
      <c r="E61" s="42"/>
    </row>
    <row r="62" spans="2:5" ht="20" customHeight="1" x14ac:dyDescent="0.2">
      <c r="B62" s="4" t="s">
        <v>1788</v>
      </c>
      <c r="C62" s="65" t="str">
        <f>sample_vvs_dr_flt_net_nodec_fqdn</f>
        <v>flt-net01c.rainpole.io</v>
      </c>
      <c r="D62" s="8" t="str">
        <f>vvs_dr_flt_net_nodec_fqdn</f>
        <v>Value Missing</v>
      </c>
      <c r="E62" s="42"/>
    </row>
    <row r="63" spans="2:5" ht="16" customHeight="1" x14ac:dyDescent="0.2"/>
    <row r="64" spans="2:5" ht="30" customHeight="1" x14ac:dyDescent="0.2">
      <c r="B64" s="609" t="s">
        <v>2619</v>
      </c>
      <c r="C64" s="609"/>
      <c r="D64" s="609"/>
      <c r="E64" s="609"/>
    </row>
    <row r="65" spans="2:5" ht="20" customHeight="1" x14ac:dyDescent="0.2">
      <c r="B65" s="601"/>
      <c r="C65" s="601"/>
      <c r="D65" s="601"/>
      <c r="E65" s="601"/>
    </row>
    <row r="66" spans="2:5" ht="20" customHeight="1" x14ac:dyDescent="0.2">
      <c r="B66" s="357" t="s">
        <v>18</v>
      </c>
      <c r="C66" s="358" t="s">
        <v>19</v>
      </c>
      <c r="D66" s="358" t="s">
        <v>20</v>
      </c>
      <c r="E66" s="358" t="s">
        <v>21</v>
      </c>
    </row>
    <row r="67" spans="2:5" ht="20" customHeight="1" x14ac:dyDescent="0.2">
      <c r="B67" s="4" t="s">
        <v>2620</v>
      </c>
      <c r="C67" s="65" t="str">
        <f>CONCATENATE(prefix_portable_component,"-auto01",".",sample_vvs_dr_parent_dns_zone)</f>
        <v>flt-auto01.rainpole.io</v>
      </c>
      <c r="D67" s="66"/>
      <c r="E67" s="42"/>
    </row>
    <row r="68" spans="2:5" ht="20" customHeight="1" x14ac:dyDescent="0.2">
      <c r="B68" s="4" t="s">
        <v>2621</v>
      </c>
      <c r="C68" s="65" t="s">
        <v>2622</v>
      </c>
      <c r="D68" s="8" t="str">
        <f>C68</f>
        <v>automation</v>
      </c>
      <c r="E68" s="42"/>
    </row>
    <row r="69" spans="2:5" ht="20" customHeight="1" x14ac:dyDescent="0.2">
      <c r="B69" s="4" t="s">
        <v>2623</v>
      </c>
      <c r="C69" s="65" t="str">
        <f>CONCATENATE(prefix_other_region_az1_cidr,"10.4")</f>
        <v>10.21.10.4</v>
      </c>
      <c r="D69" s="66"/>
      <c r="E69" s="42"/>
    </row>
    <row r="70" spans="2:5" ht="20" customHeight="1" x14ac:dyDescent="0.2">
      <c r="B70" s="4" t="s">
        <v>2623</v>
      </c>
      <c r="C70" s="65" t="str">
        <f>CONCATENATE(prefix_other_region_az1_cidr,"10.5")</f>
        <v>10.21.10.5</v>
      </c>
      <c r="D70" s="66"/>
      <c r="E70" s="42"/>
    </row>
    <row r="71" spans="2:5" ht="16" customHeight="1" x14ac:dyDescent="0.2"/>
    <row r="72" spans="2:5" ht="34" customHeight="1" x14ac:dyDescent="0.2">
      <c r="B72" s="609" t="s">
        <v>2624</v>
      </c>
      <c r="C72" s="609"/>
      <c r="D72" s="609"/>
      <c r="E72" s="609"/>
    </row>
    <row r="73" spans="2:5" ht="20" customHeight="1" x14ac:dyDescent="0.2">
      <c r="B73" s="601"/>
      <c r="C73" s="601"/>
      <c r="D73" s="601"/>
      <c r="E73" s="601"/>
    </row>
    <row r="74" spans="2:5" ht="20" customHeight="1" x14ac:dyDescent="0.2">
      <c r="B74" s="357" t="s">
        <v>18</v>
      </c>
      <c r="C74" s="358" t="s">
        <v>19</v>
      </c>
      <c r="D74" s="358" t="s">
        <v>20</v>
      </c>
      <c r="E74" s="358" t="s">
        <v>21</v>
      </c>
    </row>
    <row r="75" spans="2:5" ht="20" customHeight="1" x14ac:dyDescent="0.2">
      <c r="B75" s="4" t="s">
        <v>2625</v>
      </c>
      <c r="C75" s="65" t="str">
        <f>sample_xreg_vra_virtual_fqdn</f>
        <v>flt-auto01.rainpole.io</v>
      </c>
      <c r="D75" s="8" t="str">
        <f>vvs_dr_flt_auto_fqdn</f>
        <v>Value Missing</v>
      </c>
      <c r="E75" s="42"/>
    </row>
    <row r="76" spans="2:5" ht="20" customHeight="1" x14ac:dyDescent="0.2">
      <c r="B76" s="4" t="s">
        <v>2621</v>
      </c>
      <c r="C76" s="65" t="s">
        <v>2622</v>
      </c>
      <c r="D76" s="8" t="str">
        <f>C76</f>
        <v>automation</v>
      </c>
      <c r="E76" s="42"/>
    </row>
    <row r="77" spans="2:5" ht="20" customHeight="1" x14ac:dyDescent="0.2">
      <c r="B77" s="4" t="s">
        <v>2626</v>
      </c>
      <c r="C77" s="65" t="str">
        <f>sample_vvs_dr_ntp1_server</f>
        <v>ntp0.lax.rainpole.io</v>
      </c>
      <c r="D77" s="8" t="str">
        <f>vvs_dr_ntp1_server</f>
        <v>Value Missing</v>
      </c>
      <c r="E77" s="42"/>
    </row>
    <row r="78" spans="2:5" ht="16" customHeight="1" x14ac:dyDescent="0.2"/>
    <row r="79" spans="2:5" ht="30" customHeight="1" x14ac:dyDescent="0.2">
      <c r="B79" s="609" t="s">
        <v>2627</v>
      </c>
      <c r="C79" s="609"/>
      <c r="D79" s="609"/>
      <c r="E79" s="609"/>
    </row>
    <row r="80" spans="2:5" ht="20" customHeight="1" x14ac:dyDescent="0.2">
      <c r="B80" s="601"/>
      <c r="C80" s="601"/>
      <c r="D80" s="601"/>
      <c r="E80" s="601"/>
    </row>
    <row r="81" spans="2:5" ht="20" customHeight="1" x14ac:dyDescent="0.2">
      <c r="B81" s="357" t="s">
        <v>18</v>
      </c>
      <c r="C81" s="358" t="s">
        <v>19</v>
      </c>
      <c r="D81" s="358" t="s">
        <v>20</v>
      </c>
      <c r="E81" s="358" t="s">
        <v>21</v>
      </c>
    </row>
    <row r="82" spans="2:5" ht="20" customHeight="1" x14ac:dyDescent="0.2">
      <c r="B82" s="4" t="s">
        <v>2620</v>
      </c>
      <c r="C82" s="65" t="str">
        <f>sample_vvs_dr_flt_ops_nodea_fqdn</f>
        <v>flt-ops01a.rainpole.io</v>
      </c>
      <c r="D82" s="8" t="str">
        <f>vvs_dr_flt_ops_nodea_fqdn</f>
        <v>Value Missing</v>
      </c>
      <c r="E82" s="42"/>
    </row>
    <row r="83" spans="2:5" ht="20" customHeight="1" x14ac:dyDescent="0.2">
      <c r="B83" s="4" t="s">
        <v>2621</v>
      </c>
      <c r="C83" s="65" t="s">
        <v>2628</v>
      </c>
      <c r="D83" s="8" t="s">
        <v>2628</v>
      </c>
      <c r="E83" s="42"/>
    </row>
    <row r="84" spans="2:5" ht="20" customHeight="1" x14ac:dyDescent="0.2">
      <c r="B84" s="4" t="s">
        <v>2623</v>
      </c>
      <c r="C84" s="65" t="str">
        <f>CONCATENATE(prefix_other_region_az1_cidr,"10.4")</f>
        <v>10.21.10.4</v>
      </c>
      <c r="D84" s="8" t="str">
        <f>vvs_dr_dns1_ip</f>
        <v>Value Missing</v>
      </c>
      <c r="E84" s="42"/>
    </row>
    <row r="85" spans="2:5" ht="20" customHeight="1" x14ac:dyDescent="0.2">
      <c r="B85" s="4" t="s">
        <v>2623</v>
      </c>
      <c r="C85" s="65" t="str">
        <f>sample_vvs_dr_dns2_ip</f>
        <v>10.21.10.5</v>
      </c>
      <c r="D85" s="8" t="str">
        <f t="array" ref="D85">vvs_dr_dns2_ip</f>
        <v>Value Missing</v>
      </c>
      <c r="E85" s="42"/>
    </row>
    <row r="86" spans="2:5" ht="16" customHeight="1" x14ac:dyDescent="0.2"/>
    <row r="87" spans="2:5" ht="34" customHeight="1" x14ac:dyDescent="0.2">
      <c r="B87" s="609" t="s">
        <v>2629</v>
      </c>
      <c r="C87" s="609"/>
      <c r="D87" s="609"/>
      <c r="E87" s="609"/>
    </row>
    <row r="88" spans="2:5" ht="20" customHeight="1" x14ac:dyDescent="0.2">
      <c r="B88" s="601"/>
      <c r="C88" s="601"/>
      <c r="D88" s="601"/>
      <c r="E88" s="601"/>
    </row>
    <row r="89" spans="2:5" ht="20" customHeight="1" x14ac:dyDescent="0.2">
      <c r="B89" s="357" t="s">
        <v>18</v>
      </c>
      <c r="C89" s="358" t="s">
        <v>19</v>
      </c>
      <c r="D89" s="358" t="s">
        <v>20</v>
      </c>
      <c r="E89" s="358" t="s">
        <v>21</v>
      </c>
    </row>
    <row r="90" spans="2:5" ht="20" customHeight="1" x14ac:dyDescent="0.2">
      <c r="B90" s="4" t="s">
        <v>2620</v>
      </c>
      <c r="C90" s="65" t="str">
        <f>sample_vvs_dr_flt_ops_nodea_fqdn</f>
        <v>flt-ops01a.rainpole.io</v>
      </c>
      <c r="D90" s="8" t="str">
        <f>vvs_dr_flt_ops_nodea_fqdn</f>
        <v>Value Missing</v>
      </c>
      <c r="E90" s="42"/>
    </row>
    <row r="91" spans="2:5" ht="20" customHeight="1" x14ac:dyDescent="0.2">
      <c r="B91" s="4" t="s">
        <v>2621</v>
      </c>
      <c r="C91" s="65" t="s">
        <v>2628</v>
      </c>
      <c r="D91" s="8" t="s">
        <v>2628</v>
      </c>
      <c r="E91" s="42"/>
    </row>
    <row r="92" spans="2:5" ht="20" customHeight="1" x14ac:dyDescent="0.2">
      <c r="B92" s="4" t="s">
        <v>2626</v>
      </c>
      <c r="C92" s="65" t="str">
        <f>sample_vvs_dr_ntp1_server</f>
        <v>ntp0.lax.rainpole.io</v>
      </c>
      <c r="D92" s="8" t="str">
        <f>vvs_dr_ntp1_server</f>
        <v>Value Missing</v>
      </c>
      <c r="E92" s="42"/>
    </row>
    <row r="93" spans="2:5" ht="16" customHeight="1" x14ac:dyDescent="0.2"/>
    <row r="94" spans="2:5" ht="34" customHeight="1" x14ac:dyDescent="0.2">
      <c r="B94" s="608" t="s">
        <v>2630</v>
      </c>
      <c r="C94" s="609"/>
      <c r="D94" s="609"/>
      <c r="E94" s="609"/>
    </row>
    <row r="95" spans="2:5" ht="16" customHeight="1" x14ac:dyDescent="0.2"/>
    <row r="96" spans="2:5" ht="34" customHeight="1" x14ac:dyDescent="0.2">
      <c r="B96" s="609" t="s">
        <v>2631</v>
      </c>
      <c r="C96" s="609"/>
      <c r="D96" s="609"/>
      <c r="E96" s="609"/>
    </row>
    <row r="97" spans="2:6" ht="20" customHeight="1" x14ac:dyDescent="0.2">
      <c r="B97" s="601"/>
      <c r="C97" s="601"/>
      <c r="D97" s="601"/>
      <c r="E97" s="601"/>
    </row>
    <row r="98" spans="2:6" ht="20" customHeight="1" x14ac:dyDescent="0.2">
      <c r="B98" s="357" t="s">
        <v>18</v>
      </c>
      <c r="C98" s="358" t="s">
        <v>19</v>
      </c>
      <c r="D98" s="358" t="s">
        <v>20</v>
      </c>
      <c r="E98" s="358" t="s">
        <v>21</v>
      </c>
    </row>
    <row r="99" spans="2:6" ht="20" customHeight="1" x14ac:dyDescent="0.2">
      <c r="B99" s="4" t="s">
        <v>359</v>
      </c>
      <c r="C99" s="65" t="str">
        <f>CONCATENATE(this_instance,"-m01-vc01.",sample_child_dns_zone)</f>
        <v>sfo-m01-vc01.sfo.rainpole.io</v>
      </c>
      <c r="D99" s="66"/>
      <c r="E99" s="42"/>
    </row>
    <row r="100" spans="2:6" ht="20" customHeight="1" x14ac:dyDescent="0.2">
      <c r="B100" s="28" t="s">
        <v>646</v>
      </c>
      <c r="C100" s="65" t="str">
        <f>CONCATENATE(this_instance,"-m01-cl01")</f>
        <v>sfo-m01-cl01</v>
      </c>
      <c r="D100" s="66"/>
      <c r="E100" s="42"/>
    </row>
    <row r="101" spans="2:6" ht="20" customHeight="1" x14ac:dyDescent="0.2">
      <c r="B101" s="28" t="s">
        <v>2470</v>
      </c>
      <c r="C101" s="109" t="str">
        <f>CONCATENATE(this_instance,"-m01-vlr01")</f>
        <v>sfo-m01-vlr01</v>
      </c>
      <c r="D101" s="66"/>
      <c r="E101" s="42"/>
    </row>
    <row r="102" spans="2:6" ht="20" customHeight="1" x14ac:dyDescent="0.2">
      <c r="B102" s="28" t="s">
        <v>2472</v>
      </c>
      <c r="C102" s="65" t="str">
        <f>sample_vvs_dr_mgmt_cl01_cluster</f>
        <v>sfo-m01-cl01</v>
      </c>
      <c r="D102" s="8" t="str">
        <f>vvs_dr_mgmt_cl01_cluster</f>
        <v>Value Missing</v>
      </c>
      <c r="E102" s="42"/>
    </row>
    <row r="103" spans="2:6" ht="20" customHeight="1" x14ac:dyDescent="0.2">
      <c r="B103" s="28" t="s">
        <v>102</v>
      </c>
      <c r="C103" s="65" t="str">
        <f>CONCATENATE(this_instance,"-m01-cl01-ds-vsan01")</f>
        <v>sfo-m01-cl01-ds-vsan01</v>
      </c>
      <c r="D103" s="66"/>
      <c r="E103" s="42"/>
    </row>
    <row r="104" spans="2:6" ht="20" customHeight="1" x14ac:dyDescent="0.2">
      <c r="B104" s="4" t="s">
        <v>2473</v>
      </c>
      <c r="C104" s="65" t="str">
        <f>CONCATENATE(this_instance,"-m01-cl01-vds01-pg-vm-mgmt")</f>
        <v>sfo-m01-cl01-vds01-pg-vm-mgmt</v>
      </c>
      <c r="D104" s="66"/>
      <c r="E104" s="42"/>
    </row>
    <row r="105" spans="2:6" ht="20" customHeight="1" x14ac:dyDescent="0.2">
      <c r="B105" s="4" t="s">
        <v>295</v>
      </c>
      <c r="C105" s="65" t="str">
        <f>CONCATENATE(sample_vvs_mgmt_dr_vlr_hostname,".",sample_child_dns_zone)</f>
        <v>sfo-m01-vlr01.sfo.rainpole.io</v>
      </c>
      <c r="D105" s="66"/>
      <c r="E105" s="42"/>
      <c r="F105" s="2"/>
    </row>
    <row r="106" spans="2:6" ht="20" customHeight="1" x14ac:dyDescent="0.2">
      <c r="B106" s="4" t="s">
        <v>2474</v>
      </c>
      <c r="C106" s="65" t="str">
        <f>sample_mgmt_vrms_root_password</f>
        <v>VMw@re1!</v>
      </c>
      <c r="D106" s="66"/>
      <c r="E106" s="42"/>
    </row>
    <row r="107" spans="2:6" ht="20" customHeight="1" x14ac:dyDescent="0.2">
      <c r="B107" s="28" t="s">
        <v>2475</v>
      </c>
      <c r="C107" s="65" t="str">
        <f>sample_mgmt_vrms_admin_password</f>
        <v>VMw@re1!</v>
      </c>
      <c r="D107" s="66"/>
      <c r="E107" s="42"/>
    </row>
    <row r="108" spans="2:6" ht="20" customHeight="1" x14ac:dyDescent="0.2">
      <c r="B108" s="28" t="s">
        <v>292</v>
      </c>
      <c r="C108" s="65" t="str">
        <f>CONCATENATE("ntp0.",this_instance,".rainpole.io")</f>
        <v>ntp0.sfo.rainpole.io</v>
      </c>
      <c r="D108" s="8"/>
      <c r="E108" s="42"/>
    </row>
    <row r="109" spans="2:6" ht="20" customHeight="1" x14ac:dyDescent="0.2">
      <c r="B109" s="4" t="s">
        <v>247</v>
      </c>
      <c r="C109" s="65" t="str">
        <f>IF(mgmt_dpg_reuse_result="Included",CONCATENATE(prefix_mgmt_az1_cidr,"10.1"),CONCATENATE(prefix_mgmt_az1_cidr,"11.1"))</f>
        <v>10.11.10.1</v>
      </c>
      <c r="D109" s="66"/>
      <c r="E109" s="42"/>
    </row>
    <row r="110" spans="2:6" ht="20" customHeight="1" x14ac:dyDescent="0.2">
      <c r="B110" s="28" t="s">
        <v>563</v>
      </c>
      <c r="C110" s="65" t="str">
        <f>CONCATENATE(this_instance,".rainpole.io")</f>
        <v>sfo.rainpole.io</v>
      </c>
      <c r="D110" s="66"/>
      <c r="E110" s="42"/>
    </row>
    <row r="111" spans="2:6" ht="20" customHeight="1" x14ac:dyDescent="0.2">
      <c r="B111" s="28" t="s">
        <v>2476</v>
      </c>
      <c r="C111" s="65" t="str">
        <f>CONCATENATE(this_instance,".rainpole.io")</f>
        <v>sfo.rainpole.io</v>
      </c>
      <c r="D111" s="66"/>
      <c r="E111" s="42"/>
    </row>
    <row r="112" spans="2:6" ht="20" customHeight="1" x14ac:dyDescent="0.2">
      <c r="B112" s="28" t="s">
        <v>2477</v>
      </c>
      <c r="C112" s="65" t="str">
        <f>CONCATENATE(sample_region_dns1_ip,",",sample_region_dns2_ip)</f>
        <v>10.11.10.4,10.11.10.5</v>
      </c>
      <c r="D112" s="66"/>
      <c r="E112" s="42"/>
    </row>
    <row r="113" spans="2:5" ht="20" customHeight="1" x14ac:dyDescent="0.2">
      <c r="B113" s="28" t="s">
        <v>2478</v>
      </c>
      <c r="C113" s="109" t="str">
        <f>IF(mgmt_dpg_reuse_result="Included",CONCATENATE(prefix_mgmt_az1_cidr,"10.125"),CONCATENATE(prefix_mgmt_az1_cidr,"11.125"))</f>
        <v>10.11.10.125</v>
      </c>
      <c r="D113" s="66"/>
      <c r="E113" s="121" t="s">
        <v>2632</v>
      </c>
    </row>
    <row r="114" spans="2:5" ht="20" customHeight="1" x14ac:dyDescent="0.2">
      <c r="B114" s="28" t="s">
        <v>2479</v>
      </c>
      <c r="C114" s="65">
        <v>24</v>
      </c>
      <c r="D114" s="66"/>
      <c r="E114" s="42"/>
    </row>
    <row r="115" spans="2:5" ht="16" customHeight="1" x14ac:dyDescent="0.2"/>
    <row r="116" spans="2:5" ht="34" customHeight="1" x14ac:dyDescent="0.2">
      <c r="B116" s="609" t="s">
        <v>2633</v>
      </c>
      <c r="C116" s="609"/>
      <c r="D116" s="609"/>
      <c r="E116" s="609"/>
    </row>
    <row r="117" spans="2:5" ht="20" customHeight="1" x14ac:dyDescent="0.2">
      <c r="B117" s="601"/>
      <c r="C117" s="601"/>
      <c r="D117" s="601"/>
      <c r="E117" s="601"/>
    </row>
    <row r="118" spans="2:5" ht="20" customHeight="1" x14ac:dyDescent="0.2">
      <c r="B118" s="357" t="s">
        <v>18</v>
      </c>
      <c r="C118" s="358" t="s">
        <v>19</v>
      </c>
      <c r="D118" s="358" t="s">
        <v>20</v>
      </c>
      <c r="E118" s="358" t="s">
        <v>21</v>
      </c>
    </row>
    <row r="119" spans="2:5" ht="20" customHeight="1" x14ac:dyDescent="0.2">
      <c r="B119" s="4" t="s">
        <v>2481</v>
      </c>
      <c r="C119" s="65" t="str">
        <f>CONCATENATE(sample_vvs_mgmt_dr_vlr_fqdn,":5480")</f>
        <v>sfo-m01-vlr01.sfo.rainpole.io:5480</v>
      </c>
      <c r="D119" s="8" t="str">
        <f>CONCATENATE(vvs_mgmt_dr_vlr_fqdn,":5480")</f>
        <v>Value Missing:5480</v>
      </c>
      <c r="E119" s="42"/>
    </row>
    <row r="120" spans="2:5" ht="20" customHeight="1" x14ac:dyDescent="0.2">
      <c r="B120" s="4" t="s">
        <v>59</v>
      </c>
      <c r="C120" s="106" t="str">
        <f>sample_ca_organization_unit</f>
        <v>Rainpole</v>
      </c>
      <c r="D120" s="66"/>
      <c r="E120" s="42"/>
    </row>
    <row r="121" spans="2:5" ht="20" customHeight="1" x14ac:dyDescent="0.2">
      <c r="B121" s="4" t="s">
        <v>2634</v>
      </c>
      <c r="C121" s="106" t="str">
        <f>sample_ca_organization</f>
        <v>IT</v>
      </c>
      <c r="D121" s="66"/>
      <c r="E121" s="42"/>
    </row>
    <row r="122" spans="2:5" ht="20" customHeight="1" x14ac:dyDescent="0.2">
      <c r="B122" s="4" t="s">
        <v>67</v>
      </c>
      <c r="C122" s="106" t="str">
        <f>sample_ca_locality</f>
        <v>San Francisco</v>
      </c>
      <c r="D122" s="66"/>
      <c r="E122" s="42"/>
    </row>
    <row r="123" spans="2:5" ht="20" customHeight="1" x14ac:dyDescent="0.2">
      <c r="B123" s="4" t="s">
        <v>65</v>
      </c>
      <c r="C123" s="106" t="str">
        <f>sample_ca_state</f>
        <v>CA</v>
      </c>
      <c r="D123" s="66"/>
      <c r="E123" s="42"/>
    </row>
    <row r="124" spans="2:5" ht="20" customHeight="1" x14ac:dyDescent="0.2">
      <c r="B124" s="4" t="s">
        <v>63</v>
      </c>
      <c r="C124" s="106" t="str">
        <f>sample_ca_country</f>
        <v>US</v>
      </c>
      <c r="D124" s="66"/>
      <c r="E124" s="42"/>
    </row>
    <row r="125" spans="2:5" ht="20" customHeight="1" x14ac:dyDescent="0.2">
      <c r="B125" s="4" t="s">
        <v>39</v>
      </c>
      <c r="C125" s="106" t="str">
        <f>sample_vvs_mgmt_dr_vlr_fqdn</f>
        <v>sfo-m01-vlr01.sfo.rainpole.io</v>
      </c>
      <c r="D125" s="8" t="str">
        <f>vvs_mgmt_dr_vlr_fqdn</f>
        <v>Value Missing</v>
      </c>
      <c r="E125" s="42"/>
    </row>
    <row r="126" spans="2:5" ht="20" customHeight="1" x14ac:dyDescent="0.2">
      <c r="B126" s="4" t="s">
        <v>2635</v>
      </c>
      <c r="C126" s="106" t="str">
        <f>sample_mgmt_vrms_mgmt_ip</f>
        <v>10.11.10.125</v>
      </c>
      <c r="D126" s="8" t="str">
        <f>mgmt_vrms_mgmt_ip</f>
        <v>Value Missing</v>
      </c>
      <c r="E126" s="42"/>
    </row>
    <row r="127" spans="2:5" ht="20" customHeight="1" x14ac:dyDescent="0.2">
      <c r="B127" s="4" t="s">
        <v>2636</v>
      </c>
      <c r="C127" s="65" t="s">
        <v>2637</v>
      </c>
      <c r="D127" s="66"/>
      <c r="E127" s="42"/>
    </row>
    <row r="128" spans="2:5" ht="16" customHeight="1" x14ac:dyDescent="0.2"/>
    <row r="129" spans="2:5" ht="34" customHeight="1" x14ac:dyDescent="0.2">
      <c r="B129" s="609" t="s">
        <v>2638</v>
      </c>
      <c r="C129" s="609"/>
      <c r="D129" s="609"/>
      <c r="E129" s="609"/>
    </row>
    <row r="130" spans="2:5" ht="20" customHeight="1" x14ac:dyDescent="0.2">
      <c r="B130" s="601"/>
      <c r="C130" s="601"/>
      <c r="D130" s="601"/>
      <c r="E130" s="601"/>
    </row>
    <row r="131" spans="2:5" ht="20" customHeight="1" x14ac:dyDescent="0.2">
      <c r="B131" s="357" t="s">
        <v>18</v>
      </c>
      <c r="C131" s="358" t="s">
        <v>19</v>
      </c>
      <c r="D131" s="358" t="s">
        <v>20</v>
      </c>
      <c r="E131" s="358" t="s">
        <v>21</v>
      </c>
    </row>
    <row r="132" spans="2:5" ht="20" customHeight="1" x14ac:dyDescent="0.2">
      <c r="B132" s="28" t="s">
        <v>2639</v>
      </c>
      <c r="C132" s="65" t="str">
        <f>sample_vvs_dr_mgmt_vc_fqdn</f>
        <v>sfo-m01-vc01.sfo.rainpole.io</v>
      </c>
      <c r="D132" s="8" t="str">
        <f>vvs_dr_mgmt_vc_fqdn</f>
        <v>Value Missing</v>
      </c>
      <c r="E132" s="42"/>
    </row>
    <row r="133" spans="2:5" ht="20" customHeight="1" x14ac:dyDescent="0.2">
      <c r="B133" s="28" t="s">
        <v>2351</v>
      </c>
      <c r="C133" s="65" t="s">
        <v>2640</v>
      </c>
      <c r="D133" s="66"/>
      <c r="E133" s="42"/>
    </row>
    <row r="134" spans="2:5" ht="20" customHeight="1" x14ac:dyDescent="0.2">
      <c r="B134" s="28" t="s">
        <v>2641</v>
      </c>
      <c r="C134" s="65" t="str">
        <f>IF(mgmt_domain_chosen="First Instance","svc_sfo-m01-vlr01_sfo-m01-vc01","svc_lax-m01-vlr01_lax-m01-vc01")</f>
        <v>svc_sfo-m01-vlr01_sfo-m01-vc01</v>
      </c>
      <c r="D134" s="66"/>
      <c r="E134" s="42"/>
    </row>
    <row r="135" spans="2:5" ht="20" customHeight="1" x14ac:dyDescent="0.2">
      <c r="B135" s="28" t="s">
        <v>2642</v>
      </c>
      <c r="C135" s="65" t="s">
        <v>31</v>
      </c>
      <c r="D135" s="66"/>
      <c r="E135" s="42"/>
    </row>
    <row r="136" spans="2:5" ht="16" customHeight="1" x14ac:dyDescent="0.2"/>
    <row r="137" spans="2:5" ht="34" customHeight="1" x14ac:dyDescent="0.2">
      <c r="B137" s="609" t="s">
        <v>2643</v>
      </c>
      <c r="C137" s="609"/>
      <c r="D137" s="609"/>
      <c r="E137" s="609"/>
    </row>
    <row r="138" spans="2:5" ht="20" customHeight="1" x14ac:dyDescent="0.2">
      <c r="B138" s="601"/>
      <c r="C138" s="601"/>
      <c r="D138" s="601"/>
      <c r="E138" s="601"/>
    </row>
    <row r="139" spans="2:5" ht="20" customHeight="1" x14ac:dyDescent="0.2">
      <c r="B139" s="357" t="s">
        <v>18</v>
      </c>
      <c r="C139" s="358" t="s">
        <v>19</v>
      </c>
      <c r="D139" s="358" t="s">
        <v>20</v>
      </c>
      <c r="E139" s="358" t="s">
        <v>21</v>
      </c>
    </row>
    <row r="140" spans="2:5" ht="20" customHeight="1" x14ac:dyDescent="0.2">
      <c r="B140" s="28" t="s">
        <v>2639</v>
      </c>
      <c r="C140" s="65" t="str">
        <f>sample_vvs_dr_mgmt_vc_fqdn</f>
        <v>sfo-m01-vc01.sfo.rainpole.io</v>
      </c>
      <c r="D140" s="8" t="str">
        <f>vvs_dr_mgmt_vc_fqdn</f>
        <v>Value Missing</v>
      </c>
      <c r="E140" s="42"/>
    </row>
    <row r="141" spans="2:5" ht="20" customHeight="1" x14ac:dyDescent="0.2">
      <c r="B141" s="28" t="s">
        <v>2351</v>
      </c>
      <c r="C141" s="65" t="str">
        <f>sample_vvs_dr_sso_domain</f>
        <v>vsphere.local</v>
      </c>
      <c r="D141" s="8" t="str">
        <f>vvs_dr_sso_domain</f>
        <v>Value Missing</v>
      </c>
      <c r="E141" s="42"/>
    </row>
    <row r="142" spans="2:5" ht="20" customHeight="1" x14ac:dyDescent="0.2">
      <c r="B142" s="28" t="s">
        <v>2644</v>
      </c>
      <c r="C142" s="65" t="str">
        <f>IF(mgmt_domain_chosen="First Instance","svc_sfo-m01-vlr01_sfo-m01-vc01","svc_lax-m01-vlr01_lax-m01-vc01")</f>
        <v>svc_sfo-m01-vlr01_sfo-m01-vc01</v>
      </c>
      <c r="D142" s="8" t="str">
        <f>vvs_dr_vr_username</f>
        <v>Value Missing</v>
      </c>
      <c r="E142" s="42"/>
    </row>
    <row r="143" spans="2:5" ht="16" customHeight="1" x14ac:dyDescent="0.2">
      <c r="B143" s="32"/>
      <c r="C143" s="173"/>
    </row>
    <row r="144" spans="2:5" ht="34" customHeight="1" x14ac:dyDescent="0.2">
      <c r="B144" s="609" t="s">
        <v>2645</v>
      </c>
      <c r="C144" s="609"/>
      <c r="D144" s="609"/>
      <c r="E144" s="609"/>
    </row>
    <row r="145" spans="2:5" ht="20" customHeight="1" x14ac:dyDescent="0.2">
      <c r="B145" s="601"/>
      <c r="C145" s="601"/>
      <c r="D145" s="601"/>
      <c r="E145" s="601"/>
    </row>
    <row r="146" spans="2:5" ht="20" customHeight="1" x14ac:dyDescent="0.2">
      <c r="B146" s="357" t="s">
        <v>18</v>
      </c>
      <c r="C146" s="358" t="s">
        <v>19</v>
      </c>
      <c r="D146" s="358" t="s">
        <v>20</v>
      </c>
      <c r="E146" s="358" t="s">
        <v>21</v>
      </c>
    </row>
    <row r="147" spans="2:5" ht="20" customHeight="1" x14ac:dyDescent="0.2">
      <c r="B147" s="345" t="s">
        <v>2646</v>
      </c>
      <c r="C147" s="65" t="str">
        <f>sample_vvs_mgmt_dr_vlr_fqdn</f>
        <v>sfo-m01-vlr01.sfo.rainpole.io</v>
      </c>
      <c r="D147" s="8" t="str">
        <f>CONCATENATE(vvs_mgmt_dr_vlr_fqdn,":5480")</f>
        <v>Value Missing:5480</v>
      </c>
      <c r="E147" s="42"/>
    </row>
    <row r="148" spans="2:5" ht="20" customHeight="1" x14ac:dyDescent="0.2">
      <c r="B148" s="345" t="s">
        <v>2484</v>
      </c>
      <c r="C148" s="65" t="str">
        <f>sample_mgmt_vc_fqdn</f>
        <v>sfo-m01-vc01.sfo.rainpole.io</v>
      </c>
      <c r="D148" s="8" t="str">
        <f>vvs_dr_mgmt_vc_fqdn</f>
        <v>Value Missing</v>
      </c>
      <c r="E148" s="42"/>
    </row>
    <row r="149" spans="2:5" ht="20" customHeight="1" x14ac:dyDescent="0.2">
      <c r="B149" s="345" t="s">
        <v>79</v>
      </c>
      <c r="C149" s="65" t="str">
        <f>IF(mgmt_domain_chosen="First Instance","svc_sfo-m01-vlr01_sfo-m01-vc01@vsphere.local","svc_lax-m01-vlr01_lax-m01-vc01@vsphere.local")</f>
        <v>svc_sfo-m01-vlr01_sfo-m01-vc01@vsphere.local</v>
      </c>
      <c r="D149" s="8" t="str">
        <f>CONCATENATE(vvs_dr_vr_username,"@",vvs_dr_sso_domain)</f>
        <v>Value Missing@Value Missing</v>
      </c>
      <c r="E149" s="42"/>
    </row>
    <row r="150" spans="2:5" ht="20" customHeight="1" x14ac:dyDescent="0.2">
      <c r="B150" s="345" t="s">
        <v>30</v>
      </c>
      <c r="C150" s="65" t="s">
        <v>31</v>
      </c>
      <c r="D150" s="8" t="str">
        <f>vvs_dr_vr_password</f>
        <v>Value Missing</v>
      </c>
      <c r="E150" s="42"/>
    </row>
    <row r="151" spans="2:5" ht="20" customHeight="1" x14ac:dyDescent="0.2">
      <c r="B151" s="345" t="s">
        <v>1415</v>
      </c>
      <c r="C151" s="65" t="str">
        <f>sample_mgmt_vc_fqdn</f>
        <v>sfo-m01-vc01.sfo.rainpole.io</v>
      </c>
      <c r="D151" s="8" t="str">
        <f>vvs_dr_mgmt_vc_fqdn</f>
        <v>Value Missing</v>
      </c>
      <c r="E151" s="42"/>
    </row>
    <row r="152" spans="2:5" ht="20" customHeight="1" x14ac:dyDescent="0.2">
      <c r="B152" s="345" t="s">
        <v>2368</v>
      </c>
      <c r="C152" s="65" t="str">
        <f>UPPER(sample_mgmt_sddc_domain)</f>
        <v>SFO-M01</v>
      </c>
      <c r="D152" s="66"/>
      <c r="E152" s="42"/>
    </row>
    <row r="153" spans="2:5" ht="20" customHeight="1" x14ac:dyDescent="0.2">
      <c r="B153" s="345" t="s">
        <v>2485</v>
      </c>
      <c r="C153" s="65" t="str">
        <f>CONCATENATE("vlr-administrator@",sample_parent_dns_zone)</f>
        <v>vlr-administrator@rainpole.io</v>
      </c>
      <c r="D153" s="66"/>
      <c r="E153" s="42"/>
    </row>
    <row r="154" spans="2:5" ht="20" customHeight="1" x14ac:dyDescent="0.2">
      <c r="B154" s="345" t="s">
        <v>2486</v>
      </c>
      <c r="C154" s="105" t="str">
        <f>sample_vvs_mgmt_dr_vlr_fqdn</f>
        <v>sfo-m01-vlr01.sfo.rainpole.io</v>
      </c>
      <c r="D154" s="300" t="str">
        <f>vvs_mgmt_dr_vlr_fqdn</f>
        <v>Value Missing</v>
      </c>
      <c r="E154" s="42"/>
    </row>
    <row r="155" spans="2:5" ht="16" customHeight="1" x14ac:dyDescent="0.2">
      <c r="B155" s="32"/>
      <c r="C155" s="173"/>
    </row>
    <row r="156" spans="2:5" ht="34" customHeight="1" x14ac:dyDescent="0.2">
      <c r="B156" s="609" t="s">
        <v>2647</v>
      </c>
      <c r="C156" s="609"/>
      <c r="D156" s="609"/>
      <c r="E156" s="609"/>
    </row>
    <row r="157" spans="2:5" ht="20" customHeight="1" x14ac:dyDescent="0.2">
      <c r="B157" s="601"/>
      <c r="C157" s="601"/>
      <c r="D157" s="601"/>
      <c r="E157" s="601"/>
    </row>
    <row r="158" spans="2:5" ht="20" customHeight="1" x14ac:dyDescent="0.2">
      <c r="B158" s="357" t="s">
        <v>18</v>
      </c>
      <c r="C158" s="358" t="s">
        <v>19</v>
      </c>
      <c r="D158" s="358" t="s">
        <v>20</v>
      </c>
      <c r="E158" s="358" t="s">
        <v>21</v>
      </c>
    </row>
    <row r="159" spans="2:5" ht="20" customHeight="1" x14ac:dyDescent="0.2">
      <c r="B159" s="28" t="s">
        <v>359</v>
      </c>
      <c r="C159" s="65" t="str">
        <f>sample_vvs_dr_mgmt_vc_fqdn</f>
        <v>sfo-m01-vc01.sfo.rainpole.io</v>
      </c>
      <c r="D159" s="8" t="str">
        <f>vvs_dr_mgmt_vc_fqdn</f>
        <v>Value Missing</v>
      </c>
      <c r="E159" s="42"/>
    </row>
    <row r="160" spans="2:5" ht="20" customHeight="1" x14ac:dyDescent="0.2">
      <c r="B160" s="28" t="s">
        <v>2488</v>
      </c>
      <c r="C160" s="65" t="str">
        <f>sample_mgmt_cl01_vds01_name</f>
        <v>sfo-m01-cl01-vds01</v>
      </c>
      <c r="D160" s="66"/>
      <c r="E160" s="42"/>
    </row>
    <row r="161" spans="2:5" ht="20" customHeight="1" x14ac:dyDescent="0.2">
      <c r="B161" s="550" t="s">
        <v>2489</v>
      </c>
      <c r="C161" s="551"/>
      <c r="D161" s="551"/>
      <c r="E161" s="552"/>
    </row>
    <row r="162" spans="2:5" ht="20" customHeight="1" x14ac:dyDescent="0.2">
      <c r="B162" s="28" t="s">
        <v>254</v>
      </c>
      <c r="C162" s="103" t="str">
        <f>CONCATENATE(this_instance,"01-m01-cl01-vds01-pg-vrms")</f>
        <v>sfo01-m01-cl01-vds01-pg-vrms</v>
      </c>
      <c r="D162" s="66"/>
      <c r="E162" s="42"/>
    </row>
    <row r="163" spans="2:5" ht="20" customHeight="1" x14ac:dyDescent="0.2">
      <c r="B163" s="30" t="s">
        <v>85</v>
      </c>
      <c r="C163" s="103" t="str">
        <f>CONCATENATE(prefix_mgmt_az1_vlan,"09")</f>
        <v>1109</v>
      </c>
      <c r="D163" s="66"/>
      <c r="E163" s="254"/>
    </row>
    <row r="164" spans="2:5" ht="16" customHeight="1" x14ac:dyDescent="0.2"/>
    <row r="165" spans="2:5" ht="34" customHeight="1" x14ac:dyDescent="0.2">
      <c r="B165" s="609" t="s">
        <v>2648</v>
      </c>
      <c r="C165" s="609"/>
      <c r="D165" s="609"/>
      <c r="E165" s="609"/>
    </row>
    <row r="166" spans="2:5" ht="20" customHeight="1" x14ac:dyDescent="0.2">
      <c r="B166" s="601"/>
      <c r="C166" s="601"/>
      <c r="D166" s="601"/>
      <c r="E166" s="601"/>
    </row>
    <row r="167" spans="2:5" ht="20" customHeight="1" x14ac:dyDescent="0.2">
      <c r="B167" s="357" t="s">
        <v>18</v>
      </c>
      <c r="C167" s="358" t="s">
        <v>19</v>
      </c>
      <c r="D167" s="358" t="s">
        <v>20</v>
      </c>
      <c r="E167" s="358" t="s">
        <v>21</v>
      </c>
    </row>
    <row r="168" spans="2:5" ht="20" customHeight="1" x14ac:dyDescent="0.2">
      <c r="B168" s="28" t="s">
        <v>359</v>
      </c>
      <c r="C168" s="65" t="str">
        <f>sample_vvs_dr_mgmt_vc_fqdn</f>
        <v>sfo-m01-vc01.sfo.rainpole.io</v>
      </c>
      <c r="D168" s="8" t="str">
        <f>vvs_dr_mgmt_vc_fqdn</f>
        <v>Value Missing</v>
      </c>
      <c r="E168" s="42"/>
    </row>
    <row r="169" spans="2:5" ht="20" customHeight="1" x14ac:dyDescent="0.2">
      <c r="B169" s="28" t="s">
        <v>646</v>
      </c>
      <c r="C169" s="65" t="str">
        <f>CONCATENATE(this_instance,"-m01-cl01")</f>
        <v>sfo-m01-cl01</v>
      </c>
      <c r="D169" s="66"/>
      <c r="E169" s="42"/>
    </row>
    <row r="170" spans="2:5" ht="20" customHeight="1" x14ac:dyDescent="0.2">
      <c r="B170" s="4" t="s">
        <v>561</v>
      </c>
      <c r="C170" s="65" t="str">
        <f>sample_mgmt_vrms_pg</f>
        <v>sfo01-m01-cl01-vds01-pg-vrms</v>
      </c>
      <c r="D170" s="8" t="str">
        <f>mgmt_vrms_pg</f>
        <v>Value Missing</v>
      </c>
      <c r="E170" s="42"/>
    </row>
    <row r="171" spans="2:5" ht="20" customHeight="1" x14ac:dyDescent="0.2">
      <c r="B171" s="4" t="s">
        <v>183</v>
      </c>
      <c r="C171" s="103" t="str">
        <f>CONCATENATE(prefix_mgmt_az1_cidr,"9.0/24")</f>
        <v>10.11.9.0/24</v>
      </c>
      <c r="D171" s="66"/>
      <c r="E171" s="339"/>
    </row>
    <row r="172" spans="2:5" ht="20" customHeight="1" x14ac:dyDescent="0.2">
      <c r="B172" s="183" t="s">
        <v>246</v>
      </c>
      <c r="C172" s="103" t="s">
        <v>126</v>
      </c>
      <c r="D172" s="66"/>
      <c r="E172" s="339"/>
    </row>
    <row r="173" spans="2:5" ht="20" customHeight="1" x14ac:dyDescent="0.2">
      <c r="B173" s="4" t="s">
        <v>182</v>
      </c>
      <c r="C173" s="103" t="str">
        <f>CONCATENATE(prefix_mgmt_az1_cidr,"9.1")</f>
        <v>10.11.9.1</v>
      </c>
      <c r="D173" s="66"/>
      <c r="E173" s="339"/>
    </row>
    <row r="174" spans="2:5" ht="20" customHeight="1" x14ac:dyDescent="0.2">
      <c r="B174" s="30" t="s">
        <v>157</v>
      </c>
      <c r="C174" s="103">
        <v>9000</v>
      </c>
      <c r="D174" s="66"/>
      <c r="E174" s="339"/>
    </row>
    <row r="175" spans="2:5" ht="20" customHeight="1" x14ac:dyDescent="0.2">
      <c r="B175" s="579" t="s">
        <v>2501</v>
      </c>
      <c r="C175" s="580"/>
      <c r="D175" s="580"/>
      <c r="E175" s="581"/>
    </row>
    <row r="176" spans="2:5" ht="20" customHeight="1" x14ac:dyDescent="0.2">
      <c r="B176" s="28" t="str">
        <f t="array" ref="B176:B191">mgmt_az1_host_fqdns</f>
        <v>Value Missing</v>
      </c>
      <c r="C176" s="109" t="str">
        <f>CONCATENATE(prefix_mgmt_az1_cidr,"9.101")</f>
        <v>10.11.9.101</v>
      </c>
      <c r="D176" s="66"/>
      <c r="E176" s="121" t="s">
        <v>2649</v>
      </c>
    </row>
    <row r="177" spans="2:5" ht="20" customHeight="1" x14ac:dyDescent="0.2">
      <c r="B177" s="28" t="str">
        <v>Value Missing</v>
      </c>
      <c r="C177" s="109" t="str">
        <f>CONCATENATE(prefix_mgmt_az1_cidr,"9.102")</f>
        <v>10.11.9.102</v>
      </c>
      <c r="D177" s="66"/>
      <c r="E177" s="121" t="s">
        <v>2650</v>
      </c>
    </row>
    <row r="178" spans="2:5" ht="20" customHeight="1" x14ac:dyDescent="0.2">
      <c r="B178" s="28" t="str">
        <v>Value Missing</v>
      </c>
      <c r="C178" s="109" t="str">
        <f>CONCATENATE(prefix_mgmt_az1_cidr,"9.103")</f>
        <v>10.11.9.103</v>
      </c>
      <c r="D178" s="66"/>
      <c r="E178" s="121" t="s">
        <v>2651</v>
      </c>
    </row>
    <row r="179" spans="2:5" ht="20" customHeight="1" x14ac:dyDescent="0.2">
      <c r="B179" s="28" t="str">
        <v>Value Missing</v>
      </c>
      <c r="C179" s="109" t="str">
        <f>CONCATENATE(prefix_mgmt_az1_cidr,"9.104")</f>
        <v>10.11.9.104</v>
      </c>
      <c r="D179" s="66"/>
      <c r="E179" s="121" t="s">
        <v>2652</v>
      </c>
    </row>
    <row r="180" spans="2:5" ht="20" customHeight="1" x14ac:dyDescent="0.2">
      <c r="B180" s="28" t="str">
        <v>Value Missing</v>
      </c>
      <c r="C180" s="109" t="str">
        <f>CONCATENATE(prefix_mgmt_az1_cidr,"9.105")</f>
        <v>10.11.9.105</v>
      </c>
      <c r="D180" s="66"/>
      <c r="E180" s="121" t="s">
        <v>2653</v>
      </c>
    </row>
    <row r="181" spans="2:5" ht="20" customHeight="1" x14ac:dyDescent="0.2">
      <c r="B181" s="28" t="str">
        <v>Value Missing</v>
      </c>
      <c r="C181" s="109" t="str">
        <f>CONCATENATE(prefix_mgmt_az1_cidr,"9.106")</f>
        <v>10.11.9.106</v>
      </c>
      <c r="D181" s="66"/>
      <c r="E181" s="121" t="s">
        <v>2654</v>
      </c>
    </row>
    <row r="182" spans="2:5" ht="20" customHeight="1" x14ac:dyDescent="0.2">
      <c r="B182" s="4" t="str">
        <v>Value Missing</v>
      </c>
      <c r="C182" s="109" t="str">
        <f>CONCATENATE(prefix_mgmt_az1_cidr,"9.107")</f>
        <v>10.11.9.107</v>
      </c>
      <c r="D182" s="66"/>
      <c r="E182" s="121" t="s">
        <v>2655</v>
      </c>
    </row>
    <row r="183" spans="2:5" ht="20" customHeight="1" x14ac:dyDescent="0.2">
      <c r="B183" s="4" t="str">
        <v>Value Missing</v>
      </c>
      <c r="C183" s="109" t="str">
        <f>CONCATENATE(prefix_mgmt_az1_cidr,"9.108")</f>
        <v>10.11.9.108</v>
      </c>
      <c r="D183" s="66"/>
      <c r="E183" s="121" t="s">
        <v>2656</v>
      </c>
    </row>
    <row r="184" spans="2:5" ht="20" customHeight="1" x14ac:dyDescent="0.2">
      <c r="B184" s="4" t="str">
        <v>Value Missing</v>
      </c>
      <c r="C184" s="109" t="str">
        <f>CONCATENATE(prefix_mgmt_az1_cidr,"9.109")</f>
        <v>10.11.9.109</v>
      </c>
      <c r="D184" s="66"/>
      <c r="E184" s="121" t="s">
        <v>2657</v>
      </c>
    </row>
    <row r="185" spans="2:5" ht="20" customHeight="1" x14ac:dyDescent="0.2">
      <c r="B185" s="28" t="str">
        <v>Value Missing</v>
      </c>
      <c r="C185" s="109" t="str">
        <f>CONCATENATE(prefix_mgmt_az1_cidr,"9.110")</f>
        <v>10.11.9.110</v>
      </c>
      <c r="D185" s="66"/>
      <c r="E185" s="121" t="s">
        <v>2658</v>
      </c>
    </row>
    <row r="186" spans="2:5" ht="20" customHeight="1" x14ac:dyDescent="0.2">
      <c r="B186" s="28" t="str">
        <v>Value Missing</v>
      </c>
      <c r="C186" s="109" t="str">
        <f>CONCATENATE(prefix_mgmt_az1_cidr,"9.111")</f>
        <v>10.11.9.111</v>
      </c>
      <c r="D186" s="66"/>
      <c r="E186" s="121" t="s">
        <v>2659</v>
      </c>
    </row>
    <row r="187" spans="2:5" ht="20" customHeight="1" x14ac:dyDescent="0.2">
      <c r="B187" s="28" t="str">
        <v>Value Missing</v>
      </c>
      <c r="C187" s="109" t="str">
        <f>CONCATENATE(prefix_mgmt_az1_cidr,"9.112")</f>
        <v>10.11.9.112</v>
      </c>
      <c r="D187" s="66"/>
      <c r="E187" s="121" t="s">
        <v>2660</v>
      </c>
    </row>
    <row r="188" spans="2:5" ht="20" customHeight="1" x14ac:dyDescent="0.2">
      <c r="B188" s="31" t="str">
        <v>Value Missing</v>
      </c>
      <c r="C188" s="109" t="str">
        <f>CONCATENATE(prefix_mgmt_az1_cidr,"9.113")</f>
        <v>10.11.9.113</v>
      </c>
      <c r="D188" s="66"/>
      <c r="E188" s="121" t="s">
        <v>2661</v>
      </c>
    </row>
    <row r="189" spans="2:5" ht="20" customHeight="1" x14ac:dyDescent="0.2">
      <c r="B189" s="31" t="str">
        <v>Value Missing</v>
      </c>
      <c r="C189" s="109" t="str">
        <f>CONCATENATE(prefix_mgmt_az1_cidr,"9.114")</f>
        <v>10.11.9.114</v>
      </c>
      <c r="D189" s="66"/>
      <c r="E189" s="121" t="s">
        <v>2662</v>
      </c>
    </row>
    <row r="190" spans="2:5" ht="20" customHeight="1" x14ac:dyDescent="0.2">
      <c r="B190" s="31" t="str">
        <v>Value Missing</v>
      </c>
      <c r="C190" s="109" t="str">
        <f>CONCATENATE(prefix_mgmt_az1_cidr,"9.115")</f>
        <v>10.11.9.115</v>
      </c>
      <c r="D190" s="66"/>
      <c r="E190" s="121" t="s">
        <v>2663</v>
      </c>
    </row>
    <row r="191" spans="2:5" ht="20" customHeight="1" x14ac:dyDescent="0.2">
      <c r="B191" s="31" t="str">
        <v>Value Missing</v>
      </c>
      <c r="C191" s="109" t="str">
        <f>CONCATENATE(prefix_mgmt_az1_cidr,"9.116")</f>
        <v>10.11.9.116</v>
      </c>
      <c r="D191" s="66"/>
      <c r="E191" s="121" t="s">
        <v>2664</v>
      </c>
    </row>
    <row r="192" spans="2:5" ht="20" customHeight="1" x14ac:dyDescent="0.2">
      <c r="B192" s="579" t="s">
        <v>2518</v>
      </c>
      <c r="C192" s="580"/>
      <c r="D192" s="580"/>
      <c r="E192" s="581"/>
    </row>
    <row r="193" spans="2:5" ht="20" customHeight="1" x14ac:dyDescent="0.2">
      <c r="B193" s="28" t="str">
        <f t="array" ref="B193:B208">mgmt_az2_host_fqdns</f>
        <v>Value Missing</v>
      </c>
      <c r="C193" s="109" t="str">
        <f>CONCATENATE(prefix_mgmt_az1_cidr,"9.201")</f>
        <v>10.11.9.201</v>
      </c>
      <c r="D193" s="66"/>
      <c r="E193" s="121" t="s">
        <v>2649</v>
      </c>
    </row>
    <row r="194" spans="2:5" ht="20" customHeight="1" x14ac:dyDescent="0.2">
      <c r="B194" s="28" t="str">
        <v>Value Missing</v>
      </c>
      <c r="C194" s="109" t="str">
        <f>CONCATENATE(prefix_mgmt_az1_cidr,"9.202")</f>
        <v>10.11.9.202</v>
      </c>
      <c r="D194" s="66"/>
      <c r="E194" s="121" t="s">
        <v>2650</v>
      </c>
    </row>
    <row r="195" spans="2:5" ht="20" customHeight="1" x14ac:dyDescent="0.2">
      <c r="B195" s="28" t="str">
        <v>Value Missing</v>
      </c>
      <c r="C195" s="109" t="str">
        <f>CONCATENATE(prefix_mgmt_az1_cidr,"9.203")</f>
        <v>10.11.9.203</v>
      </c>
      <c r="D195" s="66"/>
      <c r="E195" s="121" t="s">
        <v>2651</v>
      </c>
    </row>
    <row r="196" spans="2:5" ht="20" customHeight="1" x14ac:dyDescent="0.2">
      <c r="B196" s="28" t="str">
        <v>Value Missing</v>
      </c>
      <c r="C196" s="109" t="str">
        <f>CONCATENATE(prefix_mgmt_az1_cidr,"9.204")</f>
        <v>10.11.9.204</v>
      </c>
      <c r="D196" s="66"/>
      <c r="E196" s="121" t="s">
        <v>2652</v>
      </c>
    </row>
    <row r="197" spans="2:5" ht="20" customHeight="1" x14ac:dyDescent="0.2">
      <c r="B197" s="28" t="str">
        <v>Value Missing</v>
      </c>
      <c r="C197" s="109" t="str">
        <f>CONCATENATE(prefix_mgmt_az1_cidr,"9.205")</f>
        <v>10.11.9.205</v>
      </c>
      <c r="D197" s="66"/>
      <c r="E197" s="121" t="s">
        <v>2653</v>
      </c>
    </row>
    <row r="198" spans="2:5" ht="20" customHeight="1" x14ac:dyDescent="0.2">
      <c r="B198" s="28" t="str">
        <v>Value Missing</v>
      </c>
      <c r="C198" s="109" t="str">
        <f>CONCATENATE(prefix_mgmt_az1_cidr,"9.206")</f>
        <v>10.11.9.206</v>
      </c>
      <c r="D198" s="66"/>
      <c r="E198" s="121" t="s">
        <v>2654</v>
      </c>
    </row>
    <row r="199" spans="2:5" ht="20" customHeight="1" x14ac:dyDescent="0.2">
      <c r="B199" s="4" t="str">
        <v>Value Missing</v>
      </c>
      <c r="C199" s="109" t="str">
        <f>CONCATENATE(prefix_mgmt_az1_cidr,"9.207")</f>
        <v>10.11.9.207</v>
      </c>
      <c r="D199" s="66"/>
      <c r="E199" s="121" t="s">
        <v>2655</v>
      </c>
    </row>
    <row r="200" spans="2:5" ht="20" customHeight="1" x14ac:dyDescent="0.2">
      <c r="B200" s="4" t="str">
        <v>Value Missing</v>
      </c>
      <c r="C200" s="109" t="str">
        <f>CONCATENATE(prefix_mgmt_az1_cidr,"9.208")</f>
        <v>10.11.9.208</v>
      </c>
      <c r="D200" s="66"/>
      <c r="E200" s="121" t="s">
        <v>2656</v>
      </c>
    </row>
    <row r="201" spans="2:5" ht="20" customHeight="1" x14ac:dyDescent="0.2">
      <c r="B201" s="4" t="str">
        <v>Value Missing</v>
      </c>
      <c r="C201" s="109" t="str">
        <f>CONCATENATE(prefix_mgmt_az1_cidr,"9.209")</f>
        <v>10.11.9.209</v>
      </c>
      <c r="D201" s="66"/>
      <c r="E201" s="121" t="s">
        <v>2657</v>
      </c>
    </row>
    <row r="202" spans="2:5" ht="20" customHeight="1" x14ac:dyDescent="0.2">
      <c r="B202" s="28" t="str">
        <v>Value Missing</v>
      </c>
      <c r="C202" s="109" t="str">
        <f>CONCATENATE(prefix_mgmt_az1_cidr,"9.210")</f>
        <v>10.11.9.210</v>
      </c>
      <c r="D202" s="66"/>
      <c r="E202" s="121" t="s">
        <v>2658</v>
      </c>
    </row>
    <row r="203" spans="2:5" ht="20" customHeight="1" x14ac:dyDescent="0.2">
      <c r="B203" s="28" t="str">
        <v>Value Missing</v>
      </c>
      <c r="C203" s="109" t="str">
        <f>CONCATENATE(prefix_mgmt_az1_cidr,"9.211")</f>
        <v>10.11.9.211</v>
      </c>
      <c r="D203" s="66"/>
      <c r="E203" s="121" t="s">
        <v>2659</v>
      </c>
    </row>
    <row r="204" spans="2:5" ht="20" customHeight="1" x14ac:dyDescent="0.2">
      <c r="B204" s="28" t="str">
        <v>Value Missing</v>
      </c>
      <c r="C204" s="109" t="str">
        <f>CONCATENATE(prefix_mgmt_az1_cidr,"9.212")</f>
        <v>10.11.9.212</v>
      </c>
      <c r="D204" s="66"/>
      <c r="E204" s="121" t="s">
        <v>2660</v>
      </c>
    </row>
    <row r="205" spans="2:5" ht="20" customHeight="1" x14ac:dyDescent="0.2">
      <c r="B205" s="28" t="str">
        <v>Value Missing</v>
      </c>
      <c r="C205" s="109" t="str">
        <f>CONCATENATE(prefix_mgmt_az1_cidr,"9.213")</f>
        <v>10.11.9.213</v>
      </c>
      <c r="D205" s="66"/>
      <c r="E205" s="121" t="s">
        <v>2661</v>
      </c>
    </row>
    <row r="206" spans="2:5" ht="20" customHeight="1" x14ac:dyDescent="0.2">
      <c r="B206" s="28" t="str">
        <v>Value Missing</v>
      </c>
      <c r="C206" s="109" t="str">
        <f>CONCATENATE(prefix_mgmt_az1_cidr,"9.214")</f>
        <v>10.11.9.214</v>
      </c>
      <c r="D206" s="66"/>
      <c r="E206" s="121" t="s">
        <v>2662</v>
      </c>
    </row>
    <row r="207" spans="2:5" ht="20" customHeight="1" x14ac:dyDescent="0.2">
      <c r="B207" s="28" t="str">
        <v>Value Missing</v>
      </c>
      <c r="C207" s="109" t="str">
        <f>CONCATENATE(prefix_mgmt_az1_cidr,"9.215")</f>
        <v>10.11.9.215</v>
      </c>
      <c r="D207" s="66"/>
      <c r="E207" s="121" t="s">
        <v>2663</v>
      </c>
    </row>
    <row r="208" spans="2:5" ht="20" customHeight="1" x14ac:dyDescent="0.2">
      <c r="B208" s="28" t="str">
        <v>Value Missing</v>
      </c>
      <c r="C208" s="109" t="str">
        <f>CONCATENATE(prefix_mgmt_az1_cidr,"9.216")</f>
        <v>10.11.9.216</v>
      </c>
      <c r="D208" s="66"/>
      <c r="E208" s="121" t="s">
        <v>2664</v>
      </c>
    </row>
    <row r="209" spans="2:5" ht="16" customHeight="1" x14ac:dyDescent="0.2"/>
    <row r="210" spans="2:5" ht="34" customHeight="1" x14ac:dyDescent="0.2">
      <c r="B210" s="608" t="s">
        <v>2665</v>
      </c>
      <c r="C210" s="609"/>
      <c r="D210" s="609"/>
      <c r="E210" s="609"/>
    </row>
    <row r="211" spans="2:5" ht="16" customHeight="1" x14ac:dyDescent="0.2"/>
    <row r="212" spans="2:5" ht="34" customHeight="1" x14ac:dyDescent="0.2">
      <c r="B212" s="609" t="s">
        <v>2666</v>
      </c>
      <c r="C212" s="609"/>
      <c r="D212" s="609"/>
      <c r="E212" s="609"/>
    </row>
    <row r="213" spans="2:5" ht="20" customHeight="1" x14ac:dyDescent="0.2">
      <c r="B213" s="601"/>
      <c r="C213" s="601"/>
      <c r="D213" s="601"/>
      <c r="E213" s="601"/>
    </row>
    <row r="214" spans="2:5" ht="20" customHeight="1" x14ac:dyDescent="0.2">
      <c r="B214" s="357" t="s">
        <v>18</v>
      </c>
      <c r="C214" s="358" t="s">
        <v>19</v>
      </c>
      <c r="D214" s="358" t="s">
        <v>20</v>
      </c>
      <c r="E214" s="358" t="s">
        <v>21</v>
      </c>
    </row>
    <row r="215" spans="2:5" ht="20" customHeight="1" x14ac:dyDescent="0.2">
      <c r="B215" s="345" t="s">
        <v>2667</v>
      </c>
      <c r="C215" s="65" t="str">
        <f>sample_vvs_dr_mgmt_vc_fqdn</f>
        <v>sfo-m01-vc01.sfo.rainpole.io</v>
      </c>
      <c r="D215" s="8" t="str">
        <f>vvs_dr_mgmt_vc_fqdn</f>
        <v>Value Missing</v>
      </c>
      <c r="E215" s="42"/>
    </row>
    <row r="216" spans="2:5" ht="20" customHeight="1" x14ac:dyDescent="0.2">
      <c r="B216" s="345" t="s">
        <v>2547</v>
      </c>
      <c r="C216" s="65" t="str">
        <f>sample_vvs_dr_mgmt_vc_fqdn</f>
        <v>sfo-m01-vc01.sfo.rainpole.io</v>
      </c>
      <c r="D216" s="8" t="str">
        <f>vvs_dr_mgmt_vc_fqdn</f>
        <v>Value Missing</v>
      </c>
      <c r="E216" s="42"/>
    </row>
    <row r="217" spans="2:5" ht="20" customHeight="1" x14ac:dyDescent="0.2">
      <c r="B217" s="345" t="s">
        <v>2484</v>
      </c>
      <c r="C217" s="65" t="str">
        <f>CONCATENATE(other_instance,"-m01-vc01.",other_instance,".",sample_parent_dns_zone)</f>
        <v>lax-m01-vc01.lax.rainpole.io</v>
      </c>
      <c r="D217" s="66"/>
      <c r="E217" s="42"/>
    </row>
    <row r="218" spans="2:5" ht="20" customHeight="1" x14ac:dyDescent="0.2">
      <c r="B218" s="345" t="s">
        <v>79</v>
      </c>
      <c r="C218" s="65" t="str">
        <f>IF(mgmt_domain_chosen="First Instance","svc_lax-m01-vlr01_lax-m01-vc01@vsphere.local","svc_sfo-m01-vlr01_sfo-m01-vc01@vsphere.local")</f>
        <v>svc_lax-m01-vlr01_lax-m01-vc01@vsphere.local</v>
      </c>
      <c r="D218" s="66"/>
      <c r="E218" s="42"/>
    </row>
    <row r="219" spans="2:5" ht="20" customHeight="1" x14ac:dyDescent="0.2">
      <c r="B219" s="345" t="s">
        <v>30</v>
      </c>
      <c r="C219" s="65" t="s">
        <v>31</v>
      </c>
      <c r="D219" s="66"/>
      <c r="E219" s="42"/>
    </row>
    <row r="220" spans="2:5" ht="20" customHeight="1" x14ac:dyDescent="0.2">
      <c r="B220" s="345" t="s">
        <v>2550</v>
      </c>
      <c r="C220" s="65" t="str">
        <f>sample_mgmt_srm_recovery_vcenter_fqdn</f>
        <v>lax-m01-vc01.lax.rainpole.io</v>
      </c>
      <c r="D220" s="8" t="str">
        <f>mgmt_srm_recovery_vcenter_fqdn</f>
        <v>Value Missing</v>
      </c>
      <c r="E220" s="42"/>
    </row>
    <row r="221" spans="2:5" ht="16" customHeight="1" x14ac:dyDescent="0.2">
      <c r="B221" s="348"/>
      <c r="C221" s="173"/>
    </row>
    <row r="222" spans="2:5" ht="34" customHeight="1" x14ac:dyDescent="0.2">
      <c r="B222" s="609" t="s">
        <v>2668</v>
      </c>
      <c r="C222" s="609"/>
      <c r="D222" s="609"/>
      <c r="E222" s="609"/>
    </row>
    <row r="223" spans="2:5" ht="20" customHeight="1" x14ac:dyDescent="0.2">
      <c r="B223" s="601"/>
      <c r="C223" s="601"/>
      <c r="D223" s="601"/>
      <c r="E223" s="601"/>
    </row>
    <row r="224" spans="2:5" ht="20" customHeight="1" x14ac:dyDescent="0.2">
      <c r="B224" s="357" t="s">
        <v>18</v>
      </c>
      <c r="C224" s="358" t="s">
        <v>19</v>
      </c>
      <c r="D224" s="358" t="s">
        <v>20</v>
      </c>
      <c r="E224" s="358" t="s">
        <v>21</v>
      </c>
    </row>
    <row r="225" spans="2:5" ht="20" customHeight="1" x14ac:dyDescent="0.2">
      <c r="B225" s="345" t="s">
        <v>2667</v>
      </c>
      <c r="C225" s="65" t="str">
        <f>sample_vvs_dr_mgmt_vc_fqdn</f>
        <v>sfo-m01-vc01.sfo.rainpole.io</v>
      </c>
      <c r="D225" s="8" t="str">
        <f>vvs_dr_mgmt_vc_fqdn</f>
        <v>Value Missing</v>
      </c>
      <c r="E225" s="42"/>
    </row>
    <row r="226" spans="2:5" ht="20" customHeight="1" x14ac:dyDescent="0.2">
      <c r="B226" s="345" t="s">
        <v>1415</v>
      </c>
      <c r="C226" s="65" t="str">
        <f>sample_vvs_dr_mgmt_vc_fqdn</f>
        <v>sfo-m01-vc01.sfo.rainpole.io</v>
      </c>
      <c r="D226" s="8" t="str">
        <f>vvs_dr_mgmt_vc_fqdn</f>
        <v>Value Missing</v>
      </c>
      <c r="E226" s="42"/>
    </row>
    <row r="227" spans="2:5" ht="20" customHeight="1" x14ac:dyDescent="0.2">
      <c r="B227" s="345" t="s">
        <v>2669</v>
      </c>
      <c r="C227" s="65" t="str">
        <f>sample_vvs_mgmt_dr_vlr_fqdn</f>
        <v>sfo-m01-vlr01.sfo.rainpole.io</v>
      </c>
      <c r="D227" s="8" t="str">
        <f>vvs_mgmt_dr_vlr_fqdn</f>
        <v>Value Missing</v>
      </c>
      <c r="E227" s="42"/>
    </row>
    <row r="228" spans="2:5" ht="20" customHeight="1" x14ac:dyDescent="0.2">
      <c r="B228" s="345" t="s">
        <v>2670</v>
      </c>
      <c r="C228" s="65" t="s">
        <v>2671</v>
      </c>
      <c r="D228" s="66"/>
      <c r="E228" s="42"/>
    </row>
    <row r="229" spans="2:5" ht="20" customHeight="1" x14ac:dyDescent="0.2">
      <c r="B229" s="345" t="s">
        <v>2672</v>
      </c>
      <c r="C229" s="65" t="s">
        <v>2671</v>
      </c>
      <c r="D229" s="66"/>
      <c r="E229" s="42"/>
    </row>
    <row r="230" spans="2:5" ht="16" customHeight="1" x14ac:dyDescent="0.2"/>
    <row r="231" spans="2:5" ht="34" customHeight="1" x14ac:dyDescent="0.2">
      <c r="B231" s="609" t="s">
        <v>2673</v>
      </c>
      <c r="C231" s="609"/>
      <c r="D231" s="609"/>
      <c r="E231" s="609"/>
    </row>
    <row r="232" spans="2:5" ht="20" customHeight="1" x14ac:dyDescent="0.2">
      <c r="B232" s="601"/>
      <c r="C232" s="601"/>
      <c r="D232" s="601"/>
      <c r="E232" s="601"/>
    </row>
    <row r="233" spans="2:5" ht="20" customHeight="1" x14ac:dyDescent="0.2">
      <c r="B233" s="357" t="s">
        <v>18</v>
      </c>
      <c r="C233" s="358" t="s">
        <v>19</v>
      </c>
      <c r="D233" s="358" t="s">
        <v>20</v>
      </c>
      <c r="E233" s="358" t="s">
        <v>21</v>
      </c>
    </row>
    <row r="234" spans="2:5" ht="20" customHeight="1" x14ac:dyDescent="0.2">
      <c r="B234" s="345" t="s">
        <v>2667</v>
      </c>
      <c r="C234" s="65" t="str">
        <f>sample_vvs_dr_mgmt_vc_fqdn</f>
        <v>sfo-m01-vc01.sfo.rainpole.io</v>
      </c>
      <c r="D234" s="8" t="str">
        <f>vvs_dr_mgmt_vc_fqdn</f>
        <v>Value Missing</v>
      </c>
      <c r="E234" s="42"/>
    </row>
    <row r="235" spans="2:5" ht="20" customHeight="1" x14ac:dyDescent="0.2">
      <c r="B235" s="345" t="s">
        <v>2674</v>
      </c>
      <c r="C235" s="65" t="str">
        <f>CONCATENATE(sample_mgmt_vc_fqdn," &lt;--&gt; ",sample_mgmt_srm_recovery_vcenter_fqdn)</f>
        <v>sfo-m01-vc01.sfo.rainpole.io &lt;--&gt; lax-m01-vc01.lax.rainpole.io</v>
      </c>
      <c r="D235" s="8" t="str">
        <f>CONCATENATE(vvs_dr_mgmt_vc_fqdn," &lt;--&gt; ",mgmt_srm_recovery_vcenter_fqdn)</f>
        <v>Value Missing &lt;--&gt; Value Missing</v>
      </c>
      <c r="E235" s="42"/>
    </row>
    <row r="236" spans="2:5" ht="20" customHeight="1" x14ac:dyDescent="0.2">
      <c r="B236" s="4" t="s">
        <v>2675</v>
      </c>
      <c r="C236" s="65" t="e">
        <f>CONCATENATE(sample_mgmt_cl01_vds01_name," --&gt; ",sample_flt_custom_network_x_reg_pg)</f>
        <v>#NAME?</v>
      </c>
      <c r="D236" s="66"/>
      <c r="E236" s="42"/>
    </row>
    <row r="237" spans="2:5" ht="20" customHeight="1" x14ac:dyDescent="0.2">
      <c r="B237" s="4" t="s">
        <v>2676</v>
      </c>
      <c r="C237" s="65" t="str">
        <f>CONCATENATE(other_instance,"-m01-cl01-vds01"," --&gt; ",other_instance,"-m01-cl01-vds01-pg-vm-fleet")</f>
        <v>lax-m01-cl01-vds01 --&gt; lax-m01-cl01-vds01-pg-vm-fleet</v>
      </c>
      <c r="D237" s="66"/>
      <c r="E237" s="42"/>
    </row>
    <row r="238" spans="2:5" ht="20" customHeight="1" x14ac:dyDescent="0.2">
      <c r="B238" s="4" t="s">
        <v>2677</v>
      </c>
      <c r="C238" s="65" t="str">
        <f>CONCATENATE(sample_mgmt_srm_recovery_vcenter_fqdn," --&gt; ",this_instance,"-m01-DC")</f>
        <v>lax-m01-vc01.lax.rainpole.io --&gt; sfo-m01-DC</v>
      </c>
      <c r="D238" s="66"/>
      <c r="E238" s="42"/>
    </row>
    <row r="239" spans="2:5" ht="20" customHeight="1" x14ac:dyDescent="0.2">
      <c r="B239" s="4" t="s">
        <v>2678</v>
      </c>
      <c r="C239" s="65" t="str">
        <f>CONCATENATE(sample_mgmt_srm_recovery_vcenter_fqdn," --&gt; ",other_instance,"-m01-DC")</f>
        <v>lax-m01-vc01.lax.rainpole.io --&gt; lax-m01-DC</v>
      </c>
      <c r="D239" s="66"/>
      <c r="E239" s="42"/>
    </row>
    <row r="240" spans="2:5" ht="20" customHeight="1" x14ac:dyDescent="0.2">
      <c r="B240" s="4" t="s">
        <v>2679</v>
      </c>
      <c r="C240" s="65" t="str">
        <f>CONCATENATE(this_instance,"-m01-DC"," --&gt; ",this_instance,"-m01-cl01")</f>
        <v>sfo-m01-DC --&gt; sfo-m01-cl01</v>
      </c>
      <c r="D240" s="66"/>
      <c r="E240" s="42"/>
    </row>
    <row r="241" spans="2:5" ht="20" customHeight="1" x14ac:dyDescent="0.2">
      <c r="B241" s="4" t="s">
        <v>2680</v>
      </c>
      <c r="C241" s="65" t="str">
        <f>CONCATENATE(other_instance,"-m01-DC"," --&gt; ",other_instance,"-m01-cl01")</f>
        <v>lax-m01-DC --&gt; lax-m01-cl01</v>
      </c>
      <c r="D241" s="66"/>
      <c r="E241" s="42"/>
    </row>
    <row r="242" spans="2:5" ht="16" customHeight="1" x14ac:dyDescent="0.2"/>
    <row r="243" spans="2:5" ht="34" customHeight="1" x14ac:dyDescent="0.2">
      <c r="B243" s="609" t="s">
        <v>2681</v>
      </c>
      <c r="C243" s="609"/>
      <c r="D243" s="609"/>
      <c r="E243" s="609"/>
    </row>
    <row r="244" spans="2:5" ht="20" customHeight="1" x14ac:dyDescent="0.2">
      <c r="B244" s="601"/>
      <c r="C244" s="601"/>
      <c r="D244" s="601"/>
      <c r="E244" s="601"/>
    </row>
    <row r="245" spans="2:5" ht="20" customHeight="1" x14ac:dyDescent="0.2">
      <c r="B245" s="357" t="s">
        <v>18</v>
      </c>
      <c r="C245" s="358" t="s">
        <v>19</v>
      </c>
      <c r="D245" s="358" t="s">
        <v>20</v>
      </c>
      <c r="E245" s="358" t="s">
        <v>21</v>
      </c>
    </row>
    <row r="246" spans="2:5" ht="20" customHeight="1" x14ac:dyDescent="0.2">
      <c r="B246" s="345" t="s">
        <v>2646</v>
      </c>
      <c r="C246" s="65" t="str">
        <f>sample_vvs_mgmt_dr_vlr_fqdn</f>
        <v>sfo-m01-vlr01.sfo.rainpole.io</v>
      </c>
      <c r="D246" s="8" t="str">
        <f>vvs_mgmt_dr_vlr_fqdn</f>
        <v>Value Missing</v>
      </c>
      <c r="E246" s="42"/>
    </row>
    <row r="247" spans="2:5" ht="20" customHeight="1" x14ac:dyDescent="0.2">
      <c r="B247" s="4" t="s">
        <v>2674</v>
      </c>
      <c r="C247" s="65" t="str">
        <f>CONCATENATE(sample_mgmt_vc_fqdn," &lt;--&gt; ",sample_mgmt_srm_recovery_vcenter_fqdn)</f>
        <v>sfo-m01-vc01.sfo.rainpole.io &lt;--&gt; lax-m01-vc01.lax.rainpole.io</v>
      </c>
      <c r="D247" s="8" t="str">
        <f>vs_dr_site_pair</f>
        <v>Value Missing &lt;--&gt; Value Missing</v>
      </c>
      <c r="E247" s="42"/>
    </row>
    <row r="248" spans="2:5" ht="20" customHeight="1" x14ac:dyDescent="0.2">
      <c r="B248" s="28" t="s">
        <v>2682</v>
      </c>
      <c r="C248" s="65" t="str">
        <f>CONCATENATE(prefix_portable_component,"-fm01")</f>
        <v>flt-fm01</v>
      </c>
      <c r="D248" s="8" t="str">
        <f t="array" ref="D248">vvs_dr_flt_fleet_manager_hostname</f>
        <v>Value Missing</v>
      </c>
      <c r="E248" s="42"/>
    </row>
    <row r="249" spans="2:5" ht="20" customHeight="1" x14ac:dyDescent="0.2">
      <c r="B249" s="28" t="s">
        <v>2682</v>
      </c>
      <c r="C249" s="65" t="str">
        <f>CONCATENATE(prefix_portable_component,"-ops01a")</f>
        <v>flt-ops01a</v>
      </c>
      <c r="D249" s="8" t="str">
        <f t="array" ref="D249">vvs_dr_flt_ops_nodea_hostname</f>
        <v>Value Missing</v>
      </c>
      <c r="E249" s="42"/>
    </row>
    <row r="250" spans="2:5" ht="20" customHeight="1" x14ac:dyDescent="0.2">
      <c r="B250" s="28" t="s">
        <v>2682</v>
      </c>
      <c r="C250" s="65" t="str">
        <f>CONCATENATE(prefix_portable_component,"-ops01b")</f>
        <v>flt-ops01b</v>
      </c>
      <c r="D250" s="8" t="str">
        <f t="array" ref="D250">vvs_dr_flt_ops_nodeb_hostname</f>
        <v>Value Missing</v>
      </c>
      <c r="E250" s="42"/>
    </row>
    <row r="251" spans="2:5" ht="20" customHeight="1" x14ac:dyDescent="0.2">
      <c r="B251" s="28" t="s">
        <v>2682</v>
      </c>
      <c r="C251" s="65" t="str">
        <f>CONCATENATE(prefix_portable_component,"-ops01c")</f>
        <v>flt-ops01c</v>
      </c>
      <c r="D251" s="8" t="str">
        <f t="array" ref="D251">vvs_dr_flt_ops_nodec_hostname</f>
        <v>Value Missing</v>
      </c>
      <c r="E251" s="42"/>
    </row>
    <row r="252" spans="2:5" ht="20" customHeight="1" x14ac:dyDescent="0.2">
      <c r="B252" s="28" t="s">
        <v>2683</v>
      </c>
      <c r="C252" s="65" t="str">
        <f>CONCATENATE(other_instance,"-m01-cl01-ds-vsan01")</f>
        <v>lax-m01-cl01-ds-vsan01</v>
      </c>
      <c r="D252" s="66"/>
      <c r="E252" s="42"/>
    </row>
    <row r="253" spans="2:5" ht="20" customHeight="1" x14ac:dyDescent="0.2">
      <c r="B253" s="28" t="s">
        <v>2684</v>
      </c>
      <c r="C253" s="65">
        <v>15</v>
      </c>
      <c r="D253" s="66"/>
      <c r="E253" s="42"/>
    </row>
    <row r="254" spans="2:5" ht="20" customHeight="1" x14ac:dyDescent="0.2">
      <c r="B254" s="28" t="s">
        <v>1688</v>
      </c>
      <c r="C254" s="65">
        <v>3</v>
      </c>
      <c r="D254" s="66"/>
      <c r="E254" s="42"/>
    </row>
    <row r="255" spans="2:5" ht="20" customHeight="1" x14ac:dyDescent="0.2">
      <c r="B255" s="4" t="s">
        <v>1692</v>
      </c>
      <c r="C255" s="65">
        <v>1</v>
      </c>
      <c r="D255" s="66"/>
      <c r="E255" s="42"/>
    </row>
    <row r="256" spans="2:5" ht="20" customHeight="1" x14ac:dyDescent="0.2">
      <c r="B256" s="4" t="s">
        <v>2685</v>
      </c>
      <c r="C256" s="65" t="s">
        <v>2686</v>
      </c>
      <c r="D256" s="66"/>
      <c r="E256" s="42"/>
    </row>
    <row r="257" spans="2:5" ht="20" customHeight="1" x14ac:dyDescent="0.2">
      <c r="B257" s="28" t="s">
        <v>2687</v>
      </c>
      <c r="C257" s="65" t="s">
        <v>2688</v>
      </c>
      <c r="D257" s="66"/>
      <c r="E257" s="42"/>
    </row>
    <row r="258" spans="2:5" ht="16" customHeight="1" x14ac:dyDescent="0.2"/>
    <row r="259" spans="2:5" ht="34" customHeight="1" x14ac:dyDescent="0.2">
      <c r="B259" s="609" t="s">
        <v>2689</v>
      </c>
      <c r="C259" s="609"/>
      <c r="D259" s="609"/>
      <c r="E259" s="609"/>
    </row>
    <row r="260" spans="2:5" ht="20" customHeight="1" x14ac:dyDescent="0.2">
      <c r="B260" s="601"/>
      <c r="C260" s="601"/>
      <c r="D260" s="601"/>
      <c r="E260" s="601"/>
    </row>
    <row r="261" spans="2:5" ht="20" customHeight="1" x14ac:dyDescent="0.2">
      <c r="B261" s="357" t="s">
        <v>18</v>
      </c>
      <c r="C261" s="358" t="s">
        <v>19</v>
      </c>
      <c r="D261" s="358" t="s">
        <v>20</v>
      </c>
      <c r="E261" s="358" t="s">
        <v>21</v>
      </c>
    </row>
    <row r="262" spans="2:5" ht="20" customHeight="1" x14ac:dyDescent="0.2">
      <c r="B262" s="345" t="s">
        <v>2646</v>
      </c>
      <c r="C262" s="65" t="str">
        <f>CONCATENATE(sample_vvs_mgmt_dr_vlr_fqdn,"/dr")</f>
        <v>sfo-m01-vlr01.sfo.rainpole.io/dr</v>
      </c>
      <c r="D262" s="8" t="str">
        <f>CONCATENATE(vvs_mgmt_dr_vlr_fqdn,"/dr")</f>
        <v>Value Missing/dr</v>
      </c>
      <c r="E262" s="42"/>
    </row>
    <row r="263" spans="2:5" ht="20" customHeight="1" x14ac:dyDescent="0.2">
      <c r="B263" s="345" t="s">
        <v>2674</v>
      </c>
      <c r="C263" s="65" t="str">
        <f>CONCATENATE(sample_mgmt_vc_fqdn," &lt;--&gt; ",sample_mgmt_srm_recovery_vcenter_fqdn)</f>
        <v>sfo-m01-vc01.sfo.rainpole.io &lt;--&gt; lax-m01-vc01.lax.rainpole.io</v>
      </c>
      <c r="D263" s="8" t="str">
        <f>vs_dr_site_pair</f>
        <v>Value Missing &lt;--&gt; Value Missing</v>
      </c>
      <c r="E263" s="42"/>
    </row>
    <row r="264" spans="2:5" ht="20" customHeight="1" x14ac:dyDescent="0.2">
      <c r="B264" s="345" t="s">
        <v>2690</v>
      </c>
      <c r="C264" s="65" t="str">
        <f>sample_mgmt_srm_vrops_rp</f>
        <v>VCF-OPS-RP</v>
      </c>
      <c r="D264" s="8" t="str">
        <f>mgmt_srm_vrops_rp</f>
        <v>Value Missing</v>
      </c>
      <c r="E264" s="42"/>
    </row>
    <row r="265" spans="2:5" ht="20" customHeight="1" x14ac:dyDescent="0.2">
      <c r="B265" s="345" t="s">
        <v>2691</v>
      </c>
      <c r="C265" s="65" t="str">
        <f>CONCATENATE(prefix_portable_component,"-fm01")</f>
        <v>flt-fm01</v>
      </c>
      <c r="D265" s="8" t="str">
        <f>vvs_dr_flt_fleet_manager_hostname</f>
        <v>Value Missing</v>
      </c>
      <c r="E265" s="42"/>
    </row>
    <row r="266" spans="2:5" ht="20" customHeight="1" x14ac:dyDescent="0.2">
      <c r="B266" s="345" t="s">
        <v>2692</v>
      </c>
      <c r="C266" s="65" t="str">
        <f>CONCATENATE(prefix_portable_component,"-ops01a")</f>
        <v>flt-ops01a</v>
      </c>
      <c r="D266" s="8" t="str">
        <f t="array" ref="D266">vvs_dr_flt_ops_nodea_hostname</f>
        <v>Value Missing</v>
      </c>
      <c r="E266" s="42"/>
    </row>
    <row r="267" spans="2:5" ht="20" customHeight="1" x14ac:dyDescent="0.2">
      <c r="B267" s="345" t="s">
        <v>2693</v>
      </c>
      <c r="C267" s="65" t="str">
        <f>CONCATENATE(prefix_portable_component,"-ops01b")</f>
        <v>flt-ops01b</v>
      </c>
      <c r="D267" s="8" t="str">
        <f t="array" ref="D267">vvs_dr_flt_ops_nodeb_hostname</f>
        <v>Value Missing</v>
      </c>
      <c r="E267" s="42"/>
    </row>
    <row r="268" spans="2:5" ht="20" customHeight="1" x14ac:dyDescent="0.2">
      <c r="B268" s="345" t="s">
        <v>2694</v>
      </c>
      <c r="C268" s="65" t="str">
        <f>CONCATENATE(prefix_portable_component,"-ops01c")</f>
        <v>flt-ops01c</v>
      </c>
      <c r="D268" s="8" t="str">
        <f t="array" ref="D268">vvs_dr_flt_ops_nodec_hostname</f>
        <v>Value Missing</v>
      </c>
      <c r="E268" s="42"/>
    </row>
    <row r="269" spans="2:5" ht="16" customHeight="1" x14ac:dyDescent="0.2"/>
    <row r="270" spans="2:5" ht="34" customHeight="1" x14ac:dyDescent="0.2">
      <c r="B270" s="609" t="s">
        <v>2695</v>
      </c>
      <c r="C270" s="609"/>
      <c r="D270" s="609"/>
      <c r="E270" s="609"/>
    </row>
    <row r="271" spans="2:5" ht="20" customHeight="1" x14ac:dyDescent="0.2">
      <c r="B271" s="601"/>
      <c r="C271" s="601"/>
      <c r="D271" s="601"/>
      <c r="E271" s="601"/>
    </row>
    <row r="272" spans="2:5" ht="20" customHeight="1" x14ac:dyDescent="0.2">
      <c r="B272" s="357" t="s">
        <v>18</v>
      </c>
      <c r="C272" s="358" t="s">
        <v>19</v>
      </c>
      <c r="D272" s="358" t="s">
        <v>20</v>
      </c>
      <c r="E272" s="358" t="s">
        <v>21</v>
      </c>
    </row>
    <row r="273" spans="2:5" ht="20" customHeight="1" x14ac:dyDescent="0.2">
      <c r="B273" s="345" t="s">
        <v>2646</v>
      </c>
      <c r="C273" s="65" t="str">
        <f>CONCATENATE(sample_vvs_mgmt_dr_vlr_fqdn,"/dr")</f>
        <v>sfo-m01-vlr01.sfo.rainpole.io/dr</v>
      </c>
      <c r="D273" s="8" t="str">
        <f>CONCATENATE(vvs_mgmt_dr_vlr_fqdn,"/dr")</f>
        <v>Value Missing/dr</v>
      </c>
      <c r="E273" s="42"/>
    </row>
    <row r="274" spans="2:5" ht="20" customHeight="1" x14ac:dyDescent="0.2">
      <c r="B274" s="345" t="s">
        <v>2674</v>
      </c>
      <c r="C274" s="65" t="str">
        <f>CONCATENATE(sample_mgmt_vc_fqdn," &lt;--&gt; ",sample_mgmt_srm_recovery_vcenter_fqdn)</f>
        <v>sfo-m01-vc01.sfo.rainpole.io &lt;--&gt; lax-m01-vc01.lax.rainpole.io</v>
      </c>
      <c r="D274" s="8" t="str">
        <f>vs_dr_site_pair</f>
        <v>Value Missing &lt;--&gt; Value Missing</v>
      </c>
      <c r="E274" s="42"/>
    </row>
    <row r="275" spans="2:5" ht="20" customHeight="1" x14ac:dyDescent="0.2">
      <c r="B275" s="345" t="s">
        <v>2696</v>
      </c>
      <c r="C275" s="65" t="str">
        <f>CONCATENATE(prefix_portable_component,"-logs01a")</f>
        <v>flt-logs01a</v>
      </c>
      <c r="D275" s="8" t="str">
        <f>vvs_dr_flt_logs_nodea_hostname</f>
        <v>Value Missing</v>
      </c>
      <c r="E275" s="42"/>
    </row>
    <row r="276" spans="2:5" ht="20" customHeight="1" x14ac:dyDescent="0.2">
      <c r="B276" s="345" t="s">
        <v>2697</v>
      </c>
      <c r="C276" s="65" t="str">
        <f>CONCATENATE(prefix_portable_component,"-logs01b")</f>
        <v>flt-logs01b</v>
      </c>
      <c r="D276" s="8" t="str">
        <f>vvs_dr_flt_logs_nodeb_hostname</f>
        <v>Value Missing</v>
      </c>
      <c r="E276" s="42"/>
    </row>
    <row r="277" spans="2:5" ht="20" customHeight="1" x14ac:dyDescent="0.2">
      <c r="B277" s="345" t="s">
        <v>2698</v>
      </c>
      <c r="C277" s="65" t="str">
        <f>CONCATENATE(prefix_portable_component,"-logs01c")</f>
        <v>flt-logs01c</v>
      </c>
      <c r="D277" s="8" t="str">
        <f>vvs_dr_flt_logs_nodec_hostname</f>
        <v>Value Missing</v>
      </c>
      <c r="E277" s="42"/>
    </row>
    <row r="278" spans="2:5" ht="20" customHeight="1" x14ac:dyDescent="0.2">
      <c r="B278" s="345" t="s">
        <v>2683</v>
      </c>
      <c r="C278" s="65" t="str">
        <f>sample_mgmt_srm_recovery_datastore</f>
        <v>lax-m01-cl01-ds-vsan01</v>
      </c>
      <c r="D278" s="8" t="str">
        <f>mgmt_srm_recovery_datastore</f>
        <v>Value Missing</v>
      </c>
      <c r="E278" s="42"/>
    </row>
    <row r="279" spans="2:5" ht="20" customHeight="1" x14ac:dyDescent="0.2">
      <c r="B279" s="345" t="s">
        <v>2684</v>
      </c>
      <c r="C279" s="65">
        <f>sample_mgmt_srm_rpo</f>
        <v>15</v>
      </c>
      <c r="D279" s="8" t="str">
        <f>mgmt_srm_rpo</f>
        <v>Value Missing</v>
      </c>
      <c r="E279" s="42"/>
    </row>
    <row r="280" spans="2:5" ht="20" customHeight="1" x14ac:dyDescent="0.2">
      <c r="B280" s="345" t="s">
        <v>1688</v>
      </c>
      <c r="C280" s="65">
        <f>sample_mgmt_srm_instances_per_day</f>
        <v>3</v>
      </c>
      <c r="D280" s="8" t="str">
        <f>mgmt_srm_instances_per_day</f>
        <v>Value Missing</v>
      </c>
      <c r="E280" s="42"/>
    </row>
    <row r="281" spans="2:5" ht="20" customHeight="1" x14ac:dyDescent="0.2">
      <c r="B281" s="345" t="s">
        <v>1692</v>
      </c>
      <c r="C281" s="65">
        <f>sample_mgmt_srm_days</f>
        <v>1</v>
      </c>
      <c r="D281" s="8" t="str">
        <f>mgmt_srm_days</f>
        <v>Value Missing</v>
      </c>
      <c r="E281" s="42"/>
    </row>
    <row r="282" spans="2:5" ht="20" customHeight="1" x14ac:dyDescent="0.2">
      <c r="B282" s="345" t="s">
        <v>2685</v>
      </c>
      <c r="C282" s="65" t="s">
        <v>2699</v>
      </c>
      <c r="D282" s="66"/>
      <c r="E282" s="42"/>
    </row>
    <row r="283" spans="2:5" ht="20" customHeight="1" x14ac:dyDescent="0.2">
      <c r="B283" s="345" t="s">
        <v>2687</v>
      </c>
      <c r="C283" s="65" t="s">
        <v>2700</v>
      </c>
      <c r="D283" s="66"/>
      <c r="E283" s="42"/>
    </row>
    <row r="284" spans="2:5" ht="16" customHeight="1" x14ac:dyDescent="0.2">
      <c r="B284" s="348"/>
      <c r="C284" s="173"/>
    </row>
    <row r="285" spans="2:5" ht="34" customHeight="1" x14ac:dyDescent="0.2">
      <c r="B285" s="609" t="s">
        <v>2701</v>
      </c>
      <c r="C285" s="609"/>
      <c r="D285" s="609"/>
      <c r="E285" s="609"/>
    </row>
    <row r="286" spans="2:5" ht="20" customHeight="1" x14ac:dyDescent="0.2">
      <c r="B286" s="601"/>
      <c r="C286" s="601"/>
      <c r="D286" s="601"/>
      <c r="E286" s="601"/>
    </row>
    <row r="287" spans="2:5" ht="20" customHeight="1" x14ac:dyDescent="0.2">
      <c r="B287" s="62" t="s">
        <v>254</v>
      </c>
      <c r="C287" s="62" t="s">
        <v>255</v>
      </c>
      <c r="D287" s="161" t="s">
        <v>20</v>
      </c>
      <c r="E287" s="62" t="s">
        <v>21</v>
      </c>
    </row>
    <row r="288" spans="2:5" ht="20" customHeight="1" x14ac:dyDescent="0.2">
      <c r="B288" s="345" t="s">
        <v>2646</v>
      </c>
      <c r="C288" s="65" t="str">
        <f>CONCATENATE(sample_vvs_mgmt_dr_vlr_fqdn,"/dr")</f>
        <v>sfo-m01-vlr01.sfo.rainpole.io/dr</v>
      </c>
      <c r="D288" s="8" t="str">
        <f>CONCATENATE(vvs_mgmt_dr_vlr_fqdn,"/dr")</f>
        <v>Value Missing/dr</v>
      </c>
      <c r="E288" s="42"/>
    </row>
    <row r="289" spans="2:5" ht="20" customHeight="1" x14ac:dyDescent="0.2">
      <c r="B289" s="345" t="s">
        <v>2674</v>
      </c>
      <c r="C289" s="65" t="str">
        <f>CONCATENATE(sample_mgmt_vc_fqdn," &lt;--&gt; ",sample_mgmt_srm_recovery_vcenter_fqdn)</f>
        <v>sfo-m01-vc01.sfo.rainpole.io &lt;--&gt; lax-m01-vc01.lax.rainpole.io</v>
      </c>
      <c r="D289" s="8" t="str">
        <f>vs_dr_site_pair</f>
        <v>Value Missing &lt;--&gt; Value Missing</v>
      </c>
      <c r="E289" s="42"/>
    </row>
    <row r="290" spans="2:5" ht="20" customHeight="1" x14ac:dyDescent="0.2">
      <c r="B290" s="345" t="s">
        <v>2690</v>
      </c>
      <c r="C290" s="65" t="str">
        <f>sample_mgmt_srm_logs_rp</f>
        <v>VCF-OPS-LOGS-RP</v>
      </c>
      <c r="D290" s="8" t="str">
        <f t="array" ref="D290">mgmt_srm_logs_rp</f>
        <v>Value Missing</v>
      </c>
      <c r="E290" s="42"/>
    </row>
    <row r="291" spans="2:5" ht="20" customHeight="1" x14ac:dyDescent="0.2">
      <c r="B291" s="345" t="s">
        <v>2696</v>
      </c>
      <c r="C291" s="65" t="str">
        <f>CONCATENATE(prefix_portable_component,"-logs01a")</f>
        <v>flt-logs01a</v>
      </c>
      <c r="D291" s="8" t="str">
        <f>vvs_dr_flt_logs_nodea_hostname</f>
        <v>Value Missing</v>
      </c>
      <c r="E291" s="42"/>
    </row>
    <row r="292" spans="2:5" ht="20" customHeight="1" x14ac:dyDescent="0.2">
      <c r="B292" s="345" t="s">
        <v>2697</v>
      </c>
      <c r="C292" s="65" t="str">
        <f>CONCATENATE(prefix_portable_component,"-logs01b")</f>
        <v>flt-logs01b</v>
      </c>
      <c r="D292" s="8" t="str">
        <f>vvs_dr_flt_logs_nodeb_hostname</f>
        <v>Value Missing</v>
      </c>
      <c r="E292" s="42"/>
    </row>
    <row r="293" spans="2:5" ht="20" customHeight="1" x14ac:dyDescent="0.2">
      <c r="B293" s="345" t="s">
        <v>2698</v>
      </c>
      <c r="C293" s="65" t="str">
        <f>CONCATENATE(prefix_portable_component,"-logs01c")</f>
        <v>flt-logs01c</v>
      </c>
      <c r="D293" s="8" t="str">
        <f>vvs_dr_flt_logs_nodec_hostname</f>
        <v>Value Missing</v>
      </c>
      <c r="E293" s="42"/>
    </row>
    <row r="294" spans="2:5" ht="16" customHeight="1" x14ac:dyDescent="0.2">
      <c r="B294" s="348"/>
      <c r="C294" s="173"/>
    </row>
    <row r="295" spans="2:5" ht="34" customHeight="1" x14ac:dyDescent="0.2">
      <c r="B295" s="609" t="s">
        <v>2702</v>
      </c>
      <c r="C295" s="609"/>
      <c r="D295" s="609"/>
      <c r="E295" s="609"/>
    </row>
    <row r="296" spans="2:5" ht="20" customHeight="1" x14ac:dyDescent="0.2">
      <c r="B296" s="601"/>
      <c r="C296" s="601"/>
      <c r="D296" s="601"/>
      <c r="E296" s="601"/>
    </row>
    <row r="297" spans="2:5" ht="20" customHeight="1" x14ac:dyDescent="0.2">
      <c r="B297" s="357" t="s">
        <v>18</v>
      </c>
      <c r="C297" s="358" t="s">
        <v>19</v>
      </c>
      <c r="D297" s="358" t="s">
        <v>20</v>
      </c>
      <c r="E297" s="358" t="s">
        <v>21</v>
      </c>
    </row>
    <row r="298" spans="2:5" ht="20" customHeight="1" x14ac:dyDescent="0.2">
      <c r="B298" s="345" t="s">
        <v>2646</v>
      </c>
      <c r="C298" s="65" t="str">
        <f>CONCATENATE(sample_vvs_mgmt_dr_vlr_fqdn,"/dr")</f>
        <v>sfo-m01-vlr01.sfo.rainpole.io/dr</v>
      </c>
      <c r="D298" s="8" t="str">
        <f>CONCATENATE(vvs_mgmt_dr_vlr_fqdn,"/dr")</f>
        <v>Value Missing/dr</v>
      </c>
      <c r="E298" s="42"/>
    </row>
    <row r="299" spans="2:5" ht="20" customHeight="1" x14ac:dyDescent="0.2">
      <c r="B299" s="345" t="s">
        <v>2674</v>
      </c>
      <c r="C299" s="65" t="str">
        <f>CONCATENATE(sample_mgmt_vc_fqdn," &lt;--&gt; ",sample_mgmt_srm_recovery_vcenter_fqdn)</f>
        <v>sfo-m01-vc01.sfo.rainpole.io &lt;--&gt; lax-m01-vc01.lax.rainpole.io</v>
      </c>
      <c r="D299" s="8" t="str">
        <f>vs_dr_site_pair</f>
        <v>Value Missing &lt;--&gt; Value Missing</v>
      </c>
      <c r="E299" s="42"/>
    </row>
    <row r="300" spans="2:5" ht="20" customHeight="1" x14ac:dyDescent="0.2">
      <c r="B300" s="345" t="s">
        <v>2703</v>
      </c>
      <c r="C300" s="65" t="str">
        <f>CONCATENATE(prefix_portable_component,"-net01a")</f>
        <v>flt-net01a</v>
      </c>
      <c r="D300" s="8" t="str">
        <f>vvs_dr_flt_net_nodea_hostname</f>
        <v>Value Missing</v>
      </c>
      <c r="E300" s="42"/>
    </row>
    <row r="301" spans="2:5" ht="20" customHeight="1" x14ac:dyDescent="0.2">
      <c r="B301" s="345" t="s">
        <v>2704</v>
      </c>
      <c r="C301" s="65" t="str">
        <f>CONCATENATE(prefix_portable_component,"-net01b")</f>
        <v>flt-net01b</v>
      </c>
      <c r="D301" s="8" t="str">
        <f>vvs_dr_flt_net_nodeb_hostname</f>
        <v>Value Missing</v>
      </c>
      <c r="E301" s="42"/>
    </row>
    <row r="302" spans="2:5" ht="20" customHeight="1" x14ac:dyDescent="0.2">
      <c r="B302" s="345" t="s">
        <v>2705</v>
      </c>
      <c r="C302" s="65" t="str">
        <f>CONCATENATE(prefix_portable_component,"-net01c")</f>
        <v>flt-net01c</v>
      </c>
      <c r="D302" s="8" t="str">
        <f>vvs_dr_flt_net_nodec_hostname</f>
        <v>Value Missing</v>
      </c>
      <c r="E302" s="42"/>
    </row>
    <row r="303" spans="2:5" ht="20" customHeight="1" x14ac:dyDescent="0.2">
      <c r="B303" s="345" t="s">
        <v>2683</v>
      </c>
      <c r="C303" s="65" t="str">
        <f>sample_mgmt_srm_recovery_datastore</f>
        <v>lax-m01-cl01-ds-vsan01</v>
      </c>
      <c r="D303" s="8" t="str">
        <f>mgmt_srm_recovery_datastore</f>
        <v>Value Missing</v>
      </c>
      <c r="E303" s="42"/>
    </row>
    <row r="304" spans="2:5" ht="20" customHeight="1" x14ac:dyDescent="0.2">
      <c r="B304" s="345" t="s">
        <v>2684</v>
      </c>
      <c r="C304" s="65">
        <f>sample_mgmt_srm_rpo</f>
        <v>15</v>
      </c>
      <c r="D304" s="8" t="str">
        <f>mgmt_srm_rpo</f>
        <v>Value Missing</v>
      </c>
      <c r="E304" s="42"/>
    </row>
    <row r="305" spans="2:5" ht="20" customHeight="1" x14ac:dyDescent="0.2">
      <c r="B305" s="345" t="s">
        <v>1688</v>
      </c>
      <c r="C305" s="65">
        <f>sample_mgmt_srm_instances_per_day</f>
        <v>3</v>
      </c>
      <c r="D305" s="8" t="str">
        <f>mgmt_srm_instances_per_day</f>
        <v>Value Missing</v>
      </c>
      <c r="E305" s="42"/>
    </row>
    <row r="306" spans="2:5" ht="20" customHeight="1" x14ac:dyDescent="0.2">
      <c r="B306" s="345" t="s">
        <v>1692</v>
      </c>
      <c r="C306" s="65">
        <f>sample_mgmt_srm_days</f>
        <v>1</v>
      </c>
      <c r="D306" s="8" t="str">
        <f>mgmt_srm_days</f>
        <v>Value Missing</v>
      </c>
      <c r="E306" s="42"/>
    </row>
    <row r="307" spans="2:5" ht="20" customHeight="1" x14ac:dyDescent="0.2">
      <c r="B307" s="345" t="s">
        <v>2685</v>
      </c>
      <c r="C307" s="65" t="s">
        <v>2706</v>
      </c>
      <c r="D307" s="66"/>
      <c r="E307" s="42"/>
    </row>
    <row r="308" spans="2:5" ht="20" customHeight="1" x14ac:dyDescent="0.2">
      <c r="B308" s="345" t="s">
        <v>2687</v>
      </c>
      <c r="C308" s="65" t="s">
        <v>2707</v>
      </c>
      <c r="D308" s="66"/>
      <c r="E308" s="42"/>
    </row>
    <row r="309" spans="2:5" ht="16" customHeight="1" x14ac:dyDescent="0.2">
      <c r="B309" s="348"/>
    </row>
    <row r="310" spans="2:5" ht="34" customHeight="1" x14ac:dyDescent="0.2">
      <c r="B310" s="609" t="s">
        <v>2708</v>
      </c>
      <c r="C310" s="609"/>
      <c r="D310" s="609"/>
      <c r="E310" s="609"/>
    </row>
    <row r="311" spans="2:5" ht="20" customHeight="1" x14ac:dyDescent="0.2">
      <c r="B311" s="601"/>
      <c r="C311" s="601"/>
      <c r="D311" s="601"/>
      <c r="E311" s="601"/>
    </row>
    <row r="312" spans="2:5" ht="20" customHeight="1" x14ac:dyDescent="0.2">
      <c r="B312" s="357" t="s">
        <v>18</v>
      </c>
      <c r="C312" s="358" t="s">
        <v>19</v>
      </c>
      <c r="D312" s="358" t="s">
        <v>20</v>
      </c>
      <c r="E312" s="358" t="s">
        <v>21</v>
      </c>
    </row>
    <row r="313" spans="2:5" ht="20" customHeight="1" x14ac:dyDescent="0.2">
      <c r="B313" s="345" t="s">
        <v>2646</v>
      </c>
      <c r="C313" s="65" t="str">
        <f>CONCATENATE(sample_vvs_mgmt_dr_vlr_fqdn,"/dr")</f>
        <v>sfo-m01-vlr01.sfo.rainpole.io/dr</v>
      </c>
      <c r="D313" s="8" t="str">
        <f>CONCATENATE(vvs_mgmt_dr_vlr_fqdn,"/dr")</f>
        <v>Value Missing/dr</v>
      </c>
      <c r="E313" s="42"/>
    </row>
    <row r="314" spans="2:5" ht="20" customHeight="1" x14ac:dyDescent="0.2">
      <c r="B314" s="345" t="s">
        <v>2674</v>
      </c>
      <c r="C314" s="65" t="str">
        <f>CONCATENATE(sample_mgmt_vc_fqdn," &lt;--&gt; ",sample_mgmt_srm_recovery_vcenter_fqdn)</f>
        <v>sfo-m01-vc01.sfo.rainpole.io &lt;--&gt; lax-m01-vc01.lax.rainpole.io</v>
      </c>
      <c r="D314" s="8" t="str">
        <f>vs_dr_site_pair</f>
        <v>Value Missing &lt;--&gt; Value Missing</v>
      </c>
      <c r="E314" s="42"/>
    </row>
    <row r="315" spans="2:5" ht="20" customHeight="1" x14ac:dyDescent="0.2">
      <c r="B315" s="345" t="s">
        <v>2690</v>
      </c>
      <c r="C315" s="65" t="str">
        <f>sample_mgmt_srm_net_rp</f>
        <v>VCF-OPS-NET-RP</v>
      </c>
      <c r="D315" s="66"/>
      <c r="E315" s="42"/>
    </row>
    <row r="316" spans="2:5" ht="20" customHeight="1" x14ac:dyDescent="0.2">
      <c r="B316" s="345" t="s">
        <v>2703</v>
      </c>
      <c r="C316" s="65" t="str">
        <f>CONCATENATE(prefix_portable_component,"-net01a")</f>
        <v>flt-net01a</v>
      </c>
      <c r="D316" s="8" t="str">
        <f>vvs_dr_flt_net_nodea_hostname</f>
        <v>Value Missing</v>
      </c>
      <c r="E316" s="42"/>
    </row>
    <row r="317" spans="2:5" ht="20" customHeight="1" x14ac:dyDescent="0.2">
      <c r="B317" s="345" t="s">
        <v>2704</v>
      </c>
      <c r="C317" s="65" t="str">
        <f>CONCATENATE(prefix_portable_component,"-net01b")</f>
        <v>flt-net01b</v>
      </c>
      <c r="D317" s="8" t="str">
        <f>vvs_dr_flt_net_nodeb_hostname</f>
        <v>Value Missing</v>
      </c>
      <c r="E317" s="42"/>
    </row>
    <row r="318" spans="2:5" ht="20" customHeight="1" x14ac:dyDescent="0.2">
      <c r="B318" s="345" t="s">
        <v>2705</v>
      </c>
      <c r="C318" s="65" t="str">
        <f>CONCATENATE(prefix_portable_component,"-net01c")</f>
        <v>flt-net01c</v>
      </c>
      <c r="D318" s="8" t="str">
        <f>vvs_dr_flt_net_nodec_hostname</f>
        <v>Value Missing</v>
      </c>
      <c r="E318" s="42"/>
    </row>
    <row r="319" spans="2:5" ht="16" customHeight="1" x14ac:dyDescent="0.2">
      <c r="B319" s="348"/>
      <c r="C319" s="340"/>
    </row>
    <row r="320" spans="2:5" ht="34" customHeight="1" x14ac:dyDescent="0.2">
      <c r="B320" s="609" t="s">
        <v>2709</v>
      </c>
      <c r="C320" s="609"/>
      <c r="D320" s="609"/>
      <c r="E320" s="609"/>
    </row>
    <row r="321" spans="2:5" ht="20" customHeight="1" x14ac:dyDescent="0.2">
      <c r="B321" s="601"/>
      <c r="C321" s="601"/>
      <c r="D321" s="601"/>
      <c r="E321" s="601"/>
    </row>
    <row r="322" spans="2:5" ht="20" customHeight="1" x14ac:dyDescent="0.2">
      <c r="B322" s="357" t="s">
        <v>18</v>
      </c>
      <c r="C322" s="358" t="s">
        <v>19</v>
      </c>
      <c r="D322" s="358" t="s">
        <v>20</v>
      </c>
      <c r="E322" s="358" t="s">
        <v>21</v>
      </c>
    </row>
    <row r="323" spans="2:5" ht="20" customHeight="1" x14ac:dyDescent="0.2">
      <c r="B323" s="345" t="s">
        <v>2392</v>
      </c>
      <c r="C323" s="65" t="str">
        <f>sample_mgmt_srm_recovery_vcenter_fqdn</f>
        <v>lax-m01-vc01.lax.rainpole.io</v>
      </c>
      <c r="D323" s="8" t="str">
        <f>mgmt_srm_recovery_vcenter_fqdn</f>
        <v>Value Missing</v>
      </c>
      <c r="E323" s="42"/>
    </row>
    <row r="324" spans="2:5" ht="20" customHeight="1" x14ac:dyDescent="0.2">
      <c r="B324" s="345" t="s">
        <v>646</v>
      </c>
      <c r="C324" s="65" t="str">
        <f>CONCATENATE(other_instance,"-m01-cl01")</f>
        <v>lax-m01-cl01</v>
      </c>
      <c r="D324" s="66"/>
      <c r="E324" s="42"/>
    </row>
    <row r="325" spans="2:5" ht="20" customHeight="1" x14ac:dyDescent="0.2">
      <c r="B325" s="345" t="s">
        <v>2710</v>
      </c>
      <c r="C325" s="65" t="s">
        <v>2711</v>
      </c>
      <c r="D325" s="66"/>
      <c r="E325" s="42"/>
    </row>
    <row r="326" spans="2:5" ht="20" customHeight="1" x14ac:dyDescent="0.2">
      <c r="B326" s="345" t="s">
        <v>2712</v>
      </c>
      <c r="C326" s="65" t="str">
        <f>CONCATENATE(prefix_portable_component,"-ops01a")</f>
        <v>flt-ops01a</v>
      </c>
      <c r="D326" s="8" t="str">
        <f t="array" ref="D326">vvs_dr_flt_ops_nodea_hostname</f>
        <v>Value Missing</v>
      </c>
      <c r="E326" s="42"/>
    </row>
    <row r="327" spans="2:5" ht="20" customHeight="1" x14ac:dyDescent="0.2">
      <c r="B327" s="345" t="s">
        <v>2713</v>
      </c>
      <c r="C327" s="65" t="str">
        <f>CONCATENATE(prefix_portable_component,"-ops01b")</f>
        <v>flt-ops01b</v>
      </c>
      <c r="D327" s="8" t="str">
        <f t="array" ref="D327">vvs_dr_flt_ops_nodeb_hostname</f>
        <v>Value Missing</v>
      </c>
      <c r="E327" s="42"/>
    </row>
    <row r="328" spans="2:5" ht="20" customHeight="1" x14ac:dyDescent="0.2">
      <c r="B328" s="345" t="s">
        <v>2714</v>
      </c>
      <c r="C328" s="65" t="str">
        <f>CONCATENATE(prefix_portable_component,"-ops01c")</f>
        <v>flt-ops01c</v>
      </c>
      <c r="D328" s="8" t="str">
        <f t="array" ref="D328">vvs_dr_flt_ops_nodec_hostname</f>
        <v>Value Missing</v>
      </c>
      <c r="E328" s="42"/>
    </row>
    <row r="329" spans="2:5" ht="20" customHeight="1" x14ac:dyDescent="0.2">
      <c r="B329" s="345" t="s">
        <v>2715</v>
      </c>
      <c r="C329" s="65" t="s">
        <v>2716</v>
      </c>
      <c r="D329" s="66"/>
      <c r="E329" s="42"/>
    </row>
    <row r="330" spans="2:5" ht="20" customHeight="1" x14ac:dyDescent="0.2">
      <c r="B330" s="345" t="s">
        <v>2717</v>
      </c>
      <c r="C330" s="65" t="str">
        <f>CONCATENATE(prefix_portable_component,"-logs01a")</f>
        <v>flt-logs01a</v>
      </c>
      <c r="D330" s="8" t="str">
        <f>vvs_dr_flt_logs_nodea_hostname</f>
        <v>Value Missing</v>
      </c>
      <c r="E330" s="42"/>
    </row>
    <row r="331" spans="2:5" ht="20" customHeight="1" x14ac:dyDescent="0.2">
      <c r="B331" s="345" t="s">
        <v>2718</v>
      </c>
      <c r="C331" s="65" t="str">
        <f>CONCATENATE(prefix_portable_component,"-logs01b")</f>
        <v>flt-logs01b</v>
      </c>
      <c r="D331" s="8" t="str">
        <f>vvs_dr_flt_logs_nodeb_hostname</f>
        <v>Value Missing</v>
      </c>
      <c r="E331" s="42"/>
    </row>
    <row r="332" spans="2:5" ht="20" customHeight="1" x14ac:dyDescent="0.2">
      <c r="B332" s="345" t="s">
        <v>2719</v>
      </c>
      <c r="C332" s="65" t="str">
        <f>CONCATENATE(prefix_portable_component,"-logs01c")</f>
        <v>flt-logs01c</v>
      </c>
      <c r="D332" s="8" t="str">
        <f>vvs_dr_flt_logs_nodec_hostname</f>
        <v>Value Missing</v>
      </c>
      <c r="E332" s="42"/>
    </row>
    <row r="333" spans="2:5" ht="20" customHeight="1" x14ac:dyDescent="0.2">
      <c r="B333" s="345" t="s">
        <v>2720</v>
      </c>
      <c r="C333" s="65" t="s">
        <v>2721</v>
      </c>
      <c r="D333" s="66"/>
      <c r="E333" s="42"/>
    </row>
    <row r="334" spans="2:5" ht="20" customHeight="1" x14ac:dyDescent="0.2">
      <c r="B334" s="345" t="s">
        <v>2722</v>
      </c>
      <c r="C334" s="65" t="str">
        <f>CONCATENATE(prefix_portable_component,"-net01a")</f>
        <v>flt-net01a</v>
      </c>
      <c r="D334" s="8" t="str">
        <f>vvs_dr_flt_net_nodea_hostname</f>
        <v>Value Missing</v>
      </c>
      <c r="E334" s="42"/>
    </row>
    <row r="335" spans="2:5" ht="20" customHeight="1" x14ac:dyDescent="0.2">
      <c r="B335" s="345" t="s">
        <v>2723</v>
      </c>
      <c r="C335" s="65" t="str">
        <f>CONCATENATE(prefix_portable_component,"-net01b")</f>
        <v>flt-net01b</v>
      </c>
      <c r="D335" s="8" t="str">
        <f>vvs_dr_flt_net_nodeb_hostname</f>
        <v>Value Missing</v>
      </c>
      <c r="E335" s="42"/>
    </row>
    <row r="336" spans="2:5" ht="20" customHeight="1" x14ac:dyDescent="0.2">
      <c r="B336" s="345" t="s">
        <v>2724</v>
      </c>
      <c r="C336" s="65" t="str">
        <f>CONCATENATE(prefix_portable_component,"-net01c")</f>
        <v>flt-net01c</v>
      </c>
      <c r="D336" s="8" t="str">
        <f>vvs_dr_flt_net_nodec_hostname</f>
        <v>Value Missing</v>
      </c>
      <c r="E336" s="42"/>
    </row>
    <row r="337" spans="2:5" ht="16" customHeight="1" x14ac:dyDescent="0.2">
      <c r="B337" s="348"/>
      <c r="C337" s="173"/>
    </row>
    <row r="338" spans="2:5" ht="34" customHeight="1" x14ac:dyDescent="0.2">
      <c r="B338" s="609" t="s">
        <v>2725</v>
      </c>
      <c r="C338" s="609"/>
      <c r="D338" s="609"/>
      <c r="E338" s="609"/>
    </row>
    <row r="339" spans="2:5" ht="20" customHeight="1" x14ac:dyDescent="0.2">
      <c r="B339" s="601"/>
      <c r="C339" s="601"/>
      <c r="D339" s="601"/>
      <c r="E339" s="601"/>
    </row>
    <row r="340" spans="2:5" ht="20" customHeight="1" x14ac:dyDescent="0.2">
      <c r="B340" s="357" t="s">
        <v>18</v>
      </c>
      <c r="C340" s="358" t="s">
        <v>19</v>
      </c>
      <c r="D340" s="358" t="s">
        <v>20</v>
      </c>
      <c r="E340" s="358" t="s">
        <v>21</v>
      </c>
    </row>
    <row r="341" spans="2:5" ht="20" customHeight="1" x14ac:dyDescent="0.2">
      <c r="B341" s="4" t="s">
        <v>2392</v>
      </c>
      <c r="C341" s="65" t="str">
        <f>sample_mgmt_srm_recovery_vcenter_fqdn</f>
        <v>lax-m01-vc01.lax.rainpole.io</v>
      </c>
      <c r="D341" s="8" t="str">
        <f>mgmt_srm_recovery_vcenter_fqdn</f>
        <v>Value Missing</v>
      </c>
      <c r="E341" s="42"/>
    </row>
    <row r="342" spans="2:5" ht="20" customHeight="1" x14ac:dyDescent="0.2">
      <c r="B342" s="4" t="s">
        <v>646</v>
      </c>
      <c r="C342" s="105" t="str">
        <f>sample_mgmt_srm_recovery_cluster</f>
        <v>lax-m01-cl01</v>
      </c>
      <c r="D342" s="255" t="str">
        <f>mgmt_srm_recovery_cluster</f>
        <v>Value Missing</v>
      </c>
      <c r="E342" s="42"/>
    </row>
    <row r="343" spans="2:5" ht="20" customHeight="1" x14ac:dyDescent="0.2">
      <c r="B343" s="579" t="s">
        <v>2726</v>
      </c>
      <c r="C343" s="580"/>
      <c r="D343" s="580"/>
      <c r="E343" s="581"/>
    </row>
    <row r="344" spans="2:5" ht="20" customHeight="1" x14ac:dyDescent="0.2">
      <c r="B344" s="4" t="s">
        <v>2710</v>
      </c>
      <c r="C344" s="65" t="str">
        <f>CONCATENATE(prefix_portable_component,"-vm-group-","vcf-operations")</f>
        <v>flt-vm-group-vcf-operations</v>
      </c>
      <c r="D344" s="66"/>
      <c r="E344" s="42"/>
    </row>
    <row r="345" spans="2:5" ht="20" customHeight="1" x14ac:dyDescent="0.2">
      <c r="B345" s="4" t="s">
        <v>2712</v>
      </c>
      <c r="C345" s="65" t="str">
        <f>CONCATENATE(prefix_portable_component,"-ops01a")</f>
        <v>flt-ops01a</v>
      </c>
      <c r="D345" s="8" t="str">
        <f t="array" ref="D345">vvs_dr_flt_ops_nodea_hostname</f>
        <v>Value Missing</v>
      </c>
      <c r="E345" s="42"/>
    </row>
    <row r="346" spans="2:5" ht="20" customHeight="1" x14ac:dyDescent="0.2">
      <c r="B346" s="4" t="s">
        <v>2713</v>
      </c>
      <c r="C346" s="65" t="str">
        <f>CONCATENATE(prefix_portable_component,"-ops01b")</f>
        <v>flt-ops01b</v>
      </c>
      <c r="D346" s="8" t="str">
        <f t="array" ref="D346">vvs_dr_flt_ops_nodeb_hostname</f>
        <v>Value Missing</v>
      </c>
      <c r="E346" s="42"/>
    </row>
    <row r="347" spans="2:5" ht="20" customHeight="1" x14ac:dyDescent="0.2">
      <c r="B347" s="4" t="s">
        <v>2714</v>
      </c>
      <c r="C347" s="65" t="str">
        <f>CONCATENATE(prefix_portable_component,"-ops01c")</f>
        <v>flt-ops01c</v>
      </c>
      <c r="D347" s="8" t="str">
        <f t="array" ref="D347">vvs_dr_flt_ops_nodec_hostname</f>
        <v>Value Missing</v>
      </c>
      <c r="E347" s="42"/>
    </row>
    <row r="348" spans="2:5" ht="20" customHeight="1" x14ac:dyDescent="0.2">
      <c r="B348" s="4" t="s">
        <v>2691</v>
      </c>
      <c r="C348" s="65" t="str">
        <f>sample_vvs_dr_flt_fleet_manager_hostname</f>
        <v>flt-fm01</v>
      </c>
      <c r="D348" s="8" t="str">
        <f>vvs_dr_flt_fleet_manager_hostname</f>
        <v>Value Missing</v>
      </c>
      <c r="E348" s="42"/>
    </row>
    <row r="349" spans="2:5" ht="20" customHeight="1" x14ac:dyDescent="0.2">
      <c r="B349" s="579" t="s">
        <v>2727</v>
      </c>
      <c r="C349" s="580"/>
      <c r="D349" s="580"/>
      <c r="E349" s="581"/>
    </row>
    <row r="350" spans="2:5" ht="20" customHeight="1" x14ac:dyDescent="0.2">
      <c r="B350" s="345" t="s">
        <v>2728</v>
      </c>
      <c r="C350" s="65" t="str">
        <f>CONCATENATE(prefix_portable_component,"-vm-group-","vcf-logs")</f>
        <v>flt-vm-group-vcf-logs</v>
      </c>
      <c r="D350" s="66"/>
      <c r="E350" s="42"/>
    </row>
    <row r="351" spans="2:5" ht="20" customHeight="1" x14ac:dyDescent="0.2">
      <c r="B351" s="345" t="s">
        <v>2729</v>
      </c>
      <c r="C351" s="65" t="str">
        <f>CONCATENATE(prefix_portable_component,"-logs01a")</f>
        <v>flt-logs01a</v>
      </c>
      <c r="D351" s="8" t="str">
        <f>vvs_dr_flt_logs_nodea_hostname</f>
        <v>Value Missing</v>
      </c>
      <c r="E351" s="42"/>
    </row>
    <row r="352" spans="2:5" ht="20" customHeight="1" x14ac:dyDescent="0.2">
      <c r="B352" s="345" t="s">
        <v>2730</v>
      </c>
      <c r="C352" s="65" t="str">
        <f>CONCATENATE(prefix_portable_component,"-logs01b")</f>
        <v>flt-logs01b</v>
      </c>
      <c r="D352" s="8" t="str">
        <f>vvs_dr_flt_logs_nodeb_hostname</f>
        <v>Value Missing</v>
      </c>
      <c r="E352" s="42"/>
    </row>
    <row r="353" spans="2:5" ht="20" customHeight="1" x14ac:dyDescent="0.2">
      <c r="B353" s="345" t="s">
        <v>2731</v>
      </c>
      <c r="C353" s="65" t="str">
        <f>CONCATENATE(prefix_portable_component,"-logs01c")</f>
        <v>flt-logs01c</v>
      </c>
      <c r="D353" s="8" t="str">
        <f>vvs_dr_flt_logs_nodec_hostname</f>
        <v>Value Missing</v>
      </c>
      <c r="E353" s="42"/>
    </row>
    <row r="354" spans="2:5" ht="20" customHeight="1" x14ac:dyDescent="0.2">
      <c r="B354" s="579" t="s">
        <v>2727</v>
      </c>
      <c r="C354" s="580"/>
      <c r="D354" s="580"/>
      <c r="E354" s="581"/>
    </row>
    <row r="355" spans="2:5" ht="20" customHeight="1" x14ac:dyDescent="0.2">
      <c r="B355" s="345" t="s">
        <v>2732</v>
      </c>
      <c r="C355" s="65" t="str">
        <f>CONCATENATE(prefix_portable_component,"-vm-group-","vcf-neworks")</f>
        <v>flt-vm-group-vcf-neworks</v>
      </c>
      <c r="D355" s="66"/>
      <c r="E355" s="42"/>
    </row>
    <row r="356" spans="2:5" ht="20" customHeight="1" x14ac:dyDescent="0.2">
      <c r="B356" s="345" t="s">
        <v>2733</v>
      </c>
      <c r="C356" s="65" t="str">
        <f>CONCATENATE(prefix_portable_component,"-net01a")</f>
        <v>flt-net01a</v>
      </c>
      <c r="D356" s="8" t="str">
        <f>vvs_dr_flt_net_nodea_hostname</f>
        <v>Value Missing</v>
      </c>
      <c r="E356" s="42"/>
    </row>
    <row r="357" spans="2:5" ht="20" customHeight="1" x14ac:dyDescent="0.2">
      <c r="B357" s="345" t="s">
        <v>2734</v>
      </c>
      <c r="C357" s="65" t="str">
        <f>CONCATENATE(prefix_portable_component,"-net01b")</f>
        <v>flt-net01b</v>
      </c>
      <c r="D357" s="8" t="str">
        <f>vvs_dr_flt_net_nodeb_hostname</f>
        <v>Value Missing</v>
      </c>
      <c r="E357" s="42"/>
    </row>
    <row r="358" spans="2:5" ht="20" customHeight="1" x14ac:dyDescent="0.2">
      <c r="B358" s="345" t="s">
        <v>2735</v>
      </c>
      <c r="C358" s="65" t="str">
        <f>CONCATENATE(prefix_portable_component,"-net01c")</f>
        <v>flt-net01c</v>
      </c>
      <c r="D358" s="8" t="str">
        <f>vvs_dr_flt_net_nodec_hostname</f>
        <v>Value Missing</v>
      </c>
      <c r="E358" s="42"/>
    </row>
    <row r="359" spans="2:5" ht="20" customHeight="1" x14ac:dyDescent="0.2">
      <c r="B359" s="579" t="s">
        <v>2727</v>
      </c>
      <c r="C359" s="580"/>
      <c r="D359" s="580"/>
      <c r="E359" s="581"/>
    </row>
    <row r="360" spans="2:5" ht="20" customHeight="1" x14ac:dyDescent="0.2">
      <c r="B360" s="345" t="s">
        <v>2736</v>
      </c>
      <c r="C360" s="65" t="s">
        <v>2737</v>
      </c>
      <c r="D360" s="66"/>
      <c r="E360" s="8"/>
    </row>
    <row r="361" spans="2:5" ht="20" customHeight="1" x14ac:dyDescent="0.2">
      <c r="B361" s="345" t="s">
        <v>2738</v>
      </c>
      <c r="C361" s="65" t="str">
        <f>C344</f>
        <v>flt-vm-group-vcf-operations</v>
      </c>
      <c r="D361" s="66"/>
      <c r="E361" s="8"/>
    </row>
    <row r="362" spans="2:5" ht="20" customHeight="1" x14ac:dyDescent="0.2">
      <c r="B362" s="345" t="s">
        <v>2739</v>
      </c>
      <c r="C362" s="65" t="s">
        <v>2740</v>
      </c>
      <c r="D362" s="66"/>
      <c r="E362" s="8"/>
    </row>
    <row r="363" spans="2:5" ht="20" customHeight="1" x14ac:dyDescent="0.2">
      <c r="B363" s="345" t="s">
        <v>2741</v>
      </c>
      <c r="C363" s="65" t="s">
        <v>2742</v>
      </c>
      <c r="D363" s="66"/>
      <c r="E363" s="8"/>
    </row>
    <row r="364" spans="2:5" ht="20" customHeight="1" x14ac:dyDescent="0.2">
      <c r="B364" s="345" t="s">
        <v>2743</v>
      </c>
      <c r="C364" s="65" t="s">
        <v>2744</v>
      </c>
      <c r="D364" s="66"/>
      <c r="E364" s="8"/>
    </row>
    <row r="365" spans="2:5" ht="20" customHeight="1" x14ac:dyDescent="0.2">
      <c r="B365" s="345" t="s">
        <v>2739</v>
      </c>
      <c r="C365" s="65" t="s">
        <v>2740</v>
      </c>
      <c r="D365" s="66"/>
      <c r="E365" s="42"/>
    </row>
    <row r="366" spans="2:5" ht="16" customHeight="1" x14ac:dyDescent="0.2">
      <c r="B366" s="348"/>
      <c r="C366" s="173"/>
    </row>
    <row r="367" spans="2:5" ht="34" customHeight="1" x14ac:dyDescent="0.2">
      <c r="B367" s="608" t="s">
        <v>2745</v>
      </c>
      <c r="C367" s="609"/>
      <c r="D367" s="609"/>
      <c r="E367" s="609"/>
    </row>
    <row r="368" spans="2:5" ht="16" customHeight="1" x14ac:dyDescent="0.2">
      <c r="B368" s="348"/>
      <c r="C368" s="173"/>
    </row>
    <row r="369" spans="2:5" ht="34" customHeight="1" x14ac:dyDescent="0.2">
      <c r="B369" s="609" t="s">
        <v>2746</v>
      </c>
      <c r="C369" s="609"/>
      <c r="D369" s="609"/>
      <c r="E369" s="609"/>
    </row>
    <row r="370" spans="2:5" ht="20" customHeight="1" x14ac:dyDescent="0.2">
      <c r="B370" s="601"/>
      <c r="C370" s="601"/>
      <c r="D370" s="601"/>
      <c r="E370" s="601"/>
    </row>
    <row r="371" spans="2:5" ht="20" customHeight="1" x14ac:dyDescent="0.2">
      <c r="B371" s="357" t="s">
        <v>18</v>
      </c>
      <c r="C371" s="358" t="s">
        <v>19</v>
      </c>
      <c r="D371" s="358" t="s">
        <v>20</v>
      </c>
      <c r="E371" s="358" t="s">
        <v>21</v>
      </c>
    </row>
    <row r="372" spans="2:5" ht="20" customHeight="1" x14ac:dyDescent="0.2">
      <c r="B372" s="4" t="s">
        <v>2611</v>
      </c>
      <c r="C372" s="65" t="str">
        <f>sample_vvs_dr_flt_ops_nodea_fqdn</f>
        <v>flt-ops01a.rainpole.io</v>
      </c>
      <c r="D372" s="8" t="str">
        <f>vvs_dr_flt_ops_nodea_fqdn</f>
        <v>Value Missing</v>
      </c>
      <c r="E372" s="42"/>
    </row>
    <row r="373" spans="2:5" ht="20" customHeight="1" x14ac:dyDescent="0.2">
      <c r="B373" s="579" t="s">
        <v>2747</v>
      </c>
      <c r="C373" s="580"/>
      <c r="D373" s="580"/>
      <c r="E373" s="581"/>
    </row>
    <row r="374" spans="2:5" ht="20" customHeight="1" x14ac:dyDescent="0.2">
      <c r="B374" s="345" t="s">
        <v>713</v>
      </c>
      <c r="C374" s="65" t="str">
        <f>sample_mgmt_srm_recovery_vcenter_fqdn</f>
        <v>lax-m01-vc01.lax.rainpole.io</v>
      </c>
      <c r="D374" s="8" t="str">
        <f>mgmt_srm_recovery_vcenter_fqdn</f>
        <v>Value Missing</v>
      </c>
      <c r="E374" s="42"/>
    </row>
    <row r="375" spans="2:5" ht="20" customHeight="1" x14ac:dyDescent="0.2">
      <c r="B375" s="345" t="s">
        <v>646</v>
      </c>
      <c r="C375" s="65" t="str">
        <f>sample_mgmt_srm_recovery_cluster</f>
        <v>lax-m01-cl01</v>
      </c>
      <c r="D375" s="8" t="str">
        <f>mgmt_srm_recovery_cluster</f>
        <v>Value Missing</v>
      </c>
      <c r="E375" s="42"/>
    </row>
    <row r="376" spans="2:5" ht="20" customHeight="1" x14ac:dyDescent="0.2">
      <c r="B376" s="345" t="s">
        <v>245</v>
      </c>
      <c r="C376" s="65" t="str">
        <f>IF(OR(flt_custom_network_chosen="NSX Overlay segment",flt_custom_network_chosen="NSX VLAN segment"),CONCATENATE(prefix_portable_component,"-m01-seg01"),IF(flt_custom_network_chosen="Dedicated Management Network",CONCATENATE(other_instance,"-m01-cl01-vds01-pg-flt-mgmt"),CONCATENATE(other_instance,"-m01-cl01-vds01-pg-vm-mgmt")))</f>
        <v>lax-m01-cl01-vds01-pg-vm-mgmt</v>
      </c>
      <c r="D376" s="195"/>
      <c r="E376" s="42"/>
    </row>
    <row r="377" spans="2:5" ht="20" customHeight="1" x14ac:dyDescent="0.2">
      <c r="B377" s="345" t="s">
        <v>102</v>
      </c>
      <c r="C377" s="65" t="str">
        <f>sample_mgmt_srm_recovery_datastore</f>
        <v>lax-m01-cl01-ds-vsan01</v>
      </c>
      <c r="D377" s="8" t="str">
        <f>mgmt_srm_recovery_datastore</f>
        <v>Value Missing</v>
      </c>
      <c r="E377" s="42"/>
    </row>
    <row r="378" spans="2:5" ht="20" customHeight="1" x14ac:dyDescent="0.2">
      <c r="B378" s="579" t="s">
        <v>245</v>
      </c>
      <c r="C378" s="580"/>
      <c r="D378" s="580"/>
      <c r="E378" s="581"/>
    </row>
    <row r="379" spans="2:5" ht="20" customHeight="1" x14ac:dyDescent="0.2">
      <c r="B379" s="345" t="s">
        <v>563</v>
      </c>
      <c r="C379" s="65" t="str">
        <f>sample_parent_dns_zone</f>
        <v>rainpole.io</v>
      </c>
      <c r="D379" s="8" t="str">
        <f>vvs_dr_parent_dns_zone</f>
        <v>Value Missing</v>
      </c>
      <c r="E379" s="42"/>
    </row>
    <row r="380" spans="2:5" ht="20" customHeight="1" x14ac:dyDescent="0.2">
      <c r="B380" s="345" t="s">
        <v>564</v>
      </c>
      <c r="C380" s="65" t="str">
        <f>sample_parent_dns_zone</f>
        <v>rainpole.io</v>
      </c>
      <c r="D380" s="8" t="str">
        <f>vvs_dr_parent_dns_zone</f>
        <v>Value Missing</v>
      </c>
      <c r="E380" s="42"/>
    </row>
    <row r="381" spans="2:5" ht="20" customHeight="1" x14ac:dyDescent="0.2">
      <c r="B381" s="345" t="s">
        <v>565</v>
      </c>
      <c r="C381" s="65" t="str">
        <f>CONCATENATE(sample_vvs_dr_dns1_ip,",",sample_vvs_dr_dns2_ip)</f>
        <v>10.21.10.4,10.21.10.5</v>
      </c>
      <c r="D381" s="8" t="str">
        <f>CONCATENATE(vvs_dr_dns1_ip,",",vvs_dr_dns2_ip)</f>
        <v>Value Missing,Value Missing</v>
      </c>
      <c r="E381" s="42"/>
    </row>
    <row r="382" spans="2:5" ht="20" customHeight="1" x14ac:dyDescent="0.2">
      <c r="B382" s="345" t="s">
        <v>568</v>
      </c>
      <c r="C382" s="65" t="str">
        <f>IF(flt_custom_network_chosen="Shared Management Network",IF(mgmt_dpg_reuse_result="Included",CONCATENATE(prefix_mgmt_az1_cidr,"10.1"),CONCATENATE(prefix_mgmt_az1_cidr,"11.1")),IF(flt_custom_network_chosen="NSX Overlay Segment",CONCATENATE(prefix_xreg_cidr,".1"),CONCATENATE(prefix_flt_shared_cidr,".1")))</f>
        <v>10.11.10.1</v>
      </c>
      <c r="D382" s="8"/>
      <c r="E382" s="42"/>
    </row>
    <row r="383" spans="2:5" ht="20" customHeight="1" x14ac:dyDescent="0.2">
      <c r="B383" s="345" t="s">
        <v>569</v>
      </c>
      <c r="C383" s="65" t="s">
        <v>126</v>
      </c>
      <c r="D383" s="8"/>
      <c r="E383" s="42"/>
    </row>
    <row r="384" spans="2:5" ht="20" customHeight="1" x14ac:dyDescent="0.2">
      <c r="B384" s="579" t="s">
        <v>2621</v>
      </c>
      <c r="C384" s="580"/>
      <c r="D384" s="580"/>
      <c r="E384" s="581"/>
    </row>
    <row r="385" spans="1:12" ht="20" customHeight="1" x14ac:dyDescent="0.2">
      <c r="B385" s="345" t="s">
        <v>39</v>
      </c>
      <c r="C385" s="108" t="str">
        <f>sample_flt_vidb_vip_fqdn</f>
        <v>flt-idb01.rainpole.io</v>
      </c>
      <c r="D385" s="8"/>
      <c r="E385" s="42"/>
    </row>
    <row r="386" spans="1:12" ht="20" customHeight="1" x14ac:dyDescent="0.2">
      <c r="B386" s="345" t="s">
        <v>2748</v>
      </c>
      <c r="C386" s="108"/>
      <c r="D386" s="8"/>
      <c r="E386" s="42"/>
    </row>
    <row r="387" spans="1:12" ht="20" customHeight="1" x14ac:dyDescent="0.2">
      <c r="B387" s="345" t="s">
        <v>643</v>
      </c>
      <c r="C387" s="342"/>
      <c r="D387" s="8"/>
      <c r="E387" s="42"/>
    </row>
    <row r="388" spans="1:12" ht="20" customHeight="1" x14ac:dyDescent="0.2">
      <c r="B388" s="345" t="s">
        <v>2749</v>
      </c>
      <c r="C388" s="108" t="str">
        <f>sample_flt_vidb_vip_fqdn</f>
        <v>flt-idb01.rainpole.io</v>
      </c>
      <c r="D388" s="8"/>
      <c r="E388" s="42"/>
    </row>
    <row r="389" spans="1:12" ht="20" customHeight="1" x14ac:dyDescent="0.2">
      <c r="B389" s="345" t="s">
        <v>528</v>
      </c>
      <c r="C389" s="108"/>
      <c r="D389" s="8"/>
      <c r="E389" s="42"/>
    </row>
    <row r="390" spans="1:12" ht="20" customHeight="1" x14ac:dyDescent="0.2">
      <c r="B390" s="345" t="s">
        <v>585</v>
      </c>
      <c r="C390" s="108" t="s">
        <v>594</v>
      </c>
      <c r="D390" s="8"/>
      <c r="E390" s="42"/>
    </row>
    <row r="391" spans="1:12" ht="20" customHeight="1" x14ac:dyDescent="0.2">
      <c r="B391" s="345" t="s">
        <v>584</v>
      </c>
      <c r="C391" s="65" t="str">
        <f>IF(flt_custom_network_chosen="Shared Management Network",IF(mgmt_dpg_reuse_result="Included",CONCATENATE(prefix_mgmt_az1_cidr,"20.16"),CONCATENATE(prefix_mgmt_az1_cidr,"20.16")),IF(flt_custom_network_chosen="NSX Overlay Segment",CONCATENATE(prefix_xreg_cidr,".60"),CONCATENATE(prefix_flt_shared_cidr,".16")))</f>
        <v>10.11.20.16</v>
      </c>
      <c r="D391" s="8"/>
      <c r="E391" s="42"/>
    </row>
    <row r="392" spans="1:12" ht="20" customHeight="1" x14ac:dyDescent="0.2">
      <c r="B392" s="345" t="s">
        <v>2750</v>
      </c>
      <c r="C392" s="65" t="str">
        <f>CONCATENATE(IF(flt_custom_network_chosen="Shared Management Network",IF(mgmt_dpg_reuse_result="Included",CONCATENATE(prefix_mgmt_az1_cidr,"20.53"),CONCATENATE(prefix_mgmt_az1_cidr,"20.53")),IF(flt_custom_network_chosen="NSX Overlay Segment",CONCATENATE(prefix_xreg_cidr,".53"),CONCATENATE(prefix_flt_shared_cidr,".53"))),"-",IF(flt_custom_network_chosen="Shared Management Network",IF(mgmt_dpg_reuse_result="Included",CONCATENATE(prefix_mgmt_az1_cidr,"20.56"),CONCATENATE(prefix_mgmt_az1_cidr,"20.56")),IF(flt_custom_network_chosen="NSX Overlay Segment",CONCATENATE(prefix_xreg_cidr,".56"),CONCATENATE(prefix_flt_shared_cidr,".56"))))</f>
        <v>10.11.20.53-10.11.20.56</v>
      </c>
      <c r="D392" s="8"/>
      <c r="E392" s="42"/>
    </row>
    <row r="393" spans="1:12" ht="16" customHeight="1" x14ac:dyDescent="0.2">
      <c r="B393" s="348"/>
    </row>
    <row r="394" spans="1:12" ht="34" customHeight="1" x14ac:dyDescent="0.2">
      <c r="A394" s="148"/>
      <c r="B394" s="617" t="s">
        <v>2751</v>
      </c>
      <c r="C394" s="618"/>
      <c r="D394" s="618"/>
      <c r="E394" s="661"/>
      <c r="F394" s="148"/>
      <c r="G394" s="148"/>
      <c r="H394" s="148"/>
      <c r="I394" s="148"/>
      <c r="J394" s="148"/>
      <c r="K394" s="148"/>
      <c r="L394" s="148"/>
    </row>
    <row r="395" spans="1:12" ht="20" customHeight="1" x14ac:dyDescent="0.2">
      <c r="B395" s="601"/>
      <c r="C395" s="601"/>
      <c r="D395" s="601"/>
      <c r="E395" s="601"/>
    </row>
    <row r="396" spans="1:12" ht="20" customHeight="1" x14ac:dyDescent="0.2">
      <c r="A396" s="148"/>
      <c r="B396" s="357" t="s">
        <v>18</v>
      </c>
      <c r="C396" s="358" t="s">
        <v>19</v>
      </c>
      <c r="D396" s="358" t="s">
        <v>20</v>
      </c>
      <c r="E396" s="358" t="s">
        <v>21</v>
      </c>
      <c r="F396" s="148"/>
      <c r="G396" s="148"/>
      <c r="H396" s="148"/>
      <c r="I396" s="148"/>
      <c r="J396" s="148"/>
      <c r="K396" s="148"/>
      <c r="L396" s="148"/>
    </row>
    <row r="397" spans="1:12" ht="20" customHeight="1" x14ac:dyDescent="0.2">
      <c r="A397" s="148"/>
      <c r="B397" s="4" t="s">
        <v>2611</v>
      </c>
      <c r="C397" s="65" t="str">
        <f>sample_vvs_dr_flt_ops_nodea_fqdn</f>
        <v>flt-ops01a.rainpole.io</v>
      </c>
      <c r="D397" s="195" t="str">
        <f>vvs_dr_flt_ops_nodea_fqdn</f>
        <v>Value Missing</v>
      </c>
      <c r="E397" s="194"/>
      <c r="F397" s="148"/>
      <c r="G397" s="148"/>
      <c r="H397" s="148"/>
      <c r="I397" s="148"/>
      <c r="J397" s="148"/>
      <c r="K397" s="148"/>
      <c r="L397" s="148"/>
    </row>
    <row r="398" spans="1:12" ht="20" customHeight="1" x14ac:dyDescent="0.2">
      <c r="A398" s="148"/>
      <c r="B398" s="614" t="s">
        <v>2747</v>
      </c>
      <c r="C398" s="615"/>
      <c r="D398" s="615"/>
      <c r="E398" s="616"/>
      <c r="F398" s="148"/>
      <c r="G398" s="148"/>
      <c r="H398" s="148"/>
      <c r="I398" s="148"/>
      <c r="J398" s="148"/>
      <c r="K398" s="148"/>
      <c r="L398" s="148"/>
    </row>
    <row r="399" spans="1:12" ht="20" customHeight="1" x14ac:dyDescent="0.2">
      <c r="A399" s="148"/>
      <c r="B399" s="341" t="s">
        <v>713</v>
      </c>
      <c r="C399" s="65" t="s">
        <v>2752</v>
      </c>
      <c r="D399" s="195" t="str">
        <f>mgmt_srm_recovery_vcenter_fqdn</f>
        <v>Value Missing</v>
      </c>
      <c r="E399" s="194"/>
      <c r="F399" s="148"/>
      <c r="G399" s="148"/>
      <c r="H399" s="148"/>
      <c r="I399" s="148"/>
      <c r="J399" s="148"/>
      <c r="K399" s="148"/>
      <c r="L399" s="148"/>
    </row>
    <row r="400" spans="1:12" ht="20" customHeight="1" x14ac:dyDescent="0.2">
      <c r="A400" s="148"/>
      <c r="B400" s="341" t="s">
        <v>646</v>
      </c>
      <c r="C400" s="65" t="s">
        <v>2753</v>
      </c>
      <c r="D400" s="195" t="str">
        <f>mgmt_srm_recovery_cluster</f>
        <v>Value Missing</v>
      </c>
      <c r="E400" s="194"/>
      <c r="F400" s="148"/>
      <c r="G400" s="148"/>
      <c r="H400" s="148"/>
      <c r="I400" s="148"/>
      <c r="J400" s="148"/>
      <c r="K400" s="148"/>
      <c r="L400" s="148"/>
    </row>
    <row r="401" spans="1:12" ht="20" customHeight="1" x14ac:dyDescent="0.2">
      <c r="A401" s="148"/>
      <c r="B401" s="341" t="s">
        <v>245</v>
      </c>
      <c r="C401" s="65" t="str">
        <f>sample_mgmt_srm_recovery_pg</f>
        <v>lax-m01-cl01-vds01-pg-vm-mgmt</v>
      </c>
      <c r="D401" s="195" t="str">
        <f t="array" ref="D401">mgmt_srm_recovery_pg</f>
        <v>Value Missing</v>
      </c>
      <c r="E401" s="194"/>
      <c r="F401" s="148"/>
      <c r="G401" s="148"/>
      <c r="H401" s="148"/>
      <c r="I401" s="148"/>
      <c r="J401" s="148"/>
      <c r="K401" s="148"/>
      <c r="L401" s="148"/>
    </row>
    <row r="402" spans="1:12" ht="20" customHeight="1" x14ac:dyDescent="0.2">
      <c r="A402" s="148"/>
      <c r="B402" s="341" t="s">
        <v>102</v>
      </c>
      <c r="C402" s="65" t="s">
        <v>2754</v>
      </c>
      <c r="D402" s="195" t="str">
        <f>mgmt_srm_recovery_datastore</f>
        <v>Value Missing</v>
      </c>
      <c r="E402" s="194"/>
      <c r="F402" s="148"/>
      <c r="G402" s="148"/>
      <c r="H402" s="148"/>
      <c r="I402" s="148"/>
      <c r="J402" s="148"/>
      <c r="K402" s="148"/>
      <c r="L402" s="148"/>
    </row>
    <row r="403" spans="1:12" ht="20" customHeight="1" x14ac:dyDescent="0.2">
      <c r="A403" s="148"/>
      <c r="B403" s="614" t="s">
        <v>245</v>
      </c>
      <c r="C403" s="615"/>
      <c r="D403" s="615"/>
      <c r="E403" s="616"/>
      <c r="F403" s="148"/>
      <c r="G403" s="148"/>
      <c r="H403" s="148"/>
      <c r="I403" s="148"/>
      <c r="J403" s="148"/>
      <c r="K403" s="148"/>
      <c r="L403" s="148"/>
    </row>
    <row r="404" spans="1:12" ht="20" customHeight="1" x14ac:dyDescent="0.2">
      <c r="A404" s="148"/>
      <c r="B404" s="341" t="s">
        <v>563</v>
      </c>
      <c r="C404" s="65" t="s">
        <v>1393</v>
      </c>
      <c r="D404" s="8" t="str">
        <f>vvs_dr_parent_dns_zone</f>
        <v>Value Missing</v>
      </c>
      <c r="E404" s="194"/>
      <c r="F404" s="148"/>
      <c r="G404" s="148"/>
      <c r="H404" s="148"/>
      <c r="I404" s="148"/>
      <c r="J404" s="148"/>
      <c r="K404" s="148"/>
      <c r="L404" s="148"/>
    </row>
    <row r="405" spans="1:12" ht="20" customHeight="1" x14ac:dyDescent="0.2">
      <c r="A405" s="148"/>
      <c r="B405" s="341" t="s">
        <v>564</v>
      </c>
      <c r="C405" s="65" t="s">
        <v>1393</v>
      </c>
      <c r="D405" s="8" t="str">
        <f>vvs_dr_parent_dns_zone</f>
        <v>Value Missing</v>
      </c>
      <c r="E405" s="194"/>
      <c r="F405" s="148"/>
      <c r="G405" s="148"/>
      <c r="H405" s="148"/>
      <c r="I405" s="148"/>
      <c r="J405" s="148"/>
      <c r="K405" s="148"/>
      <c r="L405" s="148"/>
    </row>
    <row r="406" spans="1:12" ht="20" customHeight="1" x14ac:dyDescent="0.2">
      <c r="A406" s="148"/>
      <c r="B406" s="341" t="s">
        <v>565</v>
      </c>
      <c r="C406" s="65" t="str">
        <f>CONCATENATE(sample_vvs_dr_dns1_ip,",",sample_vvs_dr_dns2_ip)</f>
        <v>10.21.10.4,10.21.10.5</v>
      </c>
      <c r="D406" s="8" t="str">
        <f>CONCATENATE(vvs_dr_dns1_ip,",",vvs_dr_dns2_ip)</f>
        <v>Value Missing,Value Missing</v>
      </c>
      <c r="E406" s="194"/>
      <c r="F406" s="148"/>
      <c r="G406" s="148"/>
      <c r="H406" s="148"/>
      <c r="I406" s="148"/>
      <c r="J406" s="148"/>
      <c r="K406" s="148"/>
      <c r="L406" s="148"/>
    </row>
    <row r="407" spans="1:12" ht="20" customHeight="1" x14ac:dyDescent="0.2">
      <c r="A407" s="148"/>
      <c r="B407" s="341" t="s">
        <v>568</v>
      </c>
      <c r="C407" s="65" t="str">
        <f>IF(flt_custom_network_chosen="Shared Management Network",IF(mgmt_dpg_reuse_result="Included",CONCATENATE(prefix_mgmt_az1_cidr,"20.1"),CONCATENATE(prefix_mgmt_az1_cidr,"20.1")),IF(flt_custom_network_chosen="NSX Overlay Segment",CONCATENATE(prefix_xreg_cidr,".1"),CONCATENATE(prefix_flt_shared_cidr,".1")))</f>
        <v>10.11.20.1</v>
      </c>
      <c r="D407" s="195"/>
      <c r="E407" s="194"/>
      <c r="F407" s="148"/>
      <c r="G407" s="148"/>
      <c r="H407" s="148"/>
      <c r="I407" s="148"/>
      <c r="J407" s="148"/>
      <c r="K407" s="148"/>
      <c r="L407" s="148"/>
    </row>
    <row r="408" spans="1:12" ht="20" customHeight="1" x14ac:dyDescent="0.2">
      <c r="A408" s="148"/>
      <c r="B408" s="341" t="s">
        <v>569</v>
      </c>
      <c r="C408" s="65" t="str">
        <f>sample_mgmt_srm_recovery_mask</f>
        <v>255.255.255.0</v>
      </c>
      <c r="D408" s="195" t="str">
        <f>mgmt_srm_recovery_mask</f>
        <v>Value Missing</v>
      </c>
      <c r="E408" s="194"/>
      <c r="F408" s="148"/>
      <c r="G408" s="148"/>
      <c r="H408" s="148"/>
      <c r="I408" s="148"/>
      <c r="J408" s="148"/>
      <c r="K408" s="148"/>
      <c r="L408" s="148"/>
    </row>
    <row r="409" spans="1:12" ht="20" customHeight="1" x14ac:dyDescent="0.2">
      <c r="A409" s="148"/>
      <c r="B409" s="614" t="s">
        <v>2621</v>
      </c>
      <c r="C409" s="615"/>
      <c r="D409" s="615"/>
      <c r="E409" s="616"/>
      <c r="F409" s="148"/>
      <c r="G409" s="148"/>
      <c r="H409" s="148"/>
      <c r="I409" s="148"/>
      <c r="J409" s="148"/>
      <c r="K409" s="148"/>
      <c r="L409" s="148"/>
    </row>
    <row r="410" spans="1:12" ht="20" customHeight="1" x14ac:dyDescent="0.2">
      <c r="A410" s="148"/>
      <c r="B410" s="341" t="s">
        <v>39</v>
      </c>
      <c r="C410" s="108" t="str">
        <f>sample_vcf_automation_vip_fqdn</f>
        <v>flt-auto01.rainpole.io</v>
      </c>
      <c r="D410" s="195"/>
      <c r="E410" s="194"/>
      <c r="F410" s="148"/>
      <c r="G410" s="148"/>
      <c r="H410" s="148"/>
      <c r="I410" s="148"/>
      <c r="J410" s="148"/>
      <c r="K410" s="148"/>
      <c r="L410" s="148"/>
    </row>
    <row r="411" spans="1:12" ht="20" customHeight="1" x14ac:dyDescent="0.2">
      <c r="A411" s="148"/>
      <c r="B411" s="341" t="s">
        <v>2748</v>
      </c>
      <c r="C411" s="108" t="str">
        <f>sample_vcf_automation_cert_alias</f>
        <v>flt-auto01-cert</v>
      </c>
      <c r="D411" s="195"/>
      <c r="E411" s="194"/>
      <c r="F411" s="148"/>
      <c r="G411" s="148"/>
      <c r="H411" s="148"/>
      <c r="I411" s="148"/>
      <c r="J411" s="148"/>
      <c r="K411" s="148"/>
      <c r="L411" s="148"/>
    </row>
    <row r="412" spans="1:12" ht="20" customHeight="1" x14ac:dyDescent="0.2">
      <c r="A412" s="148"/>
      <c r="B412" s="341" t="s">
        <v>643</v>
      </c>
      <c r="C412" s="342" t="str">
        <f>sample_vcf_automation_root_password_alias</f>
        <v>flt-auto01-password</v>
      </c>
      <c r="D412" s="195"/>
      <c r="E412" s="194"/>
      <c r="F412" s="148"/>
      <c r="G412" s="148"/>
      <c r="H412" s="148"/>
      <c r="I412" s="148"/>
      <c r="J412" s="148"/>
      <c r="K412" s="148"/>
      <c r="L412" s="148"/>
    </row>
    <row r="413" spans="1:12" ht="20" customHeight="1" x14ac:dyDescent="0.2">
      <c r="A413" s="148"/>
      <c r="B413" s="341" t="s">
        <v>2749</v>
      </c>
      <c r="C413" s="108" t="str">
        <f>sample_vcf_automation_vip_fqdn</f>
        <v>flt-auto01.rainpole.io</v>
      </c>
      <c r="D413" s="195"/>
      <c r="E413" s="194"/>
      <c r="F413" s="148"/>
      <c r="G413" s="148"/>
      <c r="H413" s="148"/>
      <c r="I413" s="148"/>
      <c r="J413" s="148"/>
      <c r="K413" s="148"/>
      <c r="L413" s="148"/>
    </row>
    <row r="414" spans="1:12" ht="20" customHeight="1" x14ac:dyDescent="0.2">
      <c r="A414" s="148"/>
      <c r="B414" s="341" t="s">
        <v>581</v>
      </c>
      <c r="C414" s="108" t="s">
        <v>582</v>
      </c>
      <c r="D414" s="195"/>
      <c r="E414" s="194"/>
      <c r="F414" s="148"/>
      <c r="G414" s="148"/>
      <c r="H414" s="148"/>
      <c r="I414" s="148"/>
      <c r="J414" s="148"/>
      <c r="K414" s="148"/>
      <c r="L414" s="148"/>
    </row>
    <row r="415" spans="1:12" ht="20" customHeight="1" x14ac:dyDescent="0.2">
      <c r="A415" s="148"/>
      <c r="B415" s="341" t="s">
        <v>528</v>
      </c>
      <c r="C415" s="108" t="str">
        <f>CONCATENATE(prefix_portable_component,"-auto")</f>
        <v>flt-auto</v>
      </c>
      <c r="D415" s="195"/>
      <c r="E415" s="194"/>
      <c r="F415" s="148"/>
      <c r="G415" s="148"/>
      <c r="H415" s="148"/>
      <c r="I415" s="148"/>
      <c r="J415" s="148"/>
      <c r="K415" s="148"/>
      <c r="L415" s="148"/>
    </row>
    <row r="416" spans="1:12" ht="20" customHeight="1" x14ac:dyDescent="0.2">
      <c r="A416" s="148"/>
      <c r="B416" s="341" t="s">
        <v>584</v>
      </c>
      <c r="C416" s="65" t="str">
        <f>IF(flt_custom_network_chosen="Shared Management Network",IF(mgmt_dpg_reuse_result="Included",CONCATENATE(prefix_mgmt_az1_cidr,"20.17"),CONCATENATE(prefix_mgmt_az1_cidr,"20.17")),IF(flt_custom_network_chosen="NSX Overlay Segment",CONCATENATE(prefix_xreg_cidr,".17"),CONCATENATE(prefix_flt_shared_cidr,".17")))</f>
        <v>10.11.20.17</v>
      </c>
      <c r="D416" s="195"/>
      <c r="E416" s="194"/>
      <c r="F416" s="148"/>
      <c r="G416" s="148"/>
      <c r="H416" s="148"/>
      <c r="I416" s="148"/>
      <c r="J416" s="148"/>
      <c r="K416" s="148"/>
      <c r="L416" s="148"/>
    </row>
    <row r="417" spans="1:12" ht="20" customHeight="1" x14ac:dyDescent="0.2">
      <c r="A417" s="148"/>
      <c r="B417" s="341" t="s">
        <v>585</v>
      </c>
      <c r="C417" s="108" t="s">
        <v>594</v>
      </c>
      <c r="D417" s="195"/>
      <c r="E417" s="194"/>
      <c r="F417" s="148"/>
      <c r="G417" s="148"/>
      <c r="H417" s="148"/>
      <c r="I417" s="148"/>
      <c r="J417" s="148"/>
      <c r="K417" s="148"/>
      <c r="L417" s="148"/>
    </row>
    <row r="418" spans="1:12" ht="20" customHeight="1" x14ac:dyDescent="0.2">
      <c r="A418" s="148"/>
      <c r="B418" s="341" t="s">
        <v>2750</v>
      </c>
      <c r="C418" s="65" t="str">
        <f>CONCATENATE(IF(flt_custom_network_chosen="Shared Management Network",IF(mgmt_dpg_reuse_result="Included",CONCATENATE(prefix_mgmt_az1_cidr,"20.40"),CONCATENATE(prefix_mgmt_az1_cidr,"20.40")),IF(flt_custom_network_chosen="NSX Overlay Segment",CONCATENATE(prefix_xreg_cidr,".40"),CONCATENATE(prefix_flt_shared_cidr,".40"))),"-",IF(flt_custom_network_chosen="Shared Management Network",IF(mgmt_dpg_reuse_result="Included",CONCATENATE(prefix_mgmt_az1_cidr,"20.45"),CONCATENATE(prefix_mgmt_az1_cidr,"20.45")),IF(flt_custom_network_chosen="NSX Overlay Segment",CONCATENATE(prefix_xreg_cidr,".45"),CONCATENATE(prefix_flt_shared_cidr,".45"))))</f>
        <v>10.11.20.40-10.11.20.45</v>
      </c>
      <c r="D418" s="195"/>
      <c r="E418" s="194"/>
      <c r="F418" s="148"/>
      <c r="G418" s="148"/>
      <c r="H418" s="148"/>
      <c r="I418" s="148"/>
      <c r="J418" s="148"/>
      <c r="K418" s="148"/>
      <c r="L418" s="148"/>
    </row>
    <row r="419" spans="1:12" ht="16" customHeight="1" x14ac:dyDescent="0.2">
      <c r="B419" s="348"/>
    </row>
    <row r="420" spans="1:12" ht="34" customHeight="1" x14ac:dyDescent="0.2">
      <c r="B420" s="609" t="s">
        <v>2755</v>
      </c>
      <c r="C420" s="609"/>
      <c r="D420" s="609"/>
      <c r="E420" s="609"/>
    </row>
    <row r="421" spans="1:12" ht="20" customHeight="1" x14ac:dyDescent="0.2">
      <c r="B421" s="601"/>
      <c r="C421" s="601"/>
      <c r="D421" s="601"/>
      <c r="E421" s="601"/>
    </row>
    <row r="422" spans="1:12" ht="20" customHeight="1" x14ac:dyDescent="0.2">
      <c r="B422" s="357" t="s">
        <v>18</v>
      </c>
      <c r="C422" s="358" t="s">
        <v>19</v>
      </c>
      <c r="D422" s="358" t="s">
        <v>20</v>
      </c>
      <c r="E422" s="358" t="s">
        <v>21</v>
      </c>
    </row>
    <row r="423" spans="1:12" ht="20" customHeight="1" x14ac:dyDescent="0.2">
      <c r="B423" s="4" t="s">
        <v>2611</v>
      </c>
      <c r="C423" s="65" t="str">
        <f>sample_vvs_dr_flt_ops_nodea_fqdn</f>
        <v>flt-ops01a.rainpole.io</v>
      </c>
      <c r="D423" s="195" t="str">
        <f>vvs_dr_flt_ops_nodea_fqdn</f>
        <v>Value Missing</v>
      </c>
      <c r="E423" s="42"/>
    </row>
    <row r="424" spans="1:12" ht="20" customHeight="1" x14ac:dyDescent="0.2">
      <c r="B424" s="579" t="s">
        <v>2747</v>
      </c>
      <c r="C424" s="580"/>
      <c r="D424" s="580"/>
      <c r="E424" s="581"/>
    </row>
    <row r="425" spans="1:12" ht="20" customHeight="1" x14ac:dyDescent="0.2">
      <c r="B425" s="345" t="s">
        <v>713</v>
      </c>
      <c r="C425" s="65" t="str">
        <f>sample_mgmt_srm_recovery_vcenter_fqdn</f>
        <v>lax-m01-vc01.lax.rainpole.io</v>
      </c>
      <c r="D425" s="8" t="str">
        <f>mgmt_srm_recovery_vcenter_fqdn</f>
        <v>Value Missing</v>
      </c>
      <c r="E425" s="42"/>
    </row>
    <row r="426" spans="1:12" ht="20" customHeight="1" x14ac:dyDescent="0.2">
      <c r="B426" s="345" t="s">
        <v>646</v>
      </c>
      <c r="C426" s="65" t="str">
        <f>sample_mgmt_srm_recovery_cluster</f>
        <v>lax-m01-cl01</v>
      </c>
      <c r="D426" s="8" t="str">
        <f>mgmt_srm_recovery_cluster</f>
        <v>Value Missing</v>
      </c>
      <c r="E426" s="42"/>
    </row>
    <row r="427" spans="1:12" ht="20" customHeight="1" x14ac:dyDescent="0.2">
      <c r="B427" s="345" t="s">
        <v>245</v>
      </c>
      <c r="C427" s="65" t="str">
        <f>sample_mgmt_srm_recovery_pg</f>
        <v>lax-m01-cl01-vds01-pg-vm-mgmt</v>
      </c>
      <c r="D427" s="8" t="str">
        <f t="array" ref="D427">mgmt_srm_recovery_pg</f>
        <v>Value Missing</v>
      </c>
      <c r="E427" s="42"/>
    </row>
    <row r="428" spans="1:12" ht="20" customHeight="1" x14ac:dyDescent="0.2">
      <c r="B428" s="345" t="s">
        <v>102</v>
      </c>
      <c r="C428" s="65" t="str">
        <f>sample_mgmt_srm_recovery_datastore</f>
        <v>lax-m01-cl01-ds-vsan01</v>
      </c>
      <c r="D428" s="8" t="str">
        <f>mgmt_srm_recovery_datastore</f>
        <v>Value Missing</v>
      </c>
      <c r="E428" s="42"/>
    </row>
    <row r="429" spans="1:12" ht="20" customHeight="1" x14ac:dyDescent="0.2">
      <c r="B429" s="579" t="s">
        <v>245</v>
      </c>
      <c r="C429" s="580"/>
      <c r="D429" s="580"/>
      <c r="E429" s="581"/>
    </row>
    <row r="430" spans="1:12" ht="20" customHeight="1" x14ac:dyDescent="0.2">
      <c r="B430" s="345" t="s">
        <v>563</v>
      </c>
      <c r="C430" s="65" t="str">
        <f>sample_parent_dns_zone</f>
        <v>rainpole.io</v>
      </c>
      <c r="D430" s="8" t="str">
        <f>vvs_dr_parent_dns_zone</f>
        <v>Value Missing</v>
      </c>
      <c r="E430" s="42"/>
    </row>
    <row r="431" spans="1:12" ht="20" customHeight="1" x14ac:dyDescent="0.2">
      <c r="B431" s="345" t="s">
        <v>564</v>
      </c>
      <c r="C431" s="65" t="str">
        <f>sample_parent_dns_zone</f>
        <v>rainpole.io</v>
      </c>
      <c r="D431" s="8" t="str">
        <f>vvs_dr_parent_dns_zone</f>
        <v>Value Missing</v>
      </c>
      <c r="E431" s="42"/>
    </row>
    <row r="432" spans="1:12" ht="20" customHeight="1" x14ac:dyDescent="0.2">
      <c r="B432" s="345" t="s">
        <v>565</v>
      </c>
      <c r="C432" s="65" t="str">
        <f>CONCATENATE(sample_vvs_dr_dns1_ip,",",sample_vvs_dr_dns2_ip)</f>
        <v>10.21.10.4,10.21.10.5</v>
      </c>
      <c r="D432" s="8" t="str">
        <f>CONCATENATE(vvs_dr_dns1_ip,",",vvs_dr_dns2_ip)</f>
        <v>Value Missing,Value Missing</v>
      </c>
      <c r="E432" s="42"/>
    </row>
    <row r="433" spans="2:5" ht="20" customHeight="1" x14ac:dyDescent="0.2">
      <c r="B433" s="345" t="s">
        <v>568</v>
      </c>
      <c r="C433" s="65" t="str">
        <f>IF(flt_custom_network_chosen="Shared Management Network",IF(mgmt_dpg_reuse_result="Included",CONCATENATE(prefix_mgmt_az1_cidr,"20.1"),CONCATENATE(prefix_mgmt_az1_cidr,"21.1")),IF(flt_custom_network_chosen="NSX Overlay Segment",CONCATENATE(prefix_xreg_cidr,".1"),CONCATENATE(prefix_flt_shared_cidr,".1")))</f>
        <v>10.11.20.1</v>
      </c>
      <c r="D433" s="8"/>
      <c r="E433" s="42"/>
    </row>
    <row r="434" spans="2:5" ht="20" customHeight="1" x14ac:dyDescent="0.2">
      <c r="B434" s="345" t="s">
        <v>569</v>
      </c>
      <c r="C434" s="65" t="s">
        <v>126</v>
      </c>
      <c r="D434" s="8" t="str">
        <f>mgmt_srm_recovery_mask</f>
        <v>Value Missing</v>
      </c>
      <c r="E434" s="42"/>
    </row>
    <row r="435" spans="2:5" ht="20" customHeight="1" x14ac:dyDescent="0.2">
      <c r="B435" s="579" t="s">
        <v>2621</v>
      </c>
      <c r="C435" s="580"/>
      <c r="D435" s="580"/>
      <c r="E435" s="581"/>
    </row>
    <row r="436" spans="2:5" ht="20" customHeight="1" x14ac:dyDescent="0.2">
      <c r="B436" s="345" t="s">
        <v>39</v>
      </c>
      <c r="C436" s="108" t="str">
        <f>sample_flt_vidb_vip_fqdn</f>
        <v>flt-idb01.rainpole.io</v>
      </c>
      <c r="D436" s="8"/>
      <c r="E436" s="42"/>
    </row>
    <row r="437" spans="2:5" ht="20" customHeight="1" x14ac:dyDescent="0.2">
      <c r="B437" s="345" t="s">
        <v>2748</v>
      </c>
      <c r="C437" s="108"/>
      <c r="D437" s="8"/>
      <c r="E437" s="42"/>
    </row>
    <row r="438" spans="2:5" ht="20" customHeight="1" x14ac:dyDescent="0.2">
      <c r="B438" s="345" t="s">
        <v>643</v>
      </c>
      <c r="C438" s="342"/>
      <c r="D438" s="8"/>
      <c r="E438" s="42"/>
    </row>
    <row r="439" spans="2:5" ht="20" customHeight="1" x14ac:dyDescent="0.2">
      <c r="B439" s="345" t="s">
        <v>2749</v>
      </c>
      <c r="C439" s="108" t="str">
        <f>sample_flt_vidb_vip_fqdn</f>
        <v>flt-idb01.rainpole.io</v>
      </c>
      <c r="D439" s="8"/>
      <c r="E439" s="42"/>
    </row>
    <row r="440" spans="2:5" ht="20" customHeight="1" x14ac:dyDescent="0.2">
      <c r="B440" s="345" t="s">
        <v>528</v>
      </c>
      <c r="C440" s="108"/>
      <c r="D440" s="8"/>
      <c r="E440" s="42"/>
    </row>
    <row r="441" spans="2:5" ht="20" customHeight="1" x14ac:dyDescent="0.2">
      <c r="B441" s="345" t="s">
        <v>585</v>
      </c>
      <c r="C441" s="108" t="s">
        <v>586</v>
      </c>
      <c r="D441" s="8"/>
      <c r="E441" s="42"/>
    </row>
    <row r="442" spans="2:5" ht="20" customHeight="1" x14ac:dyDescent="0.2">
      <c r="B442" s="345" t="s">
        <v>584</v>
      </c>
      <c r="C442" s="65" t="str">
        <f>IF(flt_custom_network_chosen="Shared Management Network",IF(mgmt_dpg_reuse_result="Included",CONCATENATE(prefix_mgmt_az1_cidr,"20.16"),CONCATENATE(prefix_mgmt_az1_cidr,"20.16")),IF(flt_custom_network_chosen="NSX Overlay Segment",CONCATENATE(prefix_xreg_cidr,".16"),CONCATENATE(prefix_flt_shared_cidr,".16")))</f>
        <v>10.11.20.16</v>
      </c>
      <c r="D442" s="8"/>
      <c r="E442" s="42"/>
    </row>
    <row r="443" spans="2:5" ht="20" customHeight="1" x14ac:dyDescent="0.2">
      <c r="B443" s="345" t="s">
        <v>2750</v>
      </c>
      <c r="C443" s="65" t="str">
        <f>CONCATENATE(IF(flt_custom_network_chosen="Shared Management Network",IF(mgmt_dpg_reuse_result="Included",CONCATENATE(prefix_mgmt_az1_cidr,"20.53"),CONCATENATE(prefix_mgmt_az1_cidr,"20.53")),IF(flt_custom_network_chosen="NSX Overlay Segment",CONCATENATE(prefix_xreg_cidr,".53"),CONCATENATE(prefix_flt_shared_cidr,".53"))),"-",IF(flt_custom_network_chosen="Shared Management Network",IF(mgmt_dpg_reuse_result="Included",CONCATENATE(prefix_mgmt_az1_cidr,"20.56"),CONCATENATE(prefix_mgmt_az1_cidr,"20.56")),IF(flt_custom_network_chosen="NSX Overlay Segment",CONCATENATE(prefix_xreg_cidr,".56"),CONCATENATE(prefix_flt_shared_cidr,".56"))))</f>
        <v>10.11.20.53-10.11.20.56</v>
      </c>
      <c r="D443" s="8"/>
      <c r="E443" s="42"/>
    </row>
    <row r="444" spans="2:5" ht="16" customHeight="1" x14ac:dyDescent="0.2">
      <c r="B444" s="348"/>
    </row>
    <row r="445" spans="2:5" ht="34" customHeight="1" x14ac:dyDescent="0.2">
      <c r="B445" s="617" t="s">
        <v>2756</v>
      </c>
      <c r="C445" s="618"/>
      <c r="D445" s="618"/>
      <c r="E445" s="661"/>
    </row>
    <row r="446" spans="2:5" ht="20" customHeight="1" x14ac:dyDescent="0.2">
      <c r="B446" s="601"/>
      <c r="C446" s="601"/>
      <c r="D446" s="601"/>
      <c r="E446" s="601"/>
    </row>
    <row r="447" spans="2:5" ht="20" customHeight="1" x14ac:dyDescent="0.2">
      <c r="B447" s="357" t="s">
        <v>18</v>
      </c>
      <c r="C447" s="358" t="s">
        <v>19</v>
      </c>
      <c r="D447" s="358" t="s">
        <v>20</v>
      </c>
      <c r="E447" s="358" t="s">
        <v>21</v>
      </c>
    </row>
    <row r="448" spans="2:5" ht="20" customHeight="1" x14ac:dyDescent="0.2">
      <c r="B448" s="341" t="s">
        <v>2620</v>
      </c>
      <c r="C448" s="65" t="str">
        <f>sample_vvs_dr_flt_ops_nodea_fqdn</f>
        <v>flt-ops01a.rainpole.io</v>
      </c>
      <c r="D448" s="195" t="str">
        <f>vvs_dr_flt_ops_nodea_fqdn</f>
        <v>Value Missing</v>
      </c>
      <c r="E448" s="194"/>
    </row>
    <row r="449" spans="2:5" ht="20" customHeight="1" x14ac:dyDescent="0.2">
      <c r="B449" s="652" t="s">
        <v>2747</v>
      </c>
      <c r="C449" s="653"/>
      <c r="D449" s="653"/>
      <c r="E449" s="654"/>
    </row>
    <row r="450" spans="2:5" ht="20" customHeight="1" x14ac:dyDescent="0.2">
      <c r="B450" s="341" t="s">
        <v>713</v>
      </c>
      <c r="C450" s="65" t="s">
        <v>2752</v>
      </c>
      <c r="D450" s="8" t="str">
        <f>mgmt_srm_recovery_vcenter_fqdn</f>
        <v>Value Missing</v>
      </c>
      <c r="E450" s="194"/>
    </row>
    <row r="451" spans="2:5" ht="20" customHeight="1" x14ac:dyDescent="0.2">
      <c r="B451" s="341" t="s">
        <v>646</v>
      </c>
      <c r="C451" s="65" t="s">
        <v>2753</v>
      </c>
      <c r="D451" s="8" t="str">
        <f>mgmt_srm_recovery_cluster</f>
        <v>Value Missing</v>
      </c>
      <c r="E451" s="194"/>
    </row>
    <row r="452" spans="2:5" ht="20" customHeight="1" x14ac:dyDescent="0.2">
      <c r="B452" s="341" t="s">
        <v>245</v>
      </c>
      <c r="C452" s="65" t="str">
        <f>sample_mgmt_srm_recovery_pg</f>
        <v>lax-m01-cl01-vds01-pg-vm-mgmt</v>
      </c>
      <c r="D452" s="8" t="str">
        <f t="array" ref="D452">mgmt_srm_recovery_pg</f>
        <v>Value Missing</v>
      </c>
      <c r="E452" s="194"/>
    </row>
    <row r="453" spans="2:5" ht="20" customHeight="1" x14ac:dyDescent="0.2">
      <c r="B453" s="341" t="s">
        <v>102</v>
      </c>
      <c r="C453" s="65" t="s">
        <v>2754</v>
      </c>
      <c r="D453" s="8" t="str">
        <f>mgmt_srm_recovery_datastore</f>
        <v>Value Missing</v>
      </c>
      <c r="E453" s="194"/>
    </row>
    <row r="454" spans="2:5" ht="20" customHeight="1" x14ac:dyDescent="0.2">
      <c r="B454" s="652" t="s">
        <v>245</v>
      </c>
      <c r="C454" s="653"/>
      <c r="D454" s="653"/>
      <c r="E454" s="654"/>
    </row>
    <row r="455" spans="2:5" ht="20" customHeight="1" x14ac:dyDescent="0.2">
      <c r="B455" s="341" t="s">
        <v>563</v>
      </c>
      <c r="C455" s="65" t="s">
        <v>1393</v>
      </c>
      <c r="D455" s="195" t="str">
        <f>vvs_dr_parent_dns_zone</f>
        <v>Value Missing</v>
      </c>
      <c r="E455" s="194"/>
    </row>
    <row r="456" spans="2:5" ht="20" customHeight="1" x14ac:dyDescent="0.2">
      <c r="B456" s="341" t="s">
        <v>564</v>
      </c>
      <c r="C456" s="65" t="s">
        <v>1393</v>
      </c>
      <c r="D456" s="195" t="str">
        <f>vvs_dr_parent_dns_zone</f>
        <v>Value Missing</v>
      </c>
      <c r="E456" s="194"/>
    </row>
    <row r="457" spans="2:5" ht="20" customHeight="1" x14ac:dyDescent="0.2">
      <c r="B457" s="341" t="s">
        <v>565</v>
      </c>
      <c r="C457" s="65" t="str">
        <f>CONCATENATE(sample_vvs_dr_dns1_ip,",",sample_vvs_dr_dns2_ip)</f>
        <v>10.21.10.4,10.21.10.5</v>
      </c>
      <c r="D457" s="8" t="str">
        <f>CONCATENATE(vvs_dr_dns1_ip,",",vvs_dr_dns2_ip)</f>
        <v>Value Missing,Value Missing</v>
      </c>
      <c r="E457" s="194"/>
    </row>
    <row r="458" spans="2:5" ht="20" customHeight="1" x14ac:dyDescent="0.2">
      <c r="B458" s="341" t="s">
        <v>568</v>
      </c>
      <c r="C458" s="65" t="str">
        <f>IF(flt_custom_network_chosen="Shared Management Network",IF(mgmt_dpg_reuse_result="Included",CONCATENATE(prefix_mgmt_az1_cidr,"20.1"),CONCATENATE(prefix_mgmt_az1_cidr,"21.1")),IF(flt_custom_network_chosen="NSX Overlay Segment",CONCATENATE(prefix_xreg_cidr,".1"),CONCATENATE(prefix_flt_shared_cidr,".1")))</f>
        <v>10.11.20.1</v>
      </c>
      <c r="D458" s="8"/>
      <c r="E458" s="194"/>
    </row>
    <row r="459" spans="2:5" ht="20" customHeight="1" x14ac:dyDescent="0.2">
      <c r="B459" s="341" t="s">
        <v>569</v>
      </c>
      <c r="C459" s="65" t="s">
        <v>126</v>
      </c>
      <c r="D459" s="8" t="str">
        <f>mgmt_srm_recovery_mask</f>
        <v>Value Missing</v>
      </c>
      <c r="E459" s="194"/>
    </row>
    <row r="460" spans="2:5" ht="20" customHeight="1" x14ac:dyDescent="0.2">
      <c r="B460" s="652" t="s">
        <v>2621</v>
      </c>
      <c r="C460" s="653"/>
      <c r="D460" s="653"/>
      <c r="E460" s="654"/>
    </row>
    <row r="461" spans="2:5" ht="20" customHeight="1" x14ac:dyDescent="0.2">
      <c r="B461" s="341" t="s">
        <v>39</v>
      </c>
      <c r="C461" s="108" t="str">
        <f>sample_vcf_automation_vip_fqdn</f>
        <v>flt-auto01.rainpole.io</v>
      </c>
      <c r="D461" s="195"/>
      <c r="E461" s="194"/>
    </row>
    <row r="462" spans="2:5" ht="20" customHeight="1" x14ac:dyDescent="0.2">
      <c r="B462" s="341" t="s">
        <v>2748</v>
      </c>
      <c r="C462" s="108" t="str">
        <f>sample_vcf_automation_cert_alias</f>
        <v>flt-auto01-cert</v>
      </c>
      <c r="D462" s="195"/>
      <c r="E462" s="194"/>
    </row>
    <row r="463" spans="2:5" ht="20" customHeight="1" x14ac:dyDescent="0.2">
      <c r="B463" s="341" t="s">
        <v>643</v>
      </c>
      <c r="C463" s="342" t="str">
        <f>sample_vcf_automation_root_password_alias</f>
        <v>flt-auto01-password</v>
      </c>
      <c r="D463" s="195"/>
      <c r="E463" s="194"/>
    </row>
    <row r="464" spans="2:5" ht="20" customHeight="1" x14ac:dyDescent="0.2">
      <c r="B464" s="341" t="s">
        <v>2749</v>
      </c>
      <c r="C464" s="108" t="str">
        <f>sample_vcf_automation_vip_fqdn</f>
        <v>flt-auto01.rainpole.io</v>
      </c>
      <c r="D464" s="195"/>
      <c r="E464" s="194"/>
    </row>
    <row r="465" spans="2:5" ht="20" customHeight="1" x14ac:dyDescent="0.2">
      <c r="B465" s="341" t="s">
        <v>581</v>
      </c>
      <c r="C465" s="108" t="s">
        <v>582</v>
      </c>
      <c r="D465" s="195"/>
      <c r="E465" s="194"/>
    </row>
    <row r="466" spans="2:5" ht="20" customHeight="1" x14ac:dyDescent="0.2">
      <c r="B466" s="341" t="s">
        <v>528</v>
      </c>
      <c r="C466" s="108" t="str">
        <f>CONCATENATE(prefix_portable_component,"-auto")</f>
        <v>flt-auto</v>
      </c>
      <c r="D466" s="195"/>
      <c r="E466" s="194"/>
    </row>
    <row r="467" spans="2:5" ht="20" customHeight="1" x14ac:dyDescent="0.2">
      <c r="B467" s="341" t="s">
        <v>584</v>
      </c>
      <c r="C467" s="65" t="str">
        <f>IF(flt_custom_network_chosen="Shared Management Network",IF(mgmt_dpg_reuse_result="Included",CONCATENATE(prefix_mgmt_az1_cidr,"20.17"),CONCATENATE(prefix_mgmt_az1_cidr,"20.17")),IF(flt_custom_network_chosen="NSX Overlay Segment",CONCATENATE(prefix_xreg_cidr,".17"),CONCATENATE(prefix_flt_shared_cidr,".17")))</f>
        <v>10.11.20.17</v>
      </c>
      <c r="D467" s="195"/>
      <c r="E467" s="194"/>
    </row>
    <row r="468" spans="2:5" ht="20" customHeight="1" x14ac:dyDescent="0.2">
      <c r="B468" s="341" t="s">
        <v>585</v>
      </c>
      <c r="C468" s="108" t="s">
        <v>586</v>
      </c>
      <c r="D468" s="195"/>
      <c r="E468" s="194"/>
    </row>
    <row r="469" spans="2:5" ht="20" customHeight="1" x14ac:dyDescent="0.2">
      <c r="B469" s="341" t="s">
        <v>2750</v>
      </c>
      <c r="C469" s="65" t="str">
        <f>CONCATENATE(IF(flt_custom_network_chosen="Shared Management Network",IF(mgmt_dpg_reuse_result="Included",CONCATENATE(prefix_mgmt_az1_cidr,"20.40"),CONCATENATE(prefix_mgmt_az1_cidr,"20.40")),IF(flt_custom_network_chosen="NSX Overlay Segment",CONCATENATE(prefix_xreg_cidr,".40"),CONCATENATE(prefix_flt_shared_cidr,".40"))),"-",IF(flt_custom_network_chosen="Shared Management Network",IF(mgmt_dpg_reuse_result="Included",CONCATENATE(prefix_mgmt_az1_cidr,"20.45"),CONCATENATE(prefix_mgmt_az1_cidr,"20.45")),IF(flt_custom_network_chosen="NSX Overlay Segment",CONCATENATE(prefix_xreg_cidr,".45"),CONCATENATE(prefix_flt_shared_cidr,".45"))))</f>
        <v>10.11.20.40-10.11.20.45</v>
      </c>
      <c r="D469" s="195"/>
      <c r="E469" s="194"/>
    </row>
    <row r="470" spans="2:5" ht="16" customHeight="1" x14ac:dyDescent="0.2">
      <c r="B470" s="343"/>
      <c r="C470" s="148"/>
      <c r="D470" s="47"/>
      <c r="E470" s="148"/>
    </row>
    <row r="471" spans="2:5" ht="34" customHeight="1" x14ac:dyDescent="0.2">
      <c r="B471" s="609" t="s">
        <v>2604</v>
      </c>
      <c r="C471" s="609"/>
      <c r="D471" s="609"/>
      <c r="E471" s="609"/>
    </row>
    <row r="472" spans="2:5" ht="16" customHeight="1" x14ac:dyDescent="0.2">
      <c r="B472" s="343"/>
      <c r="C472" s="148"/>
      <c r="D472" s="47"/>
      <c r="E472" s="148"/>
    </row>
    <row r="473" spans="2:5" ht="34" customHeight="1" x14ac:dyDescent="0.2">
      <c r="B473" s="609" t="s">
        <v>2757</v>
      </c>
      <c r="C473" s="609"/>
      <c r="D473" s="609"/>
      <c r="E473" s="609"/>
    </row>
    <row r="474" spans="2:5" ht="20" customHeight="1" x14ac:dyDescent="0.2">
      <c r="B474" s="601"/>
      <c r="C474" s="601"/>
      <c r="D474" s="601"/>
      <c r="E474" s="601"/>
    </row>
    <row r="475" spans="2:5" ht="20" customHeight="1" x14ac:dyDescent="0.2">
      <c r="B475" s="357" t="s">
        <v>18</v>
      </c>
      <c r="C475" s="358" t="s">
        <v>19</v>
      </c>
      <c r="D475" s="358" t="s">
        <v>20</v>
      </c>
      <c r="E475" s="358" t="s">
        <v>21</v>
      </c>
    </row>
    <row r="476" spans="2:5" ht="20" customHeight="1" x14ac:dyDescent="0.2">
      <c r="B476" s="28" t="s">
        <v>2639</v>
      </c>
      <c r="C476" s="65" t="str">
        <f>sample_vvs_dr_mgmt_vc_fqdn</f>
        <v>sfo-m01-vc01.sfo.rainpole.io</v>
      </c>
      <c r="D476" s="8" t="str">
        <f>vvs_dr_mgmt_vc_fqdn</f>
        <v>Value Missing</v>
      </c>
      <c r="E476" s="42"/>
    </row>
    <row r="477" spans="2:5" ht="20" customHeight="1" x14ac:dyDescent="0.2">
      <c r="B477" s="28" t="s">
        <v>2351</v>
      </c>
      <c r="C477" s="65" t="str">
        <f>sample_vvs_dr_sso_domain</f>
        <v>vsphere.local</v>
      </c>
      <c r="D477" s="8" t="str">
        <f>vvs_dr_sso_domain</f>
        <v>Value Missing</v>
      </c>
      <c r="E477" s="42"/>
    </row>
    <row r="478" spans="2:5" ht="20" customHeight="1" x14ac:dyDescent="0.2">
      <c r="B478" s="4" t="s">
        <v>2758</v>
      </c>
      <c r="C478" s="65" t="s">
        <v>2759</v>
      </c>
      <c r="D478" s="66"/>
      <c r="E478" s="4"/>
    </row>
    <row r="479" spans="2:5" ht="20" customHeight="1" x14ac:dyDescent="0.2">
      <c r="B479" s="4" t="s">
        <v>2760</v>
      </c>
      <c r="C479" s="65" t="s">
        <v>31</v>
      </c>
      <c r="D479" s="66"/>
      <c r="E479" s="4"/>
    </row>
    <row r="480" spans="2:5" ht="20" customHeight="1" x14ac:dyDescent="0.2">
      <c r="B480" s="4" t="s">
        <v>2761</v>
      </c>
      <c r="C480" s="65" t="s">
        <v>2762</v>
      </c>
      <c r="D480" s="66"/>
      <c r="E480" s="4"/>
    </row>
    <row r="481" spans="2:5" ht="20" customHeight="1" x14ac:dyDescent="0.2">
      <c r="B481" s="4" t="s">
        <v>2763</v>
      </c>
      <c r="C481" s="65" t="s">
        <v>31</v>
      </c>
      <c r="D481" s="66"/>
      <c r="E481" s="4"/>
    </row>
    <row r="482" spans="2:5" ht="16" customHeight="1" x14ac:dyDescent="0.2"/>
    <row r="483" spans="2:5" ht="34" customHeight="1" x14ac:dyDescent="0.2">
      <c r="B483" s="609" t="s">
        <v>2764</v>
      </c>
      <c r="C483" s="609"/>
      <c r="D483" s="609"/>
      <c r="E483" s="609"/>
    </row>
    <row r="484" spans="2:5" ht="20" customHeight="1" x14ac:dyDescent="0.2">
      <c r="B484" s="601"/>
      <c r="C484" s="601"/>
      <c r="D484" s="601"/>
      <c r="E484" s="601"/>
    </row>
    <row r="485" spans="2:5" ht="20" customHeight="1" x14ac:dyDescent="0.2">
      <c r="B485" s="357" t="s">
        <v>18</v>
      </c>
      <c r="C485" s="358" t="s">
        <v>19</v>
      </c>
      <c r="D485" s="358" t="s">
        <v>20</v>
      </c>
      <c r="E485" s="358" t="s">
        <v>21</v>
      </c>
    </row>
    <row r="486" spans="2:5" ht="20" customHeight="1" x14ac:dyDescent="0.2">
      <c r="B486" s="4" t="s">
        <v>2639</v>
      </c>
      <c r="C486" s="65" t="str">
        <f>sample_vvs_dr_mgmt_vc_fqdn</f>
        <v>sfo-m01-vc01.sfo.rainpole.io</v>
      </c>
      <c r="D486" s="8" t="str">
        <f>vvs_dr_mgmt_vc_fqdn</f>
        <v>Value Missing</v>
      </c>
      <c r="E486" s="4"/>
    </row>
    <row r="487" spans="2:5" ht="20" customHeight="1" x14ac:dyDescent="0.2">
      <c r="B487" s="4" t="s">
        <v>2351</v>
      </c>
      <c r="C487" s="65" t="str">
        <f>sample_vvs_dr_sso_domain</f>
        <v>vsphere.local</v>
      </c>
      <c r="D487" s="8" t="str">
        <f>vvs_dr_sso_domain</f>
        <v>Value Missing</v>
      </c>
      <c r="E487" s="4"/>
    </row>
    <row r="488" spans="2:5" ht="20" customHeight="1" x14ac:dyDescent="0.2">
      <c r="B488" s="4" t="s">
        <v>2765</v>
      </c>
      <c r="C488" s="65" t="str">
        <f>sample_xreg_vrops_vrms_sso_username</f>
        <v>svc-vcfops-vlsr</v>
      </c>
      <c r="D488" s="8" t="str">
        <f>xreg_vrops_vrms_sso_username</f>
        <v>Value Missing</v>
      </c>
      <c r="E488" s="4"/>
    </row>
    <row r="489" spans="2:5" ht="20" customHeight="1" x14ac:dyDescent="0.2">
      <c r="B489" s="4" t="s">
        <v>2766</v>
      </c>
      <c r="C489" s="65" t="s">
        <v>2767</v>
      </c>
      <c r="D489" s="8" t="str">
        <f>C489</f>
        <v>Read-Only</v>
      </c>
      <c r="E489" s="4"/>
    </row>
    <row r="490" spans="2:5" ht="20" customHeight="1" x14ac:dyDescent="0.2">
      <c r="B490" s="4" t="s">
        <v>2768</v>
      </c>
      <c r="C490" s="65" t="str">
        <f>sample_xreg_vrops_srm_sso_username</f>
        <v>svc-vcfops-vr</v>
      </c>
      <c r="D490" s="8" t="str">
        <f>xreg_vrops_srm_sso_username</f>
        <v>Value Missing</v>
      </c>
      <c r="E490" s="4"/>
    </row>
    <row r="491" spans="2:5" ht="20" customHeight="1" x14ac:dyDescent="0.2">
      <c r="B491" s="4" t="s">
        <v>2769</v>
      </c>
      <c r="C491" s="65" t="s">
        <v>2770</v>
      </c>
      <c r="D491" s="8" t="str">
        <f>C491</f>
        <v>VRM replication viewer</v>
      </c>
      <c r="E491" s="4"/>
    </row>
    <row r="492" spans="2:5" ht="16" customHeight="1" x14ac:dyDescent="0.2"/>
    <row r="493" spans="2:5" ht="34" customHeight="1" x14ac:dyDescent="0.2">
      <c r="B493" s="609" t="s">
        <v>2771</v>
      </c>
      <c r="C493" s="609"/>
      <c r="D493" s="609"/>
      <c r="E493" s="609"/>
    </row>
    <row r="494" spans="2:5" ht="20" customHeight="1" x14ac:dyDescent="0.2">
      <c r="B494" s="601"/>
      <c r="C494" s="601"/>
      <c r="D494" s="601"/>
      <c r="E494" s="601"/>
    </row>
    <row r="495" spans="2:5" ht="20" customHeight="1" x14ac:dyDescent="0.2">
      <c r="B495" s="357" t="s">
        <v>18</v>
      </c>
      <c r="C495" s="358" t="s">
        <v>19</v>
      </c>
      <c r="D495" s="358" t="s">
        <v>20</v>
      </c>
      <c r="E495" s="358" t="s">
        <v>21</v>
      </c>
    </row>
    <row r="496" spans="2:5" ht="20" customHeight="1" x14ac:dyDescent="0.2">
      <c r="B496" s="4" t="s">
        <v>2772</v>
      </c>
      <c r="C496" s="65" t="str">
        <f>sample_vvs_dr_flt_ops_nodea_fqdn</f>
        <v>flt-ops01a.rainpole.io</v>
      </c>
      <c r="D496" s="195" t="str">
        <f>vvs_dr_flt_ops_nodea_fqdn</f>
        <v>Value Missing</v>
      </c>
      <c r="E496" s="42"/>
    </row>
    <row r="497" spans="2:5" ht="20" customHeight="1" x14ac:dyDescent="0.2">
      <c r="B497" s="4" t="s">
        <v>2773</v>
      </c>
      <c r="C497" s="65" t="s">
        <v>2774</v>
      </c>
      <c r="D497" s="66"/>
      <c r="E497" s="42"/>
    </row>
    <row r="498" spans="2:5" ht="16" customHeight="1" x14ac:dyDescent="0.2"/>
    <row r="499" spans="2:5" ht="34" customHeight="1" x14ac:dyDescent="0.2">
      <c r="B499" s="609" t="s">
        <v>2775</v>
      </c>
      <c r="C499" s="609"/>
      <c r="D499" s="609"/>
      <c r="E499" s="609"/>
    </row>
    <row r="500" spans="2:5" ht="20" customHeight="1" x14ac:dyDescent="0.2">
      <c r="B500" s="601"/>
      <c r="C500" s="601"/>
      <c r="D500" s="601"/>
      <c r="E500" s="601"/>
    </row>
    <row r="501" spans="2:5" ht="20" customHeight="1" x14ac:dyDescent="0.2">
      <c r="B501" s="357" t="s">
        <v>18</v>
      </c>
      <c r="C501" s="358" t="s">
        <v>19</v>
      </c>
      <c r="D501" s="358" t="s">
        <v>20</v>
      </c>
      <c r="E501" s="358" t="s">
        <v>21</v>
      </c>
    </row>
    <row r="502" spans="2:5" ht="20" customHeight="1" x14ac:dyDescent="0.2">
      <c r="B502" s="28" t="s">
        <v>2620</v>
      </c>
      <c r="C502" s="65" t="str">
        <f>sample_vvs_dr_flt_ops_nodea_fqdn</f>
        <v>flt-ops01a.rainpole.io</v>
      </c>
      <c r="D502" s="195" t="str">
        <f>vvs_dr_flt_ops_nodea_fqdn</f>
        <v>Value Missing</v>
      </c>
      <c r="E502" s="42"/>
    </row>
    <row r="503" spans="2:5" ht="20" customHeight="1" x14ac:dyDescent="0.2">
      <c r="B503" s="28" t="s">
        <v>2776</v>
      </c>
      <c r="C503" s="65" t="str">
        <f>CONCATENATE(this_instance,"-m01-vslr")</f>
        <v>sfo-m01-vslr</v>
      </c>
      <c r="D503" s="66"/>
      <c r="E503" s="42"/>
    </row>
    <row r="504" spans="2:5" ht="20" customHeight="1" x14ac:dyDescent="0.2">
      <c r="B504" s="28" t="s">
        <v>2777</v>
      </c>
      <c r="C504" s="65" t="str">
        <f>sample_vvs_mgmt_dr_vlr_fqdn</f>
        <v>sfo-m01-vlr01.sfo.rainpole.io</v>
      </c>
      <c r="D504" s="8" t="str">
        <f>vvs_mgmt_dr_vlr_fqdn</f>
        <v>Value Missing</v>
      </c>
      <c r="E504" s="42"/>
    </row>
    <row r="505" spans="2:5" ht="20" customHeight="1" x14ac:dyDescent="0.2">
      <c r="B505" s="28" t="s">
        <v>2778</v>
      </c>
      <c r="C505" s="65">
        <v>443</v>
      </c>
      <c r="D505" s="66"/>
      <c r="E505" s="42"/>
    </row>
    <row r="506" spans="2:5" ht="20" customHeight="1" x14ac:dyDescent="0.2">
      <c r="B506" s="28" t="s">
        <v>2779</v>
      </c>
      <c r="C506" s="65" t="str">
        <f>sample_xreg_vrops_srm_sso_username</f>
        <v>svc-vcfops-vr</v>
      </c>
      <c r="D506" s="8" t="str">
        <f>xreg_vrops_srm_sso_username</f>
        <v>Value Missing</v>
      </c>
      <c r="E506" s="42"/>
    </row>
    <row r="507" spans="2:5" ht="20" customHeight="1" x14ac:dyDescent="0.2">
      <c r="B507" s="28" t="s">
        <v>2780</v>
      </c>
      <c r="C507" s="65" t="str">
        <f>CONCATENATE(sample_xreg_vrops_srm_sso_username,"@vsphere.local")</f>
        <v>svc-vcfops-vr@vsphere.local</v>
      </c>
      <c r="D507" s="8" t="str">
        <f>CONCATENATE(xreg_vrops_srm_sso_username,"@",vvs_dr_sso_domain)</f>
        <v>Value Missing@Value Missing</v>
      </c>
      <c r="E507" s="42"/>
    </row>
    <row r="508" spans="2:5" ht="20" customHeight="1" x14ac:dyDescent="0.2">
      <c r="B508" s="28" t="s">
        <v>2781</v>
      </c>
      <c r="C508" s="65" t="str">
        <f>sample_xreg_vrops_srm_sso_password</f>
        <v>VMw@re1!</v>
      </c>
      <c r="D508" s="8" t="str">
        <f>xreg_vrops_srm_sso_password</f>
        <v>Value Missing</v>
      </c>
      <c r="E508" s="42"/>
    </row>
    <row r="509" spans="2:5" ht="20" customHeight="1" x14ac:dyDescent="0.2">
      <c r="B509" s="28" t="s">
        <v>2782</v>
      </c>
      <c r="C509" s="65" t="str">
        <f>CONCATENATE(sample_mgmt_sddc_domain,"-collector-group")</f>
        <v>sfo-m01-collector-group</v>
      </c>
      <c r="D509" s="8" t="str">
        <f>CONCATENATE(mgmt_sddc_domain,"-collector-group")</f>
        <v>Value Missing-collector-group</v>
      </c>
      <c r="E509" s="42"/>
    </row>
    <row r="510" spans="2:5" ht="16" customHeight="1" x14ac:dyDescent="0.2"/>
    <row r="511" spans="2:5" ht="34" customHeight="1" x14ac:dyDescent="0.2">
      <c r="B511" s="609" t="s">
        <v>2783</v>
      </c>
      <c r="C511" s="609"/>
      <c r="D511" s="609"/>
      <c r="E511" s="609"/>
    </row>
    <row r="512" spans="2:5" ht="20" customHeight="1" x14ac:dyDescent="0.2">
      <c r="B512" s="601"/>
      <c r="C512" s="601"/>
      <c r="D512" s="601"/>
      <c r="E512" s="601"/>
    </row>
    <row r="513" spans="2:5" ht="20" customHeight="1" x14ac:dyDescent="0.2">
      <c r="B513" s="357" t="s">
        <v>18</v>
      </c>
      <c r="C513" s="358" t="s">
        <v>19</v>
      </c>
      <c r="D513" s="358" t="s">
        <v>20</v>
      </c>
      <c r="E513" s="358" t="s">
        <v>21</v>
      </c>
    </row>
    <row r="514" spans="2:5" ht="20" customHeight="1" x14ac:dyDescent="0.2">
      <c r="B514" s="28" t="s">
        <v>2620</v>
      </c>
      <c r="C514" s="65" t="str">
        <f>sample_vvs_dr_flt_ops_nodea_fqdn</f>
        <v>flt-ops01a.rainpole.io</v>
      </c>
      <c r="D514" s="195" t="str">
        <f>vvs_dr_flt_ops_nodea_fqdn</f>
        <v>Value Missing</v>
      </c>
      <c r="E514" s="42"/>
    </row>
    <row r="515" spans="2:5" ht="20" customHeight="1" x14ac:dyDescent="0.2">
      <c r="B515" s="28" t="s">
        <v>2776</v>
      </c>
      <c r="C515" s="65" t="str">
        <f>CONCATENATE(this_instance,"-m01-vr")</f>
        <v>sfo-m01-vr</v>
      </c>
      <c r="D515" s="66"/>
      <c r="E515" s="42"/>
    </row>
    <row r="516" spans="2:5" ht="20" customHeight="1" x14ac:dyDescent="0.2">
      <c r="B516" s="257" t="s">
        <v>2784</v>
      </c>
      <c r="C516" s="65" t="str">
        <f>sample_vvs_dr_mgmt_vc_fqdn</f>
        <v>sfo-m01-vc01.sfo.rainpole.io</v>
      </c>
      <c r="D516" s="8" t="str">
        <f>vvs_dr_mgmt_vc_fqdn</f>
        <v>Value Missing</v>
      </c>
      <c r="E516" s="42"/>
    </row>
    <row r="517" spans="2:5" ht="20" customHeight="1" x14ac:dyDescent="0.2">
      <c r="B517" s="28" t="s">
        <v>2779</v>
      </c>
      <c r="C517" s="65" t="str">
        <f>CONCATENATE(sample_xreg_vrops_vrms_sso_username,"@vsphere.local")</f>
        <v>svc-vcfops-vlsr@vsphere.local</v>
      </c>
      <c r="D517" s="8" t="str">
        <f>CONCATENATE(xreg_vrops_vrms_sso_username,"@",vvs_dr_sso_domain)</f>
        <v>Value Missing@Value Missing</v>
      </c>
      <c r="E517" s="42"/>
    </row>
    <row r="518" spans="2:5" ht="20" customHeight="1" x14ac:dyDescent="0.2">
      <c r="B518" s="28" t="s">
        <v>2785</v>
      </c>
      <c r="C518" s="65" t="str">
        <f>CONCATENATE(sample_xreg_vrops_vrms_sso_username,"@vsphere.local")</f>
        <v>svc-vcfops-vlsr@vsphere.local</v>
      </c>
      <c r="D518" s="8" t="str">
        <f>CONCATENATE(xreg_vrops_vrms_sso_username,"@",vvs_dr_sso_domain)</f>
        <v>Value Missing@Value Missing</v>
      </c>
      <c r="E518" s="42"/>
    </row>
    <row r="519" spans="2:5" ht="20" customHeight="1" x14ac:dyDescent="0.2">
      <c r="B519" s="28" t="s">
        <v>2781</v>
      </c>
      <c r="C519" s="65" t="str">
        <f>sample_xreg_vrops_vrms_sso_password</f>
        <v>VMw@re1!</v>
      </c>
      <c r="D519" s="8" t="str">
        <f>xreg_vrops_vrms_sso_password</f>
        <v>Value Missing</v>
      </c>
      <c r="E519" s="42"/>
    </row>
    <row r="520" spans="2:5" ht="20" customHeight="1" x14ac:dyDescent="0.2">
      <c r="B520" s="28" t="s">
        <v>2782</v>
      </c>
      <c r="C520" s="65" t="str">
        <f>CONCATENATE(sample_mgmt_sddc_domain,"-collector-group")</f>
        <v>sfo-m01-collector-group</v>
      </c>
      <c r="D520" s="8" t="str">
        <f>CONCATENATE(mgmt_sddc_domain,"-collector-group")</f>
        <v>Value Missing-collector-group</v>
      </c>
      <c r="E520" s="42"/>
    </row>
    <row r="521" spans="2:5" ht="16" customHeight="1" x14ac:dyDescent="0.2"/>
    <row r="522" spans="2:5" ht="34" customHeight="1" x14ac:dyDescent="0.2">
      <c r="B522" s="609" t="s">
        <v>2786</v>
      </c>
      <c r="C522" s="609"/>
      <c r="D522" s="609"/>
      <c r="E522" s="609"/>
    </row>
    <row r="523" spans="2:5" ht="20" customHeight="1" x14ac:dyDescent="0.2">
      <c r="B523" s="601"/>
      <c r="C523" s="601"/>
      <c r="D523" s="601"/>
      <c r="E523" s="601"/>
    </row>
    <row r="524" spans="2:5" ht="20" customHeight="1" x14ac:dyDescent="0.2">
      <c r="B524" s="357" t="s">
        <v>18</v>
      </c>
      <c r="C524" s="358" t="s">
        <v>19</v>
      </c>
      <c r="D524" s="358" t="s">
        <v>20</v>
      </c>
      <c r="E524" s="358" t="s">
        <v>21</v>
      </c>
    </row>
    <row r="525" spans="2:5" ht="20" customHeight="1" x14ac:dyDescent="0.2">
      <c r="B525" s="4" t="s">
        <v>2772</v>
      </c>
      <c r="C525" s="65" t="str">
        <f>sample_vvs_dr_flt_ops_nodea_fqdn</f>
        <v>flt-ops01a.rainpole.io</v>
      </c>
      <c r="D525" s="8" t="str">
        <f>vvs_dr_flt_ops_nodea_fqdn</f>
        <v>Value Missing</v>
      </c>
      <c r="E525" s="42"/>
    </row>
    <row r="526" spans="2:5" ht="16" customHeight="1" x14ac:dyDescent="0.2">
      <c r="B526" s="2" t="s">
        <v>836</v>
      </c>
    </row>
    <row r="527" spans="2:5" ht="34" customHeight="1" x14ac:dyDescent="0.2">
      <c r="B527" s="569" t="s">
        <v>2787</v>
      </c>
      <c r="C527" s="570"/>
      <c r="D527" s="570"/>
      <c r="E527" s="571"/>
    </row>
    <row r="528" spans="2:5" ht="20" customHeight="1" x14ac:dyDescent="0.2">
      <c r="B528" s="601"/>
      <c r="C528" s="601"/>
      <c r="D528" s="601"/>
      <c r="E528" s="601"/>
    </row>
    <row r="529" spans="2:5" ht="20" customHeight="1" x14ac:dyDescent="0.2">
      <c r="B529" s="357" t="s">
        <v>18</v>
      </c>
      <c r="C529" s="358" t="s">
        <v>19</v>
      </c>
      <c r="D529" s="358" t="s">
        <v>20</v>
      </c>
      <c r="E529" s="358" t="s">
        <v>21</v>
      </c>
    </row>
    <row r="530" spans="2:5" ht="20" customHeight="1" x14ac:dyDescent="0.2">
      <c r="B530" s="4" t="s">
        <v>2646</v>
      </c>
      <c r="C530" s="65" t="str">
        <f>sample_vvs_mgmt_dr_vlr_fqdn</f>
        <v>sfo-m01-vlr01.sfo.rainpole.io</v>
      </c>
      <c r="D530" s="8" t="str">
        <f>vvs_mgmt_dr_vlr_fqdn</f>
        <v>Value Missing</v>
      </c>
      <c r="E530" s="42"/>
    </row>
    <row r="531" spans="2:5" ht="20" customHeight="1" x14ac:dyDescent="0.2">
      <c r="B531" s="4" t="s">
        <v>2788</v>
      </c>
      <c r="C531" s="65" t="str">
        <f>sample_xreg_vrops_virtual_fqdn</f>
        <v>flt-ops01.rainpole.io</v>
      </c>
      <c r="D531" s="66"/>
      <c r="E531" s="42"/>
    </row>
    <row r="532" spans="2:5" ht="20" customHeight="1" x14ac:dyDescent="0.2">
      <c r="B532" s="4" t="s">
        <v>2789</v>
      </c>
      <c r="C532" s="65" t="s">
        <v>2790</v>
      </c>
      <c r="D532" s="66"/>
      <c r="E532" s="42"/>
    </row>
    <row r="533" spans="2:5" ht="20" customHeight="1" x14ac:dyDescent="0.2">
      <c r="B533" s="4" t="s">
        <v>2791</v>
      </c>
      <c r="C533" s="65" t="s">
        <v>2792</v>
      </c>
      <c r="D533" s="66"/>
      <c r="E533" s="42"/>
    </row>
    <row r="534" spans="2:5" ht="16" customHeight="1" x14ac:dyDescent="0.2"/>
    <row r="535" spans="2:5" ht="20" customHeight="1" x14ac:dyDescent="0.2"/>
    <row r="536" spans="2:5" ht="20" customHeight="1" x14ac:dyDescent="0.2"/>
    <row r="537" spans="2:5" ht="20" customHeight="1" x14ac:dyDescent="0.2"/>
    <row r="538" spans="2:5" ht="20" customHeight="1" x14ac:dyDescent="0.2"/>
    <row r="539" spans="2:5" ht="20" customHeight="1" x14ac:dyDescent="0.2"/>
    <row r="540" spans="2:5" ht="20" customHeight="1" x14ac:dyDescent="0.2"/>
    <row r="541" spans="2:5" ht="20" customHeight="1" x14ac:dyDescent="0.2"/>
    <row r="542" spans="2:5" ht="20" customHeight="1" x14ac:dyDescent="0.2"/>
    <row r="544" spans="2:5" ht="34" customHeight="1" x14ac:dyDescent="0.2"/>
    <row r="545" ht="20" customHeight="1" x14ac:dyDescent="0.2"/>
    <row r="546" ht="20" customHeight="1" x14ac:dyDescent="0.2"/>
    <row r="547" ht="20" customHeight="1" x14ac:dyDescent="0.2"/>
    <row r="548" ht="20" customHeight="1" x14ac:dyDescent="0.2"/>
    <row r="549" ht="20" customHeight="1" x14ac:dyDescent="0.2"/>
    <row r="550" ht="20" customHeight="1" x14ac:dyDescent="0.2"/>
    <row r="551" ht="20" customHeight="1" x14ac:dyDescent="0.2"/>
  </sheetData>
  <sheetProtection algorithmName="SHA-512" hashValue="Vky1gcGjrxRCaSNxG1FW989Jn7iHI8OytS/PAMhTOSonwxoTVdE8GOYtUqJNdf4l5B1KOQNh2rjxKpbnK5k49w==" saltValue="qCnkQJCL54WYCoKGoCjH8g==" spinCount="100000" sheet="1" selectLockedCells="1"/>
  <mergeCells count="107">
    <mergeCell ref="B11:E11"/>
    <mergeCell ref="B26:E26"/>
    <mergeCell ref="B43:E43"/>
    <mergeCell ref="B19:E19"/>
    <mergeCell ref="B116:E116"/>
    <mergeCell ref="B16:E16"/>
    <mergeCell ref="B25:E25"/>
    <mergeCell ref="B14:E14"/>
    <mergeCell ref="B29:E29"/>
    <mergeCell ref="B31:E31"/>
    <mergeCell ref="B79:E79"/>
    <mergeCell ref="B87:E87"/>
    <mergeCell ref="B56:E56"/>
    <mergeCell ref="B370:E370"/>
    <mergeCell ref="B321:E321"/>
    <mergeCell ref="B339:E339"/>
    <mergeCell ref="B285:E285"/>
    <mergeCell ref="B295:E295"/>
    <mergeCell ref="B310:E310"/>
    <mergeCell ref="B445:E445"/>
    <mergeCell ref="B420:E420"/>
    <mergeCell ref="B367:E367"/>
    <mergeCell ref="B369:E369"/>
    <mergeCell ref="B373:E373"/>
    <mergeCell ref="B378:E378"/>
    <mergeCell ref="B384:E384"/>
    <mergeCell ref="B394:E394"/>
    <mergeCell ref="B395:E395"/>
    <mergeCell ref="B398:E398"/>
    <mergeCell ref="B403:E403"/>
    <mergeCell ref="B409:E409"/>
    <mergeCell ref="B354:E354"/>
    <mergeCell ref="B286:E286"/>
    <mergeCell ref="B296:E296"/>
    <mergeCell ref="B311:E311"/>
    <mergeCell ref="B359:E359"/>
    <mergeCell ref="B165:E165"/>
    <mergeCell ref="B156:E156"/>
    <mergeCell ref="B137:E137"/>
    <mergeCell ref="B349:E349"/>
    <mergeCell ref="B232:E232"/>
    <mergeCell ref="B244:E244"/>
    <mergeCell ref="B80:E80"/>
    <mergeCell ref="B223:E223"/>
    <mergeCell ref="B231:E231"/>
    <mergeCell ref="B243:E243"/>
    <mergeCell ref="B259:E259"/>
    <mergeCell ref="B270:E270"/>
    <mergeCell ref="B260:E260"/>
    <mergeCell ref="B271:E271"/>
    <mergeCell ref="B117:E117"/>
    <mergeCell ref="B130:E130"/>
    <mergeCell ref="B138:E138"/>
    <mergeCell ref="B212:E212"/>
    <mergeCell ref="B144:E144"/>
    <mergeCell ref="B145:E145"/>
    <mergeCell ref="B157:E157"/>
    <mergeCell ref="B166:E166"/>
    <mergeCell ref="B213:E213"/>
    <mergeCell ref="B210:E210"/>
    <mergeCell ref="B2:E2"/>
    <mergeCell ref="B343:E343"/>
    <mergeCell ref="B42:E42"/>
    <mergeCell ref="B64:E64"/>
    <mergeCell ref="B94:E94"/>
    <mergeCell ref="B96:E96"/>
    <mergeCell ref="B175:E175"/>
    <mergeCell ref="B320:E320"/>
    <mergeCell ref="B72:E72"/>
    <mergeCell ref="B10:E10"/>
    <mergeCell ref="B161:E161"/>
    <mergeCell ref="B48:E48"/>
    <mergeCell ref="B338:E338"/>
    <mergeCell ref="B3:E3"/>
    <mergeCell ref="B8:E8"/>
    <mergeCell ref="B192:E192"/>
    <mergeCell ref="B129:E129"/>
    <mergeCell ref="B49:E49"/>
    <mergeCell ref="B57:E57"/>
    <mergeCell ref="B65:E65"/>
    <mergeCell ref="B73:E73"/>
    <mergeCell ref="B222:E222"/>
    <mergeCell ref="B88:E88"/>
    <mergeCell ref="B97:E97"/>
    <mergeCell ref="B528:E528"/>
    <mergeCell ref="B421:E421"/>
    <mergeCell ref="B446:E446"/>
    <mergeCell ref="B474:E474"/>
    <mergeCell ref="B484:E484"/>
    <mergeCell ref="B494:E494"/>
    <mergeCell ref="B424:E424"/>
    <mergeCell ref="B429:E429"/>
    <mergeCell ref="B435:E435"/>
    <mergeCell ref="B523:E523"/>
    <mergeCell ref="B527:E527"/>
    <mergeCell ref="B483:E483"/>
    <mergeCell ref="B473:E473"/>
    <mergeCell ref="B511:E511"/>
    <mergeCell ref="B522:E522"/>
    <mergeCell ref="B493:E493"/>
    <mergeCell ref="B499:E499"/>
    <mergeCell ref="B500:E500"/>
    <mergeCell ref="B512:E512"/>
    <mergeCell ref="B471:E471"/>
    <mergeCell ref="B449:E449"/>
    <mergeCell ref="B454:E454"/>
    <mergeCell ref="B460:E460"/>
  </mergeCells>
  <conditionalFormatting sqref="C385:C386">
    <cfRule type="expression" dxfId="350" priority="22">
      <formula>OR((private_cloud_result="Excluded"),(private_cloud_chosen="Connect Instance"))</formula>
    </cfRule>
  </conditionalFormatting>
  <conditionalFormatting sqref="C388:C390">
    <cfRule type="expression" dxfId="349" priority="20">
      <formula>OR((private_cloud_result="Excluded"),(private_cloud_chosen="Connect Instance"))</formula>
    </cfRule>
  </conditionalFormatting>
  <conditionalFormatting sqref="C410:C411">
    <cfRule type="expression" dxfId="348" priority="25">
      <formula>OR((private_cloud_result="Excluded"),(private_cloud_chosen="Connect Instance"))</formula>
    </cfRule>
  </conditionalFormatting>
  <conditionalFormatting sqref="C413:C415">
    <cfRule type="expression" dxfId="347" priority="23">
      <formula>OR((private_cloud_result="Excluded"),(private_cloud_chosen="Connect Instance"))</formula>
    </cfRule>
  </conditionalFormatting>
  <conditionalFormatting sqref="C417">
    <cfRule type="expression" dxfId="346" priority="24">
      <formula>OR((private_cloud_result="Excluded"),(private_cloud_chosen="Connect Instance"))</formula>
    </cfRule>
  </conditionalFormatting>
  <conditionalFormatting sqref="C436:C437">
    <cfRule type="expression" dxfId="345" priority="19">
      <formula>OR((private_cloud_result="Excluded"),(private_cloud_chosen="Connect Instance"))</formula>
    </cfRule>
  </conditionalFormatting>
  <conditionalFormatting sqref="C439:C441">
    <cfRule type="expression" dxfId="344" priority="17">
      <formula>OR((private_cloud_result="Excluded"),(private_cloud_chosen="Connect Instance"))</formula>
    </cfRule>
  </conditionalFormatting>
  <conditionalFormatting sqref="C461:C462">
    <cfRule type="expression" dxfId="343" priority="16">
      <formula>OR((private_cloud_result="Excluded"),(private_cloud_chosen="Connect Instance"))</formula>
    </cfRule>
  </conditionalFormatting>
  <conditionalFormatting sqref="C464:C466">
    <cfRule type="expression" dxfId="342" priority="14">
      <formula>OR((private_cloud_result="Excluded"),(private_cloud_chosen="Connect Instance"))</formula>
    </cfRule>
  </conditionalFormatting>
  <conditionalFormatting sqref="C468">
    <cfRule type="expression" dxfId="341" priority="15">
      <formula>OR((private_cloud_result="Excluded"),(private_cloud_chosen="Connect Instance"))</formula>
    </cfRule>
  </conditionalFormatting>
  <conditionalFormatting sqref="D13 D15 D17 D21:D23 D28 D30 D32:D40 D45:D46 D51:D54 D59:D62 D67:D70 D75:D77 D82:D85 D90:D92 D215:D220 D225:D229 D234:D241 D246:D257 D262:D268 D273:D283 D288:D293 D298:D308 D313:D318">
    <cfRule type="expression" dxfId="340" priority="4">
      <formula>mgmt_domain_chosen="Additional Instance"</formula>
    </cfRule>
  </conditionalFormatting>
  <conditionalFormatting sqref="D13 D17 D21:D23 D30 D32:D40 D45:D46 D51:D54 D59:D62 D67:D70 D75:D77 D82:D85 D90:D92 D99:D114 D119:D127 D132:D135 D140:D142 D147:D154 D159:D160 D162:D163 D168:D174 D176:D191 D193:D208 D215:D220 D225:D229 D234:D241 D246:D257 D262:D268 D273:D283 D288:D293 D298:D308 D313:D318 D323:D336 D341:D342 D344:D348 D350:D353 D355:D358 D360:D365 D372 D374:D377 D379:D383 D385:D392 D397 D399:D402 D404:D408 D410:D418 D423 D425:D428 D430:D434 D436:D443 D448 D450:D453 D455:D459 D461:D469 D476:D481 D486:D491 D496:D497 D502:D509 D514:D520 D525 D530:D533">
    <cfRule type="containsBlanks" dxfId="339" priority="13">
      <formula>LEN(TRIM(D13))=0</formula>
    </cfRule>
    <cfRule type="notContainsBlanks" dxfId="338" priority="26">
      <formula>LEN(TRIM(D13))&gt;0</formula>
    </cfRule>
  </conditionalFormatting>
  <conditionalFormatting sqref="D15">
    <cfRule type="containsBlanks" dxfId="335" priority="6">
      <formula>LEN(TRIM(D15))=0</formula>
    </cfRule>
    <cfRule type="notContainsBlanks" dxfId="334" priority="7">
      <formula>LEN(TRIM(D15))&gt;0</formula>
    </cfRule>
  </conditionalFormatting>
  <conditionalFormatting sqref="D28">
    <cfRule type="containsBlanks" dxfId="332" priority="9">
      <formula>LEN(TRIM(D28))=0</formula>
    </cfRule>
    <cfRule type="notContainsBlanks" dxfId="331" priority="10">
      <formula>LEN(TRIM(D28))&gt;0</formula>
    </cfRule>
  </conditionalFormatting>
  <conditionalFormatting sqref="D360:D365 D372 D374:D377 D379:D383 D385:D392 D397 D399:D402 D404:D408 D410:D418 D423 D425:D428 D430:D434 D436:D443 D448 D450:D453 D455:D459 D461:D469">
    <cfRule type="expression" dxfId="330" priority="3">
      <formula>mgmt_domain_chosen="First Instance"</formula>
    </cfRule>
  </conditionalFormatting>
  <conditionalFormatting sqref="D496:D497">
    <cfRule type="expression" dxfId="329" priority="2">
      <formula>mgmt_domain_chosen="Additional Instance"</formula>
    </cfRule>
  </conditionalFormatting>
  <conditionalFormatting sqref="D525">
    <cfRule type="expression" dxfId="328" priority="1">
      <formula>mgmt_domain_chosen="Additional Instance"</formula>
    </cfRule>
  </conditionalFormatting>
  <hyperlinks>
    <hyperlink ref="B5" location="'Site Protection &amp; DR'!navigation_site_protection_mgmt" display="Management Domain" xr:uid="{00000000-0004-0000-0F00-000000000000}"/>
    <hyperlink ref="C5" location="'Site Protection &amp; DR'!navigation_site_protection_solution_interop" display="Solution Interoperability" xr:uid="{00000000-0004-0000-0F00-000001000000}"/>
  </hyperlinks>
  <pageMargins left="0.7" right="0.7" top="0.75" bottom="0.75" header="0.3" footer="0.3"/>
  <pageSetup paperSize="9" orientation="portrait" horizontalDpi="0" verticalDpi="0"/>
  <ignoredErrors>
    <ignoredError sqref="C101 D490" formula="1"/>
  </ignoredErrors>
  <drawing r:id="rId1"/>
  <extLst>
    <ext xmlns:x14="http://schemas.microsoft.com/office/spreadsheetml/2009/9/main" uri="{78C0D931-6437-407d-A8EE-F0AAD7539E65}">
      <x14:conditionalFormattings>
        <x14:conditionalFormatting xmlns:xm="http://schemas.microsoft.com/office/excel/2006/main">
          <x14:cfRule type="containsText" priority="11" operator="containsText" id="{9184D86B-7AB1-FA48-93EA-7C71272529AA}">
            <xm:f>NOT(ISERROR(SEARCH("Value Missing",D13)))</xm:f>
            <xm:f>"Value Missing"</xm:f>
            <x14:dxf>
              <font>
                <color rgb="FF0E223A"/>
              </font>
              <fill>
                <patternFill>
                  <bgColor rgb="FFFFBE29"/>
                </patternFill>
              </fill>
            </x14:dxf>
          </x14:cfRule>
          <xm:sqref>D13 D17 D21:D23 D30 D32:D40 D45:D46 D51:D54 D59:D62 D67:D70 D75:D77 D82:D85 D90:D92 D215:D220 D225:D229 D234:D241 D246:D257 D262:D268 D273:D283 D288:D293 D298:D308 D313:D318 D360:D365 D372 D374:D377 D379:D383 D385:D392 D397 D399:D402 D404:D408 D410:D418 D423 D425:D428 D430:D434 D436:D443 D448 D450:D453 D455:D459 D461:D469 D496:D497 D525 D99:D114 D119:D127 D132:D135 D140:D142 D147:D154 D159:D160 D162:D163 D168:D174 D176:D191 D193:D208 D323:D336 D341:D342 D344:D348 D350:D353 D355:D358 D476:D481 D486:D491 D502:D509 D514:D520 D530:D533</xm:sqref>
        </x14:conditionalFormatting>
        <x14:conditionalFormatting xmlns:xm="http://schemas.microsoft.com/office/excel/2006/main">
          <x14:cfRule type="containsText" priority="5" operator="containsText" id="{6AD106E7-7849-0949-B570-A35B5406CF2E}">
            <xm:f>NOT(ISERROR(SEARCH("Value Missing",D15)))</xm:f>
            <xm:f>"Value Missing"</xm:f>
            <x14:dxf>
              <font>
                <color rgb="FF0E223A"/>
              </font>
              <fill>
                <patternFill>
                  <bgColor rgb="FFFFBE29"/>
                </patternFill>
              </fill>
            </x14:dxf>
          </x14:cfRule>
          <xm:sqref>D15</xm:sqref>
        </x14:conditionalFormatting>
        <x14:conditionalFormatting xmlns:xm="http://schemas.microsoft.com/office/excel/2006/main">
          <x14:cfRule type="containsText" priority="8" operator="containsText" id="{D371AC72-8B9B-0F47-9C1A-29E4DA905834}">
            <xm:f>NOT(ISERROR(SEARCH("Value Missing",D28)))</xm:f>
            <xm:f>"Value Missing"</xm:f>
            <x14:dxf>
              <font>
                <color rgb="FF0E223A"/>
              </font>
              <fill>
                <patternFill>
                  <bgColor rgb="FFFFBE29"/>
                </patternFill>
              </fill>
            </x14:dxf>
          </x14:cfRule>
          <xm:sqref>D28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1E361-4302-4245-A6C1-E2E8E6F6DD20}">
  <sheetPr>
    <tabColor theme="8" tint="0.39997558519241921"/>
  </sheetPr>
  <dimension ref="A1:J216"/>
  <sheetViews>
    <sheetView showGridLines="0" workbookViewId="0">
      <pane ySplit="4" topLeftCell="A30" activePane="bottomLeft" state="frozen"/>
      <selection pane="bottomLeft"/>
    </sheetView>
  </sheetViews>
  <sheetFormatPr baseColWidth="10" defaultRowHeight="16" x14ac:dyDescent="0.2"/>
  <cols>
    <col min="1" max="1" width="2.83203125" customWidth="1"/>
    <col min="2" max="2" width="79.83203125" customWidth="1"/>
    <col min="3" max="3" width="70.83203125" customWidth="1"/>
    <col min="4" max="4" width="70.83203125" style="9" customWidth="1"/>
    <col min="5" max="5" width="80.83203125" customWidth="1"/>
    <col min="8" max="8" width="14.1640625" bestFit="1" customWidth="1"/>
    <col min="9" max="9" width="10.83203125" customWidth="1"/>
  </cols>
  <sheetData>
    <row r="1" spans="1:10" s="2" customFormat="1" ht="16" customHeight="1" x14ac:dyDescent="0.2">
      <c r="A1" s="361"/>
      <c r="F1" s="9"/>
      <c r="G1" s="9"/>
      <c r="H1" s="9"/>
      <c r="I1" s="9"/>
      <c r="J1" s="9"/>
    </row>
    <row r="2" spans="1:10" s="2" customFormat="1" ht="54" customHeight="1" x14ac:dyDescent="0.2">
      <c r="B2" s="655" t="s">
        <v>4103</v>
      </c>
      <c r="C2" s="656"/>
      <c r="D2" s="656"/>
      <c r="E2" s="657"/>
      <c r="F2" s="9"/>
      <c r="G2" s="9"/>
      <c r="H2" s="9"/>
      <c r="I2" s="9"/>
      <c r="J2" s="9"/>
    </row>
    <row r="3" spans="1:10" s="2" customFormat="1" ht="20" customHeight="1" x14ac:dyDescent="0.2">
      <c r="B3" s="658" t="s">
        <v>4105</v>
      </c>
      <c r="C3" s="659"/>
      <c r="D3" s="659"/>
      <c r="E3" s="660"/>
      <c r="F3" s="9"/>
      <c r="G3" s="9"/>
      <c r="H3" s="9"/>
      <c r="I3" s="9"/>
      <c r="J3" s="9"/>
    </row>
    <row r="4" spans="1:10" s="9" customFormat="1" x14ac:dyDescent="0.2">
      <c r="B4" s="2"/>
      <c r="D4" s="2"/>
    </row>
    <row r="5" spans="1:10" s="2" customFormat="1" x14ac:dyDescent="0.2">
      <c r="D5" s="11"/>
      <c r="E5" s="3"/>
      <c r="F5" s="3"/>
    </row>
    <row r="6" spans="1:10" ht="30" customHeight="1" x14ac:dyDescent="0.2">
      <c r="B6" s="608" t="s">
        <v>535</v>
      </c>
      <c r="C6" s="609"/>
      <c r="D6" s="609"/>
      <c r="E6" s="609"/>
    </row>
    <row r="8" spans="1:10" ht="30" customHeight="1" x14ac:dyDescent="0.2">
      <c r="B8" s="609" t="s">
        <v>4032</v>
      </c>
      <c r="C8" s="609"/>
      <c r="D8" s="609"/>
      <c r="E8" s="609"/>
    </row>
    <row r="9" spans="1:10" ht="20" customHeight="1" x14ac:dyDescent="0.2">
      <c r="B9" s="601" t="s">
        <v>4033</v>
      </c>
      <c r="C9" s="601"/>
      <c r="D9" s="601"/>
      <c r="E9" s="601"/>
    </row>
    <row r="10" spans="1:10" ht="20" customHeight="1" x14ac:dyDescent="0.2">
      <c r="B10" s="357" t="s">
        <v>18</v>
      </c>
      <c r="C10" s="358" t="s">
        <v>19</v>
      </c>
      <c r="D10" s="358" t="s">
        <v>20</v>
      </c>
      <c r="E10" s="358" t="s">
        <v>21</v>
      </c>
    </row>
    <row r="11" spans="1:10" ht="20" customHeight="1" x14ac:dyDescent="0.2">
      <c r="B11" s="412" t="s">
        <v>2535</v>
      </c>
      <c r="C11" s="65" t="str">
        <f>CONCATENATE(this_instance,"-m01-vc01.",sample_child_dns_zone)</f>
        <v>sfo-m01-vc01.sfo.rainpole.io</v>
      </c>
      <c r="D11" s="8"/>
      <c r="E11" s="413"/>
    </row>
    <row r="12" spans="1:10" ht="20" customHeight="1" x14ac:dyDescent="0.2">
      <c r="B12" s="412" t="s">
        <v>646</v>
      </c>
      <c r="C12" s="65" t="str">
        <f>CONCATENATE(this_instance,"-m01-cl01")</f>
        <v>sfo-m01-cl01</v>
      </c>
      <c r="D12" s="8"/>
      <c r="E12" s="413"/>
    </row>
    <row r="13" spans="1:10" ht="20" customHeight="1" x14ac:dyDescent="0.2">
      <c r="B13" s="412" t="s">
        <v>2470</v>
      </c>
      <c r="C13" s="65" t="str">
        <f>CONCATENATE(this_instance,"-w01-pnr01")</f>
        <v>sfo-w01-pnr01</v>
      </c>
      <c r="D13" s="8"/>
      <c r="E13" s="413"/>
    </row>
    <row r="14" spans="1:10" ht="20" customHeight="1" x14ac:dyDescent="0.2">
      <c r="B14" s="412" t="s">
        <v>2472</v>
      </c>
      <c r="C14" s="65" t="str">
        <f>CONCATENATE(this_instance,"-m01-cl01")</f>
        <v>sfo-m01-cl01</v>
      </c>
      <c r="D14" s="8"/>
      <c r="E14" s="413"/>
    </row>
    <row r="15" spans="1:10" ht="20" customHeight="1" x14ac:dyDescent="0.2">
      <c r="B15" s="412" t="s">
        <v>102</v>
      </c>
      <c r="C15" s="65" t="str">
        <f>CONCATENATE(this_instance,"-m01-cl01-ds-vsan01")</f>
        <v>sfo-m01-cl01-ds-vsan01</v>
      </c>
      <c r="D15" s="8"/>
      <c r="E15" s="413"/>
    </row>
    <row r="16" spans="1:10" ht="20" customHeight="1" x14ac:dyDescent="0.2">
      <c r="B16" s="412" t="s">
        <v>2473</v>
      </c>
      <c r="C16" s="65" t="str">
        <f>CONCATENATE(this_instance,"-m01-cl01-vds01-pg-vm-mgmt")</f>
        <v>sfo-m01-cl01-vds01-pg-vm-mgmt</v>
      </c>
      <c r="D16" s="8"/>
      <c r="E16" s="413"/>
    </row>
    <row r="17" spans="2:5" ht="20" customHeight="1" x14ac:dyDescent="0.2">
      <c r="B17" s="412" t="s">
        <v>295</v>
      </c>
      <c r="C17" s="65" t="str">
        <f>CONCATENATE(this_instance,"-w01-pnr01.",sample_child_dns_zone)</f>
        <v>sfo-w01-pnr01.sfo.rainpole.io</v>
      </c>
      <c r="D17" s="8"/>
      <c r="E17" s="413"/>
    </row>
    <row r="18" spans="2:5" ht="20" customHeight="1" x14ac:dyDescent="0.2">
      <c r="B18" s="412" t="s">
        <v>2794</v>
      </c>
      <c r="C18" s="65" t="s">
        <v>31</v>
      </c>
      <c r="D18" s="8"/>
      <c r="E18" s="413"/>
    </row>
    <row r="19" spans="2:5" ht="20" customHeight="1" x14ac:dyDescent="0.2">
      <c r="B19" s="412" t="s">
        <v>2795</v>
      </c>
      <c r="C19" s="65" t="s">
        <v>31</v>
      </c>
      <c r="D19" s="8"/>
      <c r="E19" s="413"/>
    </row>
    <row r="20" spans="2:5" ht="20" customHeight="1" x14ac:dyDescent="0.2">
      <c r="B20" s="412" t="s">
        <v>292</v>
      </c>
      <c r="C20" s="65" t="str">
        <f>CONCATENATE("ntp0.",this_instance,".rainpole.io")</f>
        <v>ntp0.sfo.rainpole.io</v>
      </c>
      <c r="D20" s="8"/>
      <c r="E20" s="413"/>
    </row>
    <row r="21" spans="2:5" ht="20" customHeight="1" x14ac:dyDescent="0.2">
      <c r="B21" s="412" t="s">
        <v>4034</v>
      </c>
      <c r="C21" s="65" t="s">
        <v>3713</v>
      </c>
      <c r="D21" s="8"/>
      <c r="E21" s="413"/>
    </row>
    <row r="22" spans="2:5" ht="20" customHeight="1" x14ac:dyDescent="0.2">
      <c r="B22" s="412" t="s">
        <v>4035</v>
      </c>
      <c r="C22" s="65" t="s">
        <v>4037</v>
      </c>
      <c r="D22" s="8"/>
      <c r="E22" s="413"/>
    </row>
    <row r="23" spans="2:5" ht="20" customHeight="1" x14ac:dyDescent="0.2">
      <c r="B23" s="412" t="s">
        <v>247</v>
      </c>
      <c r="C23" s="65" t="s">
        <v>4036</v>
      </c>
      <c r="D23" s="8"/>
      <c r="E23" s="413"/>
    </row>
    <row r="24" spans="2:5" ht="20" customHeight="1" x14ac:dyDescent="0.2">
      <c r="B24" s="412" t="s">
        <v>563</v>
      </c>
      <c r="C24" s="65" t="str">
        <f>CONCATENATE(this_instance,".rainpole.io")</f>
        <v>sfo.rainpole.io</v>
      </c>
      <c r="D24" s="8"/>
      <c r="E24" s="413"/>
    </row>
    <row r="25" spans="2:5" ht="20" customHeight="1" x14ac:dyDescent="0.2">
      <c r="B25" s="412" t="s">
        <v>564</v>
      </c>
      <c r="C25" s="65" t="str">
        <f>CONCATENATE(this_instance,".rainpole.io")</f>
        <v>sfo.rainpole.io</v>
      </c>
      <c r="D25" s="8"/>
      <c r="E25" s="413"/>
    </row>
    <row r="26" spans="2:5" ht="20" customHeight="1" x14ac:dyDescent="0.2">
      <c r="B26" s="412" t="s">
        <v>2477</v>
      </c>
      <c r="C26" s="65" t="str">
        <f>CONCATENATE(prefix_mgmt_az1_cidr,"10.4",",",prefix_mgmt_az1_cidr,"10.5")</f>
        <v>10.11.10.4,10.11.10.5</v>
      </c>
      <c r="D26" s="8"/>
      <c r="E26" s="413"/>
    </row>
    <row r="27" spans="2:5" ht="20" customHeight="1" x14ac:dyDescent="0.2">
      <c r="B27" s="412" t="s">
        <v>2478</v>
      </c>
      <c r="C27" s="65" t="str">
        <f>CONCATENATE(prefix_mgmt_az1_cidr,"10.218")</f>
        <v>10.11.10.218</v>
      </c>
      <c r="D27" s="8"/>
      <c r="E27" s="413"/>
    </row>
    <row r="28" spans="2:5" ht="20" customHeight="1" x14ac:dyDescent="0.2">
      <c r="B28" s="412" t="s">
        <v>2796</v>
      </c>
      <c r="C28" s="65">
        <v>24</v>
      </c>
      <c r="D28" s="8"/>
      <c r="E28" s="413"/>
    </row>
    <row r="29" spans="2:5" x14ac:dyDescent="0.2">
      <c r="B29" s="353"/>
    </row>
    <row r="30" spans="2:5" ht="30" customHeight="1" x14ac:dyDescent="0.2">
      <c r="B30" s="609" t="s">
        <v>4038</v>
      </c>
      <c r="C30" s="609"/>
      <c r="D30" s="609"/>
      <c r="E30" s="609"/>
    </row>
    <row r="31" spans="2:5" ht="20" customHeight="1" x14ac:dyDescent="0.2">
      <c r="B31" s="601"/>
      <c r="C31" s="601"/>
      <c r="D31" s="601"/>
      <c r="E31" s="601"/>
    </row>
    <row r="32" spans="2:5" ht="20" customHeight="1" x14ac:dyDescent="0.2">
      <c r="B32" s="357" t="s">
        <v>18</v>
      </c>
      <c r="C32" s="358" t="s">
        <v>19</v>
      </c>
      <c r="D32" s="358" t="s">
        <v>20</v>
      </c>
      <c r="E32" s="358" t="s">
        <v>21</v>
      </c>
    </row>
    <row r="33" spans="2:5" ht="20" customHeight="1" x14ac:dyDescent="0.2">
      <c r="B33" s="412" t="s">
        <v>2639</v>
      </c>
      <c r="C33" s="65" t="str">
        <f>CONCATENATE(this_instance,"-w01-vc01.",sample_child_dns_zone)</f>
        <v>sfo-w01-vc01.sfo.rainpole.io</v>
      </c>
      <c r="D33" s="66"/>
      <c r="E33" s="413"/>
    </row>
    <row r="34" spans="2:5" ht="20" customHeight="1" x14ac:dyDescent="0.2">
      <c r="B34" s="412" t="s">
        <v>2351</v>
      </c>
      <c r="C34" s="65" t="str">
        <f>CONCATENATE(this_instance,"-w01.local")</f>
        <v>sfo-w01.local</v>
      </c>
      <c r="D34" s="66"/>
      <c r="E34" s="413"/>
    </row>
    <row r="35" spans="2:5" ht="20" customHeight="1" x14ac:dyDescent="0.2">
      <c r="B35" s="412" t="s">
        <v>2641</v>
      </c>
      <c r="C35" s="65" t="str">
        <f>CONCATENATE("svc_",this_instance,"-w01-pnr01_",this_instance,"-w01-vc01")</f>
        <v>svc_sfo-w01-pnr01_sfo-w01-vc01</v>
      </c>
      <c r="D35" s="66"/>
      <c r="E35" s="413"/>
    </row>
    <row r="36" spans="2:5" ht="20" customHeight="1" x14ac:dyDescent="0.2">
      <c r="B36" s="412" t="s">
        <v>2642</v>
      </c>
      <c r="C36" s="65" t="s">
        <v>31</v>
      </c>
      <c r="D36" s="66"/>
      <c r="E36" s="413"/>
    </row>
    <row r="38" spans="2:5" ht="30" customHeight="1" x14ac:dyDescent="0.2">
      <c r="B38" s="609" t="s">
        <v>4039</v>
      </c>
      <c r="C38" s="609"/>
      <c r="D38" s="609"/>
      <c r="E38" s="609"/>
    </row>
    <row r="39" spans="2:5" ht="20" customHeight="1" x14ac:dyDescent="0.2">
      <c r="B39" s="601"/>
      <c r="C39" s="601"/>
      <c r="D39" s="601"/>
      <c r="E39" s="601"/>
    </row>
    <row r="40" spans="2:5" ht="20" customHeight="1" x14ac:dyDescent="0.2">
      <c r="B40" s="357" t="s">
        <v>18</v>
      </c>
      <c r="C40" s="358" t="s">
        <v>19</v>
      </c>
      <c r="D40" s="358" t="s">
        <v>20</v>
      </c>
      <c r="E40" s="358" t="s">
        <v>21</v>
      </c>
    </row>
    <row r="41" spans="2:5" ht="20" customHeight="1" x14ac:dyDescent="0.2">
      <c r="B41" s="412" t="s">
        <v>2639</v>
      </c>
      <c r="C41" s="65" t="str">
        <f>CONCATENATE(this_instance,"-w01-vc01.",sample_child_dns_zone)</f>
        <v>sfo-w01-vc01.sfo.rainpole.io</v>
      </c>
      <c r="D41" s="8" t="str">
        <f>cr_mgmt_protect_vc_fqdn</f>
        <v>Value Missing</v>
      </c>
      <c r="E41" s="413"/>
    </row>
    <row r="42" spans="2:5" ht="20" customHeight="1" x14ac:dyDescent="0.2">
      <c r="B42" s="412" t="s">
        <v>2351</v>
      </c>
      <c r="C42" s="65" t="str">
        <f>CONCATENATE(this_instance,"-w01.local")</f>
        <v>sfo-w01.local</v>
      </c>
      <c r="D42" s="8" t="str">
        <f>cr_mgmt_protect_vc_domain</f>
        <v>Value Missing</v>
      </c>
      <c r="E42" s="413"/>
    </row>
    <row r="43" spans="2:5" ht="20" customHeight="1" x14ac:dyDescent="0.2">
      <c r="B43" s="412" t="s">
        <v>2641</v>
      </c>
      <c r="C43" s="65" t="str">
        <f>CONCATENATE("svc_",this_instance,"-w01-pnr01_",this_instance,"-w01-vc01")</f>
        <v>svc_sfo-w01-pnr01_sfo-w01-vc01</v>
      </c>
      <c r="D43" s="66"/>
      <c r="E43" s="413"/>
    </row>
    <row r="45" spans="2:5" ht="30" customHeight="1" x14ac:dyDescent="0.2">
      <c r="B45" s="609" t="s">
        <v>4041</v>
      </c>
      <c r="C45" s="609"/>
      <c r="D45" s="609"/>
      <c r="E45" s="609"/>
    </row>
    <row r="46" spans="2:5" s="353" customFormat="1" ht="20" customHeight="1" x14ac:dyDescent="0.2">
      <c r="B46" s="601"/>
      <c r="C46" s="601"/>
      <c r="D46" s="601"/>
      <c r="E46" s="601"/>
    </row>
    <row r="47" spans="2:5" s="353" customFormat="1" ht="20" customHeight="1" x14ac:dyDescent="0.2">
      <c r="B47" s="357" t="s">
        <v>18</v>
      </c>
      <c r="C47" s="358" t="s">
        <v>19</v>
      </c>
      <c r="D47" s="358" t="s">
        <v>20</v>
      </c>
      <c r="E47" s="358" t="s">
        <v>21</v>
      </c>
    </row>
    <row r="48" spans="2:5" s="353" customFormat="1" ht="20" customHeight="1" x14ac:dyDescent="0.2">
      <c r="B48" s="412" t="s">
        <v>4104</v>
      </c>
      <c r="C48" s="65" t="str">
        <f>CONCATENATE(this_instance,"-w01-pnr01.",sample_child_dns_zone,":5480")</f>
        <v>sfo-w01-pnr01.sfo.rainpole.io:5480</v>
      </c>
      <c r="D48" s="8" t="str">
        <f>_xlfn.CONCAT(cr_wld_pnr_fqdn,":5480")</f>
        <v>Value Missing:5480</v>
      </c>
      <c r="E48" s="393"/>
    </row>
    <row r="49" spans="2:5" s="353" customFormat="1" ht="20" customHeight="1" x14ac:dyDescent="0.2">
      <c r="B49" s="412" t="s">
        <v>4040</v>
      </c>
      <c r="C49" s="65" t="str">
        <f>CONCATENATE(this_instance,"-w01-vc01.",sample_child_dns_zone)</f>
        <v>sfo-w01-vc01.sfo.rainpole.io</v>
      </c>
      <c r="D49" s="8" t="str">
        <f>cr_mgmt_protect_vc_fqdn</f>
        <v>Value Missing</v>
      </c>
      <c r="E49" s="393"/>
    </row>
    <row r="50" spans="2:5" s="353" customFormat="1" ht="20" customHeight="1" x14ac:dyDescent="0.2">
      <c r="B50" s="412" t="s">
        <v>79</v>
      </c>
      <c r="C50" s="65" t="str">
        <f>CONCATENATE("svc_",this_instance,"-w01-pnr01_",this_instance,"-w01-vc01@",this_instance,"-w01.local")</f>
        <v>svc_sfo-w01-pnr01_sfo-w01-vc01@sfo-w01.local</v>
      </c>
      <c r="D50" s="8" t="str">
        <f>CONCATENATE(cr_wld_protect_vc_replication_user,"@",cr_mgmt_protect_vc_domain)</f>
        <v>Value Missing@Value Missing</v>
      </c>
      <c r="E50" s="393"/>
    </row>
    <row r="51" spans="2:5" s="353" customFormat="1" ht="20" customHeight="1" x14ac:dyDescent="0.2">
      <c r="B51" s="412" t="s">
        <v>30</v>
      </c>
      <c r="C51" s="65" t="s">
        <v>31</v>
      </c>
      <c r="D51" s="66"/>
      <c r="E51" s="393"/>
    </row>
    <row r="52" spans="2:5" s="353" customFormat="1" ht="20" customHeight="1" x14ac:dyDescent="0.2">
      <c r="B52" s="412" t="s">
        <v>1415</v>
      </c>
      <c r="C52" s="65" t="str">
        <f>CONCATENATE(this_instance,"-w01-vc01.",sample_child_dns_zone)</f>
        <v>sfo-w01-vc01.sfo.rainpole.io</v>
      </c>
      <c r="D52" s="8" t="str">
        <f>cr_mgmt_protect_vc_fqdn</f>
        <v>Value Missing</v>
      </c>
      <c r="E52" s="393"/>
    </row>
    <row r="53" spans="2:5" s="353" customFormat="1" ht="20" customHeight="1" x14ac:dyDescent="0.2">
      <c r="B53" s="412" t="s">
        <v>2368</v>
      </c>
      <c r="C53" s="65" t="str">
        <f>CONCATENATE(this_instance,"-w01")</f>
        <v>sfo-w01</v>
      </c>
      <c r="D53" s="66"/>
      <c r="E53" s="393"/>
    </row>
    <row r="54" spans="2:5" s="353" customFormat="1" ht="20" customHeight="1" x14ac:dyDescent="0.2">
      <c r="B54" s="412" t="s">
        <v>2485</v>
      </c>
      <c r="C54" s="65" t="s">
        <v>2801</v>
      </c>
      <c r="D54" s="66"/>
      <c r="E54" s="393"/>
    </row>
    <row r="55" spans="2:5" s="353" customFormat="1" ht="20" customHeight="1" x14ac:dyDescent="0.2">
      <c r="B55" s="412" t="s">
        <v>2486</v>
      </c>
      <c r="C55" s="65" t="str">
        <f>CONCATENATE(this_instance,"-w01-pnr01.",sample_child_dns_zone)</f>
        <v>sfo-w01-pnr01.sfo.rainpole.io</v>
      </c>
      <c r="D55" s="8" t="str">
        <f>cr_wld_pnr_fqdn</f>
        <v>Value Missing</v>
      </c>
      <c r="E55" s="393"/>
    </row>
    <row r="57" spans="2:5" ht="30" customHeight="1" x14ac:dyDescent="0.2">
      <c r="B57" s="609" t="s">
        <v>4042</v>
      </c>
      <c r="C57" s="609"/>
      <c r="D57" s="609"/>
      <c r="E57" s="609"/>
    </row>
    <row r="58" spans="2:5" s="353" customFormat="1" ht="20" customHeight="1" x14ac:dyDescent="0.2">
      <c r="B58" s="601"/>
      <c r="C58" s="601"/>
      <c r="D58" s="601"/>
      <c r="E58" s="601"/>
    </row>
    <row r="59" spans="2:5" s="353" customFormat="1" ht="20" customHeight="1" x14ac:dyDescent="0.2">
      <c r="B59" s="357" t="s">
        <v>18</v>
      </c>
      <c r="C59" s="358" t="s">
        <v>19</v>
      </c>
      <c r="D59" s="358" t="s">
        <v>20</v>
      </c>
      <c r="E59" s="358" t="s">
        <v>21</v>
      </c>
    </row>
    <row r="60" spans="2:5" s="353" customFormat="1" ht="20" customHeight="1" x14ac:dyDescent="0.2">
      <c r="B60" s="412" t="s">
        <v>2639</v>
      </c>
      <c r="C60" s="65" t="str">
        <f>CONCATENATE(this_instance,"-w01-vc01.",sample_child_dns_zone)</f>
        <v>sfo-w01-vc01.sfo.rainpole.io</v>
      </c>
      <c r="D60" s="8" t="str">
        <f>cr_mgmt_protect_vc_fqdn</f>
        <v>Value Missing</v>
      </c>
      <c r="E60" s="393"/>
    </row>
    <row r="61" spans="2:5" s="353" customFormat="1" ht="20" customHeight="1" x14ac:dyDescent="0.2">
      <c r="B61" s="412" t="s">
        <v>2488</v>
      </c>
      <c r="C61" s="65" t="str">
        <f>CONCATENATE(this_instance,"-w01-cl01-vds01")</f>
        <v>sfo-w01-cl01-vds01</v>
      </c>
      <c r="D61" s="66"/>
      <c r="E61" s="393"/>
    </row>
    <row r="62" spans="2:5" s="353" customFormat="1" ht="20" customHeight="1" x14ac:dyDescent="0.2">
      <c r="B62" s="412" t="s">
        <v>254</v>
      </c>
      <c r="C62" s="65" t="str">
        <f>CONCATENATE(this_instance,"-w01-cl01-vds01-pg-vrms")</f>
        <v>sfo-w01-cl01-vds01-pg-vrms</v>
      </c>
      <c r="D62" s="66"/>
      <c r="E62" s="393"/>
    </row>
    <row r="63" spans="2:5" s="353" customFormat="1" ht="20" customHeight="1" x14ac:dyDescent="0.2">
      <c r="B63" s="412" t="s">
        <v>85</v>
      </c>
      <c r="C63" s="65" t="str">
        <f>CONCATENATE(prefix_wld_az1_vlan,"16")</f>
        <v>1316</v>
      </c>
      <c r="D63" s="66"/>
      <c r="E63" s="393"/>
    </row>
    <row r="64" spans="2:5" s="353" customFormat="1" ht="20" customHeight="1" x14ac:dyDescent="0.2">
      <c r="B64" s="183" t="s">
        <v>246</v>
      </c>
      <c r="C64" s="65" t="s">
        <v>126</v>
      </c>
      <c r="D64" s="66"/>
      <c r="E64" s="393"/>
    </row>
    <row r="65" spans="2:5" s="353" customFormat="1" ht="20" customHeight="1" x14ac:dyDescent="0.2">
      <c r="B65" s="4" t="s">
        <v>182</v>
      </c>
      <c r="C65" s="65" t="str">
        <f>CONCATENATE(prefix_wld_az1_cidr,"16.1")</f>
        <v>10.13.16.1</v>
      </c>
      <c r="D65" s="66"/>
      <c r="E65" s="393"/>
    </row>
    <row r="66" spans="2:5" s="353" customFormat="1" ht="20" customHeight="1" x14ac:dyDescent="0.2">
      <c r="B66" s="30" t="s">
        <v>157</v>
      </c>
      <c r="C66" s="65">
        <v>9000</v>
      </c>
      <c r="D66" s="66"/>
      <c r="E66" s="393"/>
    </row>
    <row r="68" spans="2:5" ht="30" customHeight="1" x14ac:dyDescent="0.2">
      <c r="B68" s="609" t="s">
        <v>4044</v>
      </c>
      <c r="C68" s="609"/>
      <c r="D68" s="609"/>
      <c r="E68" s="609"/>
    </row>
    <row r="69" spans="2:5" s="353" customFormat="1" ht="20" customHeight="1" x14ac:dyDescent="0.2">
      <c r="B69" s="601"/>
      <c r="C69" s="601"/>
      <c r="D69" s="601"/>
      <c r="E69" s="601"/>
    </row>
    <row r="70" spans="2:5" s="353" customFormat="1" ht="20" customHeight="1" x14ac:dyDescent="0.2">
      <c r="B70" s="357" t="s">
        <v>18</v>
      </c>
      <c r="C70" s="358" t="s">
        <v>19</v>
      </c>
      <c r="D70" s="358" t="s">
        <v>20</v>
      </c>
      <c r="E70" s="358" t="s">
        <v>21</v>
      </c>
    </row>
    <row r="71" spans="2:5" s="353" customFormat="1" ht="20" customHeight="1" x14ac:dyDescent="0.2">
      <c r="B71" s="412" t="s">
        <v>2639</v>
      </c>
      <c r="C71" s="65" t="str">
        <f>CONCATENATE(this_instance,"-w01-vc01.",sample_child_dns_zone)</f>
        <v>sfo-w01-vc01.sfo.rainpole.io</v>
      </c>
      <c r="D71" s="8" t="str">
        <f>cr_mgmt_protect_vc_fqdn</f>
        <v>Value Missing</v>
      </c>
      <c r="E71" s="393"/>
    </row>
    <row r="72" spans="2:5" s="353" customFormat="1" ht="20" customHeight="1" x14ac:dyDescent="0.2">
      <c r="B72" s="412" t="s">
        <v>646</v>
      </c>
      <c r="C72" s="65" t="str">
        <f>CONCATENATE(this_instance,"-w01-cl01")</f>
        <v>sfo-w01-cl01</v>
      </c>
      <c r="D72" s="66"/>
      <c r="E72" s="393"/>
    </row>
    <row r="73" spans="2:5" s="353" customFormat="1" ht="20" customHeight="1" x14ac:dyDescent="0.2">
      <c r="B73" s="412" t="s">
        <v>4043</v>
      </c>
      <c r="C73" s="65" t="str">
        <f>CONCATENATE(this_instance,"-w01-cl01-vds01-pg-vrms")</f>
        <v>sfo-w01-cl01-vds01-pg-vrms</v>
      </c>
      <c r="D73" s="8" t="str">
        <f>cr_wld_vrms_pg</f>
        <v>Value Missing</v>
      </c>
      <c r="E73" s="393"/>
    </row>
    <row r="74" spans="2:5" s="353" customFormat="1" ht="20" customHeight="1" x14ac:dyDescent="0.2">
      <c r="B74" s="412" t="s">
        <v>2804</v>
      </c>
      <c r="C74" s="65" t="str">
        <f>sample_wld_az1_host1_fqdn</f>
        <v>sfo01-w01-r01-esx01.sfo.rainpole.io</v>
      </c>
      <c r="D74" s="66"/>
      <c r="E74" s="393"/>
    </row>
    <row r="75" spans="2:5" s="353" customFormat="1" ht="20" customHeight="1" x14ac:dyDescent="0.2">
      <c r="B75" s="412" t="s">
        <v>2805</v>
      </c>
      <c r="C75" s="65" t="str">
        <f>CONCATENATE(prefix_wld_az1_cidr,"16.101")</f>
        <v>10.13.16.101</v>
      </c>
      <c r="D75" s="66"/>
      <c r="E75" s="393"/>
    </row>
    <row r="76" spans="2:5" s="353" customFormat="1" ht="20" customHeight="1" x14ac:dyDescent="0.2">
      <c r="B76" s="412" t="s">
        <v>2807</v>
      </c>
      <c r="C76" s="65" t="str">
        <f>sample_wld_az1_host2_fqdn</f>
        <v>sfo01-w01-r01-esx02.sfo.rainpole.io</v>
      </c>
      <c r="D76" s="66"/>
      <c r="E76" s="393"/>
    </row>
    <row r="77" spans="2:5" s="353" customFormat="1" ht="20" customHeight="1" x14ac:dyDescent="0.2">
      <c r="B77" s="412" t="s">
        <v>2808</v>
      </c>
      <c r="C77" s="65" t="str">
        <f>CONCATENATE(prefix_wld_az1_cidr,"16.102")</f>
        <v>10.13.16.102</v>
      </c>
      <c r="D77" s="66"/>
      <c r="E77" s="393"/>
    </row>
    <row r="78" spans="2:5" s="353" customFormat="1" ht="20" customHeight="1" x14ac:dyDescent="0.2">
      <c r="B78" s="412" t="s">
        <v>2810</v>
      </c>
      <c r="C78" s="65" t="str">
        <f>sample_wld_az1_host3_fqdn</f>
        <v>sfo01-w01-r01-esx03.sfo.rainpole.io</v>
      </c>
      <c r="D78" s="66"/>
      <c r="E78" s="393"/>
    </row>
    <row r="79" spans="2:5" s="353" customFormat="1" ht="20" customHeight="1" x14ac:dyDescent="0.2">
      <c r="B79" s="412" t="s">
        <v>2811</v>
      </c>
      <c r="C79" s="65" t="str">
        <f>CONCATENATE(prefix_wld_az1_cidr,"16.103")</f>
        <v>10.13.16.103</v>
      </c>
      <c r="D79" s="66"/>
      <c r="E79" s="393"/>
    </row>
    <row r="80" spans="2:5" s="353" customFormat="1" ht="20" customHeight="1" x14ac:dyDescent="0.2">
      <c r="B80" s="412" t="s">
        <v>2813</v>
      </c>
      <c r="C80" s="65" t="str">
        <f>sample_wld_az1_host4_fqdn</f>
        <v>sfo01-w01-r01-esx04.sfo.rainpole.io</v>
      </c>
      <c r="D80" s="66"/>
      <c r="E80" s="393"/>
    </row>
    <row r="81" spans="2:5" s="353" customFormat="1" ht="20" customHeight="1" x14ac:dyDescent="0.2">
      <c r="B81" s="412" t="s">
        <v>2814</v>
      </c>
      <c r="C81" s="65" t="str">
        <f>CONCATENATE(prefix_wld_az1_cidr,"16.104")</f>
        <v>10.13.16.104</v>
      </c>
      <c r="D81" s="66"/>
      <c r="E81" s="393"/>
    </row>
    <row r="83" spans="2:5" ht="30" customHeight="1" x14ac:dyDescent="0.2">
      <c r="B83" s="609" t="s">
        <v>4045</v>
      </c>
      <c r="C83" s="609"/>
      <c r="D83" s="609"/>
      <c r="E83" s="609"/>
    </row>
    <row r="84" spans="2:5" s="353" customFormat="1" ht="20" customHeight="1" x14ac:dyDescent="0.2">
      <c r="B84" s="601"/>
      <c r="C84" s="601"/>
      <c r="D84" s="601"/>
      <c r="E84" s="601"/>
    </row>
    <row r="85" spans="2:5" s="353" customFormat="1" ht="20" customHeight="1" x14ac:dyDescent="0.2">
      <c r="B85" s="357" t="s">
        <v>18</v>
      </c>
      <c r="C85" s="358" t="s">
        <v>19</v>
      </c>
      <c r="D85" s="358" t="s">
        <v>20</v>
      </c>
      <c r="E85" s="358" t="s">
        <v>21</v>
      </c>
    </row>
    <row r="86" spans="2:5" s="353" customFormat="1" ht="20" customHeight="1" x14ac:dyDescent="0.2">
      <c r="B86" s="412" t="s">
        <v>2639</v>
      </c>
      <c r="C86" s="65" t="str">
        <f>CONCATENATE(this_instance,"-w01-vc01.",sample_child_dns_zone)</f>
        <v>sfo-w01-vc01.sfo.rainpole.io</v>
      </c>
      <c r="D86" s="8" t="str">
        <f>cr_mgmt_protect_vc_fqdn</f>
        <v>Value Missing</v>
      </c>
      <c r="E86" s="393"/>
    </row>
    <row r="87" spans="2:5" s="353" customFormat="1" ht="20" customHeight="1" x14ac:dyDescent="0.2">
      <c r="B87" s="412" t="s">
        <v>2853</v>
      </c>
      <c r="C87" s="65" t="str">
        <f>CONCATENATE(this_instance,"-w01-dc")</f>
        <v>sfo-w01-dc</v>
      </c>
      <c r="D87" s="66"/>
      <c r="E87" s="393"/>
    </row>
    <row r="88" spans="2:5" s="353" customFormat="1" ht="20" customHeight="1" x14ac:dyDescent="0.2">
      <c r="B88" s="412" t="s">
        <v>2389</v>
      </c>
      <c r="C88" s="65" t="str">
        <f>CONCATENATE(this_instance,"-w01-fd-workload")</f>
        <v>sfo-w01-fd-workload</v>
      </c>
      <c r="D88" s="66"/>
      <c r="E88" s="393"/>
    </row>
    <row r="90" spans="2:5" ht="30" customHeight="1" x14ac:dyDescent="0.2">
      <c r="B90" s="609" t="s">
        <v>4046</v>
      </c>
      <c r="C90" s="609"/>
      <c r="D90" s="609"/>
      <c r="E90" s="609"/>
    </row>
    <row r="91" spans="2:5" s="353" customFormat="1" ht="20" customHeight="1" x14ac:dyDescent="0.2">
      <c r="B91" s="601"/>
      <c r="C91" s="601"/>
      <c r="D91" s="601"/>
      <c r="E91" s="601"/>
    </row>
    <row r="92" spans="2:5" s="353" customFormat="1" ht="20" customHeight="1" x14ac:dyDescent="0.2">
      <c r="B92" s="357" t="s">
        <v>18</v>
      </c>
      <c r="C92" s="358" t="s">
        <v>19</v>
      </c>
      <c r="D92" s="358" t="s">
        <v>20</v>
      </c>
      <c r="E92" s="358" t="s">
        <v>21</v>
      </c>
    </row>
    <row r="93" spans="2:5" s="353" customFormat="1" ht="20" customHeight="1" x14ac:dyDescent="0.2">
      <c r="B93" s="412" t="s">
        <v>2639</v>
      </c>
      <c r="C93" s="65" t="str">
        <f>CONCATENATE(this_instance,"-w01-vc01.",sample_child_dns_zone)</f>
        <v>sfo-w01-vc01.sfo.rainpole.io</v>
      </c>
      <c r="D93" s="8" t="str">
        <f>cr_mgmt_protect_vc_fqdn</f>
        <v>Value Missing</v>
      </c>
      <c r="E93" s="393"/>
    </row>
    <row r="94" spans="2:5" s="353" customFormat="1" ht="20" customHeight="1" x14ac:dyDescent="0.2">
      <c r="B94" s="412" t="s">
        <v>4047</v>
      </c>
      <c r="C94" s="65" t="str">
        <f>CONCATENATE(other_instance,"-w01-vc01.",other_instance,".",sample_parent_dns_zone)</f>
        <v>lax-w01-vc01.lax.rainpole.io</v>
      </c>
      <c r="D94" s="66"/>
      <c r="E94" s="393"/>
    </row>
    <row r="95" spans="2:5" s="353" customFormat="1" ht="20" customHeight="1" x14ac:dyDescent="0.2">
      <c r="B95" s="412" t="s">
        <v>79</v>
      </c>
      <c r="C95" s="65" t="str">
        <f>CONCATENATE("svc_",other_instance,"-w01-pnr01_",other_instance,"-w01-vc01@",other_instance,"-w01.local")</f>
        <v>svc_lax-w01-pnr01_lax-w01-vc01@lax-w01.local</v>
      </c>
      <c r="D95" s="66"/>
      <c r="E95" s="393"/>
    </row>
    <row r="96" spans="2:5" s="353" customFormat="1" ht="20" customHeight="1" x14ac:dyDescent="0.2">
      <c r="B96" s="412" t="s">
        <v>30</v>
      </c>
      <c r="C96" s="65" t="s">
        <v>31</v>
      </c>
      <c r="D96" s="66"/>
      <c r="E96" s="393"/>
    </row>
    <row r="97" spans="2:5" s="353" customFormat="1" ht="20" customHeight="1" x14ac:dyDescent="0.2">
      <c r="B97" s="412" t="s">
        <v>4048</v>
      </c>
      <c r="C97" s="65" t="str">
        <f>CONCATENATE(this_instance,"-w01-cl01","&lt;----&gt;",other_instance,"-w01-cl01")</f>
        <v>sfo-w01-cl01&lt;----&gt;lax-w01-cl01</v>
      </c>
      <c r="D97" s="66"/>
      <c r="E97" s="393"/>
    </row>
    <row r="99" spans="2:5" ht="30" customHeight="1" x14ac:dyDescent="0.2">
      <c r="B99" s="609" t="s">
        <v>4051</v>
      </c>
      <c r="C99" s="609"/>
      <c r="D99" s="609"/>
      <c r="E99" s="609"/>
    </row>
    <row r="100" spans="2:5" s="353" customFormat="1" ht="20" customHeight="1" x14ac:dyDescent="0.2">
      <c r="B100" s="601"/>
      <c r="C100" s="601"/>
      <c r="D100" s="601"/>
      <c r="E100" s="601"/>
    </row>
    <row r="101" spans="2:5" s="353" customFormat="1" ht="20" customHeight="1" x14ac:dyDescent="0.2">
      <c r="B101" s="357" t="s">
        <v>18</v>
      </c>
      <c r="C101" s="358" t="s">
        <v>19</v>
      </c>
      <c r="D101" s="358" t="s">
        <v>20</v>
      </c>
      <c r="E101" s="358" t="s">
        <v>21</v>
      </c>
    </row>
    <row r="102" spans="2:5" s="353" customFormat="1" ht="20" customHeight="1" x14ac:dyDescent="0.2">
      <c r="B102" s="412" t="s">
        <v>2639</v>
      </c>
      <c r="C102" s="65" t="str">
        <f>CONCATENATE(this_instance,"-w01-vc01.",sample_child_dns_zone)</f>
        <v>sfo-w01-vc01.sfo.rainpole.io</v>
      </c>
      <c r="D102" s="8" t="str">
        <f>cr_mgmt_protect_vc_fqdn</f>
        <v>Value Missing</v>
      </c>
      <c r="E102" s="393"/>
    </row>
    <row r="103" spans="2:5" s="353" customFormat="1" ht="20" customHeight="1" x14ac:dyDescent="0.2">
      <c r="B103" s="412" t="s">
        <v>1415</v>
      </c>
      <c r="C103" s="65" t="str">
        <f>CONCATENATE(this_instance,"-w01-vc01.",sample_child_dns_zone)</f>
        <v>sfo-w01-vc01.sfo.rainpole.io</v>
      </c>
      <c r="D103" s="66"/>
      <c r="E103" s="393"/>
    </row>
    <row r="104" spans="2:5" s="353" customFormat="1" ht="20" customHeight="1" x14ac:dyDescent="0.2">
      <c r="B104" s="412" t="s">
        <v>2670</v>
      </c>
      <c r="C104" s="65" t="s">
        <v>4087</v>
      </c>
      <c r="D104" s="66"/>
      <c r="E104" s="393"/>
    </row>
    <row r="105" spans="2:5" s="353" customFormat="1" ht="20" customHeight="1" x14ac:dyDescent="0.2">
      <c r="B105" s="412" t="s">
        <v>4052</v>
      </c>
      <c r="C105" s="65" t="s">
        <v>2968</v>
      </c>
      <c r="D105" s="66"/>
      <c r="E105" s="393"/>
    </row>
    <row r="107" spans="2:5" ht="30" customHeight="1" x14ac:dyDescent="0.2">
      <c r="B107" s="609" t="s">
        <v>4050</v>
      </c>
      <c r="C107" s="609"/>
      <c r="D107" s="609"/>
      <c r="E107" s="609"/>
    </row>
    <row r="108" spans="2:5" ht="20" customHeight="1" x14ac:dyDescent="0.2">
      <c r="B108" s="601"/>
      <c r="C108" s="601"/>
      <c r="D108" s="601"/>
      <c r="E108" s="601"/>
    </row>
    <row r="109" spans="2:5" ht="20" customHeight="1" x14ac:dyDescent="0.2">
      <c r="B109" s="357" t="s">
        <v>18</v>
      </c>
      <c r="C109" s="358" t="s">
        <v>19</v>
      </c>
      <c r="D109" s="358" t="s">
        <v>20</v>
      </c>
      <c r="E109" s="358" t="s">
        <v>21</v>
      </c>
    </row>
    <row r="110" spans="2:5" ht="20" customHeight="1" x14ac:dyDescent="0.2">
      <c r="B110" s="345" t="s">
        <v>3047</v>
      </c>
      <c r="C110" s="65" t="s">
        <v>3048</v>
      </c>
      <c r="D110" s="66"/>
      <c r="E110" s="413"/>
    </row>
    <row r="111" spans="2:5" ht="20" customHeight="1" x14ac:dyDescent="0.2">
      <c r="B111" s="412" t="s">
        <v>4049</v>
      </c>
      <c r="C111" s="65" t="s">
        <v>4088</v>
      </c>
      <c r="D111" s="66"/>
      <c r="E111" s="413"/>
    </row>
    <row r="112" spans="2:5" ht="20" customHeight="1" x14ac:dyDescent="0.2">
      <c r="B112" s="412" t="s">
        <v>189</v>
      </c>
      <c r="C112" s="65" t="s">
        <v>4087</v>
      </c>
      <c r="D112" s="66"/>
      <c r="E112" s="413"/>
    </row>
    <row r="114" spans="2:5" ht="30" customHeight="1" x14ac:dyDescent="0.2">
      <c r="B114" s="609" t="s">
        <v>4053</v>
      </c>
      <c r="C114" s="609"/>
      <c r="D114" s="609"/>
      <c r="E114" s="609"/>
    </row>
    <row r="115" spans="2:5" s="353" customFormat="1" ht="20" customHeight="1" x14ac:dyDescent="0.2">
      <c r="B115" s="601"/>
      <c r="C115" s="601"/>
      <c r="D115" s="601"/>
      <c r="E115" s="601"/>
    </row>
    <row r="116" spans="2:5" s="353" customFormat="1" ht="20" customHeight="1" x14ac:dyDescent="0.2">
      <c r="B116" s="357" t="s">
        <v>18</v>
      </c>
      <c r="C116" s="358" t="s">
        <v>19</v>
      </c>
      <c r="D116" s="358" t="s">
        <v>20</v>
      </c>
      <c r="E116" s="358" t="s">
        <v>21</v>
      </c>
    </row>
    <row r="117" spans="2:5" s="353" customFormat="1" ht="20" customHeight="1" x14ac:dyDescent="0.2">
      <c r="B117" s="345" t="s">
        <v>3047</v>
      </c>
      <c r="C117" s="65" t="s">
        <v>3048</v>
      </c>
      <c r="D117" s="8" t="str">
        <f>cr_console_cloud</f>
        <v>Value Missing</v>
      </c>
      <c r="E117" s="393"/>
    </row>
    <row r="118" spans="2:5" s="353" customFormat="1" ht="20" customHeight="1" x14ac:dyDescent="0.2">
      <c r="B118" s="412" t="s">
        <v>4054</v>
      </c>
      <c r="C118" s="65" t="s">
        <v>4089</v>
      </c>
      <c r="D118" s="8" t="s">
        <v>4089</v>
      </c>
      <c r="E118" s="393"/>
    </row>
    <row r="119" spans="2:5" s="353" customFormat="1" ht="20" customHeight="1" x14ac:dyDescent="0.2">
      <c r="B119" s="412" t="s">
        <v>4055</v>
      </c>
      <c r="C119" s="65"/>
      <c r="D119" s="66"/>
      <c r="E119" s="393"/>
    </row>
    <row r="120" spans="2:5" s="353" customFormat="1" ht="20" customHeight="1" x14ac:dyDescent="0.2">
      <c r="B120" s="412" t="s">
        <v>4056</v>
      </c>
      <c r="C120" s="65"/>
      <c r="D120" s="66"/>
      <c r="E120" s="393"/>
    </row>
    <row r="122" spans="2:5" ht="30" customHeight="1" x14ac:dyDescent="0.2">
      <c r="B122" s="609" t="s">
        <v>4057</v>
      </c>
      <c r="C122" s="609"/>
      <c r="D122" s="609"/>
      <c r="E122" s="609"/>
    </row>
    <row r="123" spans="2:5" s="353" customFormat="1" ht="20" customHeight="1" x14ac:dyDescent="0.2">
      <c r="B123" s="601"/>
      <c r="C123" s="601"/>
      <c r="D123" s="601"/>
      <c r="E123" s="601"/>
    </row>
    <row r="124" spans="2:5" s="353" customFormat="1" ht="20" customHeight="1" x14ac:dyDescent="0.2">
      <c r="B124" s="357" t="s">
        <v>18</v>
      </c>
      <c r="C124" s="358" t="s">
        <v>19</v>
      </c>
      <c r="D124" s="358" t="s">
        <v>20</v>
      </c>
      <c r="E124" s="358" t="s">
        <v>21</v>
      </c>
    </row>
    <row r="125" spans="2:5" s="353" customFormat="1" ht="20" customHeight="1" x14ac:dyDescent="0.2">
      <c r="B125" s="345" t="s">
        <v>3047</v>
      </c>
      <c r="C125" s="65" t="s">
        <v>3048</v>
      </c>
      <c r="D125" s="8" t="str">
        <f>cr_console_cloud</f>
        <v>Value Missing</v>
      </c>
      <c r="E125" s="393"/>
    </row>
    <row r="126" spans="2:5" s="353" customFormat="1" ht="20" customHeight="1" x14ac:dyDescent="0.2">
      <c r="B126" s="412" t="s">
        <v>4058</v>
      </c>
      <c r="C126" s="65" t="s">
        <v>4090</v>
      </c>
      <c r="D126" s="66"/>
      <c r="E126" s="393"/>
    </row>
    <row r="128" spans="2:5" ht="30" customHeight="1" x14ac:dyDescent="0.2">
      <c r="B128" s="609" t="s">
        <v>4059</v>
      </c>
      <c r="C128" s="609"/>
      <c r="D128" s="609"/>
      <c r="E128" s="609"/>
    </row>
    <row r="129" spans="2:5" s="353" customFormat="1" ht="20" customHeight="1" x14ac:dyDescent="0.2">
      <c r="B129" s="601"/>
      <c r="C129" s="601"/>
      <c r="D129" s="601"/>
      <c r="E129" s="601"/>
    </row>
    <row r="130" spans="2:5" s="353" customFormat="1" ht="20" customHeight="1" x14ac:dyDescent="0.2">
      <c r="B130" s="357" t="s">
        <v>18</v>
      </c>
      <c r="C130" s="358" t="s">
        <v>19</v>
      </c>
      <c r="D130" s="358" t="s">
        <v>20</v>
      </c>
      <c r="E130" s="358" t="s">
        <v>21</v>
      </c>
    </row>
    <row r="131" spans="2:5" s="353" customFormat="1" ht="20" customHeight="1" x14ac:dyDescent="0.2">
      <c r="B131" s="345" t="s">
        <v>3047</v>
      </c>
      <c r="C131" s="65" t="s">
        <v>3048</v>
      </c>
      <c r="D131" s="8" t="str">
        <f>cr_console_cloud</f>
        <v>Value Missing</v>
      </c>
      <c r="E131" s="393"/>
    </row>
    <row r="132" spans="2:5" s="353" customFormat="1" ht="20" customHeight="1" x14ac:dyDescent="0.2">
      <c r="B132" s="412" t="s">
        <v>4058</v>
      </c>
      <c r="C132" s="65" t="s">
        <v>4090</v>
      </c>
      <c r="D132" s="8" t="str">
        <f>cr_clean_room</f>
        <v>Value Missing</v>
      </c>
      <c r="E132" s="393"/>
    </row>
    <row r="133" spans="2:5" s="353" customFormat="1" ht="20" customHeight="1" x14ac:dyDescent="0.2">
      <c r="B133" s="412" t="s">
        <v>4060</v>
      </c>
      <c r="C133" s="65" t="s">
        <v>4091</v>
      </c>
      <c r="D133" s="66"/>
      <c r="E133" s="393"/>
    </row>
    <row r="134" spans="2:5" s="353" customFormat="1" ht="20" customHeight="1" x14ac:dyDescent="0.2">
      <c r="B134" s="412" t="s">
        <v>4061</v>
      </c>
      <c r="C134" s="65" t="str">
        <f>CONCATENATE(this_instance,"-w01-vc01.",this_instance,".",sample_parent_dns_zone)</f>
        <v>sfo-w01-vc01.sfo.rainpole.io</v>
      </c>
      <c r="D134" s="66"/>
      <c r="E134" s="393"/>
    </row>
    <row r="135" spans="2:5" s="353" customFormat="1" ht="20" customHeight="1" x14ac:dyDescent="0.2">
      <c r="B135" s="412" t="s">
        <v>4062</v>
      </c>
      <c r="C135" s="65" t="s">
        <v>4092</v>
      </c>
      <c r="D135" s="66"/>
      <c r="E135" s="393"/>
    </row>
    <row r="136" spans="2:5" s="353" customFormat="1" ht="20" customHeight="1" x14ac:dyDescent="0.2">
      <c r="B136" s="345" t="s">
        <v>2472</v>
      </c>
      <c r="C136" s="65" t="str">
        <f>CONCATENATE(this_instance,"-w01-cl01")</f>
        <v>sfo-w01-cl01</v>
      </c>
      <c r="D136" s="66"/>
      <c r="E136" s="393"/>
    </row>
    <row r="137" spans="2:5" s="353" customFormat="1" ht="20" customHeight="1" x14ac:dyDescent="0.2">
      <c r="B137" s="412" t="s">
        <v>102</v>
      </c>
      <c r="C137" s="65" t="str">
        <f>CONCATENATE(this_instance,"-w01-ds-vsan01")</f>
        <v>sfo-w01-ds-vsan01</v>
      </c>
      <c r="D137" s="66"/>
      <c r="E137" s="393"/>
    </row>
    <row r="138" spans="2:5" s="353" customFormat="1" ht="20" customHeight="1" x14ac:dyDescent="0.2">
      <c r="B138" s="412" t="s">
        <v>1501</v>
      </c>
      <c r="C138" s="65" t="str">
        <f>CONCATENATE(this_instance,"-w01-vds-pg-vm-mgmt")</f>
        <v>sfo-w01-vds-pg-vm-mgmt</v>
      </c>
      <c r="D138" s="66"/>
      <c r="E138" s="393"/>
    </row>
    <row r="139" spans="2:5" s="353" customFormat="1" ht="20" customHeight="1" x14ac:dyDescent="0.2">
      <c r="B139" s="345" t="s">
        <v>3070</v>
      </c>
      <c r="C139" s="65" t="s">
        <v>422</v>
      </c>
      <c r="D139" s="66"/>
      <c r="E139" s="393"/>
    </row>
    <row r="140" spans="2:5" s="353" customFormat="1" ht="20" customHeight="1" x14ac:dyDescent="0.2">
      <c r="B140" s="345" t="s">
        <v>655</v>
      </c>
      <c r="C140" s="65" t="s">
        <v>4106</v>
      </c>
      <c r="D140" s="66"/>
      <c r="E140" s="393"/>
    </row>
    <row r="141" spans="2:5" s="353" customFormat="1" ht="20" customHeight="1" x14ac:dyDescent="0.2">
      <c r="B141" s="345" t="s">
        <v>3071</v>
      </c>
      <c r="C141" s="65" t="s">
        <v>4037</v>
      </c>
      <c r="D141" s="66"/>
      <c r="E141" s="393"/>
    </row>
    <row r="142" spans="2:5" s="353" customFormat="1" ht="20" customHeight="1" x14ac:dyDescent="0.2">
      <c r="B142" s="345" t="s">
        <v>276</v>
      </c>
      <c r="C142" s="65" t="str">
        <f>CONCATENATE(prefix_mgmt_az1_cidr,"10.140")</f>
        <v>10.11.10.140</v>
      </c>
      <c r="D142" s="66"/>
      <c r="E142" s="393"/>
    </row>
    <row r="143" spans="2:5" s="353" customFormat="1" ht="20" customHeight="1" x14ac:dyDescent="0.2">
      <c r="B143" s="345" t="s">
        <v>3072</v>
      </c>
      <c r="C143" s="65" t="s">
        <v>126</v>
      </c>
      <c r="D143" s="66"/>
      <c r="E143" s="393"/>
    </row>
    <row r="144" spans="2:5" s="353" customFormat="1" ht="20" customHeight="1" x14ac:dyDescent="0.2">
      <c r="B144" s="345" t="s">
        <v>182</v>
      </c>
      <c r="C144" s="65" t="str">
        <f>CONCATENATE(prefix_mgmt_az1_cidr,"10.1")</f>
        <v>10.11.10.1</v>
      </c>
      <c r="D144" s="66"/>
      <c r="E144" s="393"/>
    </row>
    <row r="145" spans="2:5" s="353" customFormat="1" ht="20" customHeight="1" x14ac:dyDescent="0.2">
      <c r="B145" s="345" t="s">
        <v>565</v>
      </c>
      <c r="C145" s="65" t="str">
        <f>CONCATENATE(prefix_mgmt_az1_cidr,"10.4",",",prefix_mgmt_az1_cidr,"10.5")</f>
        <v>10.11.10.4,10.11.10.5</v>
      </c>
      <c r="D145" s="66"/>
      <c r="E145" s="393"/>
    </row>
    <row r="146" spans="2:5" s="353" customFormat="1" ht="20" customHeight="1" x14ac:dyDescent="0.2">
      <c r="B146" s="345" t="s">
        <v>1909</v>
      </c>
      <c r="C146" s="65" t="s">
        <v>4093</v>
      </c>
      <c r="D146" s="66"/>
      <c r="E146" s="393"/>
    </row>
    <row r="147" spans="2:5" s="353" customFormat="1" ht="20" customHeight="1" x14ac:dyDescent="0.2">
      <c r="B147" s="345" t="s">
        <v>1912</v>
      </c>
      <c r="C147" s="65" t="s">
        <v>4095</v>
      </c>
      <c r="D147" s="66"/>
      <c r="E147" s="393"/>
    </row>
    <row r="148" spans="2:5" s="353" customFormat="1" ht="20" customHeight="1" x14ac:dyDescent="0.2">
      <c r="B148" s="345" t="s">
        <v>1916</v>
      </c>
      <c r="C148" s="65" t="s">
        <v>4094</v>
      </c>
      <c r="D148" s="66"/>
      <c r="E148" s="393"/>
    </row>
    <row r="150" spans="2:5" ht="30" customHeight="1" x14ac:dyDescent="0.2">
      <c r="B150" s="609" t="s">
        <v>4063</v>
      </c>
      <c r="C150" s="609"/>
      <c r="D150" s="609"/>
      <c r="E150" s="609"/>
    </row>
    <row r="151" spans="2:5" s="353" customFormat="1" ht="20" customHeight="1" x14ac:dyDescent="0.2">
      <c r="B151" s="601"/>
      <c r="C151" s="601"/>
      <c r="D151" s="601"/>
      <c r="E151" s="601"/>
    </row>
    <row r="152" spans="2:5" s="353" customFormat="1" ht="20" customHeight="1" x14ac:dyDescent="0.2">
      <c r="B152" s="357" t="s">
        <v>18</v>
      </c>
      <c r="C152" s="358" t="s">
        <v>19</v>
      </c>
      <c r="D152" s="358" t="s">
        <v>20</v>
      </c>
      <c r="E152" s="358" t="s">
        <v>21</v>
      </c>
    </row>
    <row r="153" spans="2:5" s="353" customFormat="1" ht="20" customHeight="1" x14ac:dyDescent="0.2">
      <c r="B153" s="345" t="s">
        <v>3047</v>
      </c>
      <c r="C153" s="65" t="s">
        <v>3048</v>
      </c>
      <c r="D153" s="8" t="str">
        <f>cr_console_cloud</f>
        <v>Value Missing</v>
      </c>
      <c r="E153" s="393"/>
    </row>
    <row r="154" spans="2:5" s="353" customFormat="1" ht="20" customHeight="1" x14ac:dyDescent="0.2">
      <c r="B154" s="412" t="s">
        <v>4058</v>
      </c>
      <c r="C154" s="65" t="s">
        <v>4090</v>
      </c>
      <c r="D154" s="8" t="str">
        <f>cr_clean_room</f>
        <v>Value Missing</v>
      </c>
      <c r="E154" s="393"/>
    </row>
    <row r="155" spans="2:5" s="353" customFormat="1" ht="20" customHeight="1" x14ac:dyDescent="0.2">
      <c r="B155" s="412" t="s">
        <v>3085</v>
      </c>
      <c r="C155" s="65" t="str">
        <f>CONCATENATE(prefix_mgmt_az1_cidr,"10.130")</f>
        <v>10.11.10.130</v>
      </c>
      <c r="D155" s="66"/>
      <c r="E155" s="393"/>
    </row>
    <row r="156" spans="2:5" s="353" customFormat="1" ht="20" customHeight="1" x14ac:dyDescent="0.2">
      <c r="B156" s="412" t="s">
        <v>4064</v>
      </c>
      <c r="C156" s="105" t="s">
        <v>4107</v>
      </c>
      <c r="D156" s="66"/>
      <c r="E156" s="393"/>
    </row>
    <row r="157" spans="2:5" s="353" customFormat="1" ht="20" customHeight="1" x14ac:dyDescent="0.2">
      <c r="B157" s="412" t="s">
        <v>30</v>
      </c>
      <c r="C157" s="65" t="s">
        <v>31</v>
      </c>
      <c r="D157" s="66"/>
      <c r="E157" s="393"/>
    </row>
    <row r="159" spans="2:5" ht="30" customHeight="1" x14ac:dyDescent="0.2">
      <c r="B159" s="609" t="s">
        <v>4065</v>
      </c>
      <c r="C159" s="609"/>
      <c r="D159" s="609"/>
      <c r="E159" s="609"/>
    </row>
    <row r="160" spans="2:5" s="353" customFormat="1" ht="20" customHeight="1" x14ac:dyDescent="0.2">
      <c r="B160" s="601"/>
      <c r="C160" s="601"/>
      <c r="D160" s="601"/>
      <c r="E160" s="601"/>
    </row>
    <row r="161" spans="2:5" s="353" customFormat="1" ht="20" customHeight="1" x14ac:dyDescent="0.2">
      <c r="B161" s="357" t="s">
        <v>18</v>
      </c>
      <c r="C161" s="358" t="s">
        <v>19</v>
      </c>
      <c r="D161" s="358" t="s">
        <v>20</v>
      </c>
      <c r="E161" s="358" t="s">
        <v>21</v>
      </c>
    </row>
    <row r="162" spans="2:5" s="353" customFormat="1" ht="20" customHeight="1" x14ac:dyDescent="0.2">
      <c r="B162" s="345" t="s">
        <v>3047</v>
      </c>
      <c r="C162" s="65" t="s">
        <v>3048</v>
      </c>
      <c r="D162" s="8" t="str">
        <f>cr_console_cloud</f>
        <v>Value Missing</v>
      </c>
      <c r="E162" s="393"/>
    </row>
    <row r="163" spans="2:5" s="353" customFormat="1" ht="20" customHeight="1" x14ac:dyDescent="0.2">
      <c r="B163" s="412" t="s">
        <v>4058</v>
      </c>
      <c r="C163" s="65" t="s">
        <v>4090</v>
      </c>
      <c r="D163" s="8" t="str">
        <f>cr_clean_room</f>
        <v>Value Missing</v>
      </c>
      <c r="E163" s="393"/>
    </row>
    <row r="164" spans="2:5" s="353" customFormat="1" ht="20" customHeight="1" x14ac:dyDescent="0.2">
      <c r="B164" s="412" t="s">
        <v>4066</v>
      </c>
      <c r="C164" s="65" t="s">
        <v>4096</v>
      </c>
      <c r="D164" s="66"/>
      <c r="E164" s="393"/>
    </row>
    <row r="166" spans="2:5" ht="30" customHeight="1" x14ac:dyDescent="0.2">
      <c r="B166" s="609" t="s">
        <v>4067</v>
      </c>
      <c r="C166" s="609"/>
      <c r="D166" s="609"/>
      <c r="E166" s="609"/>
    </row>
    <row r="167" spans="2:5" s="353" customFormat="1" ht="20" customHeight="1" x14ac:dyDescent="0.2">
      <c r="B167" s="601"/>
      <c r="C167" s="601"/>
      <c r="D167" s="601"/>
      <c r="E167" s="601"/>
    </row>
    <row r="168" spans="2:5" s="353" customFormat="1" ht="20" customHeight="1" x14ac:dyDescent="0.2">
      <c r="B168" s="357" t="s">
        <v>18</v>
      </c>
      <c r="C168" s="358" t="s">
        <v>19</v>
      </c>
      <c r="D168" s="358" t="s">
        <v>20</v>
      </c>
      <c r="E168" s="358" t="s">
        <v>21</v>
      </c>
    </row>
    <row r="169" spans="2:5" s="353" customFormat="1" ht="20" customHeight="1" x14ac:dyDescent="0.2">
      <c r="B169" s="345" t="s">
        <v>3047</v>
      </c>
      <c r="C169" s="65" t="s">
        <v>3048</v>
      </c>
      <c r="D169" s="8" t="str">
        <f>cr_console_cloud</f>
        <v>Value Missing</v>
      </c>
      <c r="E169" s="393"/>
    </row>
    <row r="170" spans="2:5" s="353" customFormat="1" ht="20" customHeight="1" x14ac:dyDescent="0.2">
      <c r="B170" s="412" t="s">
        <v>4058</v>
      </c>
      <c r="C170" s="65" t="s">
        <v>4090</v>
      </c>
      <c r="D170" s="8" t="str">
        <f>cr_clean_room</f>
        <v>Value Missing</v>
      </c>
      <c r="E170" s="393"/>
    </row>
    <row r="171" spans="2:5" s="353" customFormat="1" ht="20" customHeight="1" x14ac:dyDescent="0.2">
      <c r="B171" s="412" t="s">
        <v>4068</v>
      </c>
      <c r="C171" s="65" t="s">
        <v>4097</v>
      </c>
      <c r="D171" s="8" t="s">
        <v>4097</v>
      </c>
      <c r="E171" s="393"/>
    </row>
    <row r="172" spans="2:5" s="353" customFormat="1" ht="20" customHeight="1" x14ac:dyDescent="0.2">
      <c r="B172" s="412" t="s">
        <v>4069</v>
      </c>
      <c r="C172" s="65" t="str">
        <f>CONCATENATE(this_instance,"-w01-ds-seg01-rwr-ire")</f>
        <v>sfo-w01-ds-seg01-rwr-ire</v>
      </c>
      <c r="D172" s="66"/>
      <c r="E172" s="393"/>
    </row>
    <row r="173" spans="2:5" s="353" customFormat="1" ht="20" customHeight="1" x14ac:dyDescent="0.2">
      <c r="B173" s="412" t="s">
        <v>4070</v>
      </c>
      <c r="C173" s="65" t="s">
        <v>105</v>
      </c>
      <c r="D173" s="8" t="s">
        <v>105</v>
      </c>
      <c r="E173" s="393"/>
    </row>
    <row r="174" spans="2:5" s="353" customFormat="1" ht="20" customHeight="1" x14ac:dyDescent="0.2">
      <c r="B174" s="412" t="s">
        <v>4071</v>
      </c>
      <c r="C174" s="65" t="str">
        <f>CONCATENATE(this_instance,"-w01-dc")</f>
        <v>sfo-w01-dc</v>
      </c>
      <c r="D174" s="66"/>
      <c r="E174" s="393"/>
    </row>
    <row r="175" spans="2:5" s="353" customFormat="1" ht="20" customHeight="1" x14ac:dyDescent="0.2">
      <c r="B175" s="412" t="s">
        <v>4072</v>
      </c>
      <c r="C175" s="65" t="str">
        <f>CONCATENATE(this_instance,"-w01-cl01")</f>
        <v>sfo-w01-cl01</v>
      </c>
      <c r="D175" s="66"/>
      <c r="E175" s="393"/>
    </row>
    <row r="176" spans="2:5" s="353" customFormat="1" ht="20" customHeight="1" x14ac:dyDescent="0.2">
      <c r="B176" s="412" t="s">
        <v>102</v>
      </c>
      <c r="C176" s="65" t="str">
        <f>CONCATENATE(this_instance,"-w01-cl01-vsan01")</f>
        <v>sfo-w01-cl01-vsan01</v>
      </c>
      <c r="D176" s="66"/>
      <c r="E176" s="393"/>
    </row>
    <row r="177" spans="2:5" s="353" customFormat="1" ht="20" customHeight="1" x14ac:dyDescent="0.2">
      <c r="B177" s="412" t="s">
        <v>4073</v>
      </c>
      <c r="C177" s="65" t="str">
        <f>CONCATENATE(this_instance,"-w01-cl01-vsan01")</f>
        <v>sfo-w01-cl01-vsan01</v>
      </c>
      <c r="D177" s="66"/>
      <c r="E177" s="393"/>
    </row>
    <row r="179" spans="2:5" ht="30" customHeight="1" x14ac:dyDescent="0.2">
      <c r="B179" s="609" t="s">
        <v>4081</v>
      </c>
      <c r="C179" s="609"/>
      <c r="D179" s="609"/>
      <c r="E179" s="609"/>
    </row>
    <row r="180" spans="2:5" s="353" customFormat="1" ht="20" customHeight="1" x14ac:dyDescent="0.2">
      <c r="B180" s="601"/>
      <c r="C180" s="601"/>
      <c r="D180" s="601"/>
      <c r="E180" s="601"/>
    </row>
    <row r="181" spans="2:5" s="353" customFormat="1" ht="20" customHeight="1" x14ac:dyDescent="0.2">
      <c r="B181" s="357" t="s">
        <v>18</v>
      </c>
      <c r="C181" s="358" t="s">
        <v>19</v>
      </c>
      <c r="D181" s="358" t="s">
        <v>20</v>
      </c>
      <c r="E181" s="358" t="s">
        <v>21</v>
      </c>
    </row>
    <row r="182" spans="2:5" s="353" customFormat="1" ht="20" customHeight="1" x14ac:dyDescent="0.2">
      <c r="B182" s="412" t="s">
        <v>2639</v>
      </c>
      <c r="C182" s="65" t="str">
        <f>CONCATENATE(this_instance,"-w01-vc01.",sample_child_dns_zone)</f>
        <v>sfo-w01-vc01.sfo.rainpole.io</v>
      </c>
      <c r="D182" s="8" t="str">
        <f>cr_mgmt_protect_vc_fqdn</f>
        <v>Value Missing</v>
      </c>
      <c r="E182" s="393"/>
    </row>
    <row r="183" spans="2:5" s="353" customFormat="1" ht="20" customHeight="1" x14ac:dyDescent="0.2">
      <c r="B183" s="412" t="s">
        <v>2674</v>
      </c>
      <c r="C183" s="65" t="str">
        <f>CONCATENATE(this_instance,"-w01-vc01.",sample_child_dns_zone," &lt;----&gt; ",other_instance,"-w01-vc01.",other_instance,".",sample_parent_dns_zone)</f>
        <v>sfo-w01-vc01.sfo.rainpole.io &lt;----&gt; lax-w01-vc01.lax.rainpole.io</v>
      </c>
      <c r="D183" s="66"/>
      <c r="E183" s="393"/>
    </row>
    <row r="184" spans="2:5" s="353" customFormat="1" ht="20" customHeight="1" x14ac:dyDescent="0.2">
      <c r="B184" s="412" t="s">
        <v>2859</v>
      </c>
      <c r="C184" s="65" t="str">
        <f>CONCATENATE(this_instance,"-w01-vds01"," &lt;----&gt; ",other_instance,"-w01-vds01")</f>
        <v>sfo-w01-vds01 &lt;----&gt; lax-w01-vds01</v>
      </c>
      <c r="D184" s="66"/>
      <c r="E184" s="393"/>
    </row>
    <row r="185" spans="2:5" s="353" customFormat="1" ht="20" customHeight="1" x14ac:dyDescent="0.2">
      <c r="B185" s="412" t="s">
        <v>2860</v>
      </c>
      <c r="C185" s="65" t="str">
        <f>CONCATENATE(other_instance,"-w01-vds01"," &lt;----&gt; ",this_instance,"-w01-vds01")</f>
        <v>lax-w01-vds01 &lt;----&gt; sfo-w01-vds01</v>
      </c>
      <c r="D185" s="66"/>
      <c r="E185" s="393"/>
    </row>
    <row r="186" spans="2:5" s="353" customFormat="1" ht="20" customHeight="1" x14ac:dyDescent="0.2">
      <c r="B186" s="412" t="s">
        <v>4074</v>
      </c>
      <c r="C186" s="65" t="s">
        <v>4098</v>
      </c>
      <c r="D186" s="66"/>
      <c r="E186" s="393"/>
    </row>
    <row r="187" spans="2:5" s="353" customFormat="1" ht="20" customHeight="1" x14ac:dyDescent="0.2">
      <c r="B187" s="412" t="s">
        <v>4075</v>
      </c>
      <c r="C187" s="65" t="str">
        <f>CONCATENATE(other_instance,"-w01-vds01"," &lt;----&gt; ",other_instance,"-w01-ds-seg01-rwr-ire")</f>
        <v>lax-w01-vds01 &lt;----&gt; lax-w01-ds-seg01-rwr-ire</v>
      </c>
      <c r="D187" s="66"/>
      <c r="E187" s="393"/>
    </row>
    <row r="188" spans="2:5" s="353" customFormat="1" ht="20" customHeight="1" x14ac:dyDescent="0.2">
      <c r="B188" s="412" t="s">
        <v>2862</v>
      </c>
      <c r="C188" s="65" t="str">
        <f>CONCATENATE(this_instance,"-w01-DC"," &lt;----&gt; ",this_instance,"-w01-fd-workload")</f>
        <v>sfo-w01-DC &lt;----&gt; sfo-w01-fd-workload</v>
      </c>
      <c r="D188" s="66"/>
      <c r="E188" s="393"/>
    </row>
    <row r="189" spans="2:5" s="353" customFormat="1" ht="20" customHeight="1" x14ac:dyDescent="0.2">
      <c r="B189" s="412" t="s">
        <v>2863</v>
      </c>
      <c r="C189" s="65" t="str">
        <f>CONCATENATE(other_instance,"-w01-DC"," &lt;----&gt; ",other_instance,"-w01-fd-workload")</f>
        <v>lax-w01-DC &lt;----&gt; lax-w01-fd-workload</v>
      </c>
      <c r="D189" s="66"/>
      <c r="E189" s="393"/>
    </row>
    <row r="190" spans="2:5" s="353" customFormat="1" ht="20" customHeight="1" x14ac:dyDescent="0.2">
      <c r="B190" s="412" t="s">
        <v>2864</v>
      </c>
      <c r="C190" s="65" t="str">
        <f>CONCATENATE(this_instance,"-w01-DC"," &lt;----&gt; ",this_instance,"-w01-cl01")</f>
        <v>sfo-w01-DC &lt;----&gt; sfo-w01-cl01</v>
      </c>
      <c r="D190" s="66"/>
      <c r="E190" s="393"/>
    </row>
    <row r="191" spans="2:5" s="353" customFormat="1" ht="20" customHeight="1" x14ac:dyDescent="0.2">
      <c r="B191" s="412" t="s">
        <v>2865</v>
      </c>
      <c r="C191" s="65" t="str">
        <f>CONCATENATE(other_instance,"-w01-DC"," &lt;----&gt; ",other_instance,"-w01-cl01")</f>
        <v>lax-w01-DC &lt;----&gt; lax-w01-cl01</v>
      </c>
      <c r="D191" s="66"/>
      <c r="E191" s="393"/>
    </row>
    <row r="193" spans="2:5" ht="30" customHeight="1" x14ac:dyDescent="0.2">
      <c r="B193" s="609" t="s">
        <v>4076</v>
      </c>
      <c r="C193" s="609"/>
      <c r="D193" s="609"/>
      <c r="E193" s="609"/>
    </row>
    <row r="194" spans="2:5" s="353" customFormat="1" ht="20" customHeight="1" x14ac:dyDescent="0.2">
      <c r="B194" s="601"/>
      <c r="C194" s="601"/>
      <c r="D194" s="601"/>
      <c r="E194" s="601"/>
    </row>
    <row r="195" spans="2:5" s="353" customFormat="1" ht="20" customHeight="1" x14ac:dyDescent="0.2">
      <c r="B195" s="357" t="s">
        <v>18</v>
      </c>
      <c r="C195" s="358" t="s">
        <v>19</v>
      </c>
      <c r="D195" s="358" t="s">
        <v>20</v>
      </c>
      <c r="E195" s="358" t="s">
        <v>21</v>
      </c>
    </row>
    <row r="196" spans="2:5" s="353" customFormat="1" ht="20" customHeight="1" x14ac:dyDescent="0.2">
      <c r="B196" s="412" t="s">
        <v>2639</v>
      </c>
      <c r="C196" s="65" t="str">
        <f>CONCATENATE(this_instance,"-w01-vc01.",sample_child_dns_zone)</f>
        <v>sfo-w01-vc01.sfo.rainpole.io</v>
      </c>
      <c r="D196" s="8" t="str">
        <f>cr_mgmt_protect_vc_fqdn</f>
        <v>Value Missing</v>
      </c>
      <c r="E196" s="393"/>
    </row>
    <row r="197" spans="2:5" s="353" customFormat="1" ht="20" customHeight="1" x14ac:dyDescent="0.2">
      <c r="B197" s="412" t="s">
        <v>646</v>
      </c>
      <c r="C197" s="65" t="str">
        <f>CONCATENATE(this_instance,"-w01-cl01")</f>
        <v>sfo-w01-cl01</v>
      </c>
      <c r="D197" s="66"/>
      <c r="E197" s="393"/>
    </row>
    <row r="198" spans="2:5" s="353" customFormat="1" ht="20" customHeight="1" x14ac:dyDescent="0.2">
      <c r="B198" s="412" t="s">
        <v>4077</v>
      </c>
      <c r="C198" s="65" t="s">
        <v>4099</v>
      </c>
      <c r="D198" s="66"/>
      <c r="E198" s="393"/>
    </row>
    <row r="199" spans="2:5" s="353" customFormat="1" ht="20" customHeight="1" x14ac:dyDescent="0.2">
      <c r="B199" s="412" t="s">
        <v>4078</v>
      </c>
      <c r="C199" s="65" t="s">
        <v>4100</v>
      </c>
      <c r="D199" s="66"/>
      <c r="E199" s="393"/>
    </row>
    <row r="200" spans="2:5" s="353" customFormat="1" ht="20" customHeight="1" x14ac:dyDescent="0.2">
      <c r="B200" s="412" t="s">
        <v>4079</v>
      </c>
      <c r="C200" s="65" t="str">
        <f>CONCATENATE(other_instance,"-w01")</f>
        <v>lax-w01</v>
      </c>
      <c r="D200" s="66"/>
      <c r="E200" s="393"/>
    </row>
    <row r="201" spans="2:5" s="353" customFormat="1" ht="20" customHeight="1" x14ac:dyDescent="0.2">
      <c r="B201" s="412" t="s">
        <v>4080</v>
      </c>
      <c r="C201" s="65" t="str">
        <f>CONCATENATE(other_instance,"-w01-cl01")</f>
        <v>lax-w01-cl01</v>
      </c>
      <c r="D201" s="66"/>
      <c r="E201" s="393"/>
    </row>
    <row r="202" spans="2:5" x14ac:dyDescent="0.2">
      <c r="B202" s="414"/>
    </row>
    <row r="203" spans="2:5" ht="30" customHeight="1" x14ac:dyDescent="0.2">
      <c r="B203" s="609" t="s">
        <v>4082</v>
      </c>
      <c r="C203" s="609"/>
      <c r="D203" s="609"/>
      <c r="E203" s="609"/>
    </row>
    <row r="204" spans="2:5" s="353" customFormat="1" ht="20" customHeight="1" x14ac:dyDescent="0.2">
      <c r="B204" s="601"/>
      <c r="C204" s="601"/>
      <c r="D204" s="601"/>
      <c r="E204" s="601"/>
    </row>
    <row r="205" spans="2:5" s="353" customFormat="1" ht="20" customHeight="1" x14ac:dyDescent="0.2">
      <c r="B205" s="357" t="s">
        <v>18</v>
      </c>
      <c r="C205" s="358" t="s">
        <v>19</v>
      </c>
      <c r="D205" s="358" t="s">
        <v>20</v>
      </c>
      <c r="E205" s="358" t="s">
        <v>21</v>
      </c>
    </row>
    <row r="206" spans="2:5" s="353" customFormat="1" ht="20" customHeight="1" x14ac:dyDescent="0.2">
      <c r="B206" s="412" t="s">
        <v>2639</v>
      </c>
      <c r="C206" s="65" t="str">
        <f>CONCATENATE(this_instance,"-w01-vc01.",sample_child_dns_zone)</f>
        <v>sfo-w01-vc01.sfo.rainpole.io</v>
      </c>
      <c r="D206" s="8" t="str">
        <f>cr_mgmt_protect_vc_fqdn</f>
        <v>Value Missing</v>
      </c>
      <c r="E206" s="393"/>
    </row>
    <row r="207" spans="2:5" s="353" customFormat="1" ht="20" customHeight="1" x14ac:dyDescent="0.2">
      <c r="B207" s="412" t="s">
        <v>254</v>
      </c>
      <c r="C207" s="65" t="s">
        <v>4101</v>
      </c>
      <c r="D207" s="66"/>
      <c r="E207" s="393"/>
    </row>
    <row r="208" spans="2:5" s="353" customFormat="1" ht="20" customHeight="1" x14ac:dyDescent="0.2">
      <c r="B208" s="412" t="s">
        <v>4083</v>
      </c>
      <c r="C208" s="65" t="str">
        <f>CONCATENATE(this_instance,"-w01","&lt;----&gt;",other_instance,"-w01")</f>
        <v>sfo-w01&lt;----&gt;lax-w01</v>
      </c>
      <c r="D208" s="66"/>
      <c r="E208" s="393"/>
    </row>
    <row r="209" spans="2:5" s="353" customFormat="1" ht="20" customHeight="1" x14ac:dyDescent="0.2">
      <c r="B209" s="412" t="s">
        <v>4084</v>
      </c>
      <c r="C209" s="65" t="s">
        <v>4099</v>
      </c>
      <c r="D209" s="66"/>
      <c r="E209" s="393"/>
    </row>
    <row r="210" spans="2:5" x14ac:dyDescent="0.2">
      <c r="D210" s="2"/>
    </row>
    <row r="211" spans="2:5" ht="30" customHeight="1" x14ac:dyDescent="0.2">
      <c r="B211" s="609" t="s">
        <v>4085</v>
      </c>
      <c r="C211" s="609"/>
      <c r="D211" s="609"/>
      <c r="E211" s="609"/>
    </row>
    <row r="212" spans="2:5" s="353" customFormat="1" ht="20" customHeight="1" x14ac:dyDescent="0.2">
      <c r="B212" s="601"/>
      <c r="C212" s="601"/>
      <c r="D212" s="601"/>
      <c r="E212" s="601"/>
    </row>
    <row r="213" spans="2:5" s="353" customFormat="1" ht="20" customHeight="1" x14ac:dyDescent="0.2">
      <c r="B213" s="357" t="s">
        <v>18</v>
      </c>
      <c r="C213" s="358" t="s">
        <v>19</v>
      </c>
      <c r="D213" s="358" t="s">
        <v>20</v>
      </c>
      <c r="E213" s="358" t="s">
        <v>21</v>
      </c>
    </row>
    <row r="214" spans="2:5" s="353" customFormat="1" ht="20" customHeight="1" x14ac:dyDescent="0.2">
      <c r="B214" s="412" t="s">
        <v>2874</v>
      </c>
      <c r="C214" s="65" t="str">
        <f>CONCATENATE(this_instance,"-w01-vc01.",sample_child_dns_zone)</f>
        <v>sfo-w01-vc01.sfo.rainpole.io</v>
      </c>
      <c r="D214" s="8" t="str">
        <f>cr_mgmt_protect_vc_fqdn</f>
        <v>Value Missing</v>
      </c>
      <c r="E214" s="393"/>
    </row>
    <row r="215" spans="2:5" s="353" customFormat="1" ht="20" customHeight="1" x14ac:dyDescent="0.2">
      <c r="B215" s="412" t="s">
        <v>4086</v>
      </c>
      <c r="C215" s="65" t="s">
        <v>4101</v>
      </c>
      <c r="D215" s="8"/>
      <c r="E215" s="393"/>
    </row>
    <row r="216" spans="2:5" x14ac:dyDescent="0.2">
      <c r="B216" s="414"/>
    </row>
  </sheetData>
  <sheetProtection algorithmName="SHA-512" hashValue="tL2ZK6fclFM7WOiAl/XBGSFYkiV5994PUaP0gnnRdqwGXvLZA2KUxlC8Urb+69l5IJ5Sx6dV1APP5P5AKmtu+g==" saltValue="2EdrzZ5NRAArZCRM3vme5w==" spinCount="100000" sheet="1" objects="1" scenarios="1"/>
  <mergeCells count="43">
    <mergeCell ref="B212:E212"/>
    <mergeCell ref="B211:E211"/>
    <mergeCell ref="B151:E151"/>
    <mergeCell ref="B159:E159"/>
    <mergeCell ref="B160:E160"/>
    <mergeCell ref="B166:E166"/>
    <mergeCell ref="B167:E167"/>
    <mergeCell ref="B179:E179"/>
    <mergeCell ref="B180:E180"/>
    <mergeCell ref="B193:E193"/>
    <mergeCell ref="B194:E194"/>
    <mergeCell ref="B203:E203"/>
    <mergeCell ref="B204:E204"/>
    <mergeCell ref="B150:E150"/>
    <mergeCell ref="B91:E91"/>
    <mergeCell ref="B99:E99"/>
    <mergeCell ref="B100:E100"/>
    <mergeCell ref="B107:E107"/>
    <mergeCell ref="B108:E108"/>
    <mergeCell ref="B114:E114"/>
    <mergeCell ref="B115:E115"/>
    <mergeCell ref="B122:E122"/>
    <mergeCell ref="B123:E123"/>
    <mergeCell ref="B128:E128"/>
    <mergeCell ref="B129:E129"/>
    <mergeCell ref="B90:E90"/>
    <mergeCell ref="B31:E31"/>
    <mergeCell ref="B38:E38"/>
    <mergeCell ref="B39:E39"/>
    <mergeCell ref="B45:E45"/>
    <mergeCell ref="B46:E46"/>
    <mergeCell ref="B57:E57"/>
    <mergeCell ref="B58:E58"/>
    <mergeCell ref="B68:E68"/>
    <mergeCell ref="B69:E69"/>
    <mergeCell ref="B83:E83"/>
    <mergeCell ref="B84:E84"/>
    <mergeCell ref="B30:E30"/>
    <mergeCell ref="B2:E2"/>
    <mergeCell ref="B3:E3"/>
    <mergeCell ref="B6:E6"/>
    <mergeCell ref="B8:E8"/>
    <mergeCell ref="B9:E9"/>
  </mergeCells>
  <conditionalFormatting sqref="D11:D28 D33:D36 D41:D43 D48:D55 D60:D66 D71:D81 D86:D88 D93:D97 D102:D105 D110:D112 D117:D120 D125:D126 D131:D148 D153:D157 D162:D164 D169:D177 D182:D191 D196:D201 D206:D209 D214:D215">
    <cfRule type="containsBlanks" dxfId="327" priority="7">
      <formula>LEN(TRIM(D11))=0</formula>
    </cfRule>
  </conditionalFormatting>
  <conditionalFormatting sqref="D93:D97 D102:D105 D110:D112 D117:D120 D125:D126 D182:D191 D196:D201 D206:D209 D131:D148 D153:D157 D162:D164 D169:D177 D214:D215 D11:D28 D33:D36 D41:D43 D48:D55 D60:D66 D71:D81 D86:D88">
    <cfRule type="notContainsBlanks" dxfId="326" priority="6">
      <formula>LEN(TRIM(D11))&gt;0</formula>
    </cfRule>
  </conditionalFormatting>
  <conditionalFormatting sqref="D93:D97 D102:D105 D110:D112 D117:D120 D125:D126 D182:D191 D196:D201 D206:D209">
    <cfRule type="expression" dxfId="325" priority="4">
      <formula>mgmt_domain_chosen="Additional Instance"</formula>
    </cfRule>
  </conditionalFormatting>
  <conditionalFormatting sqref="D131:D148 D153:D157 D162:D164 D169:D177 D214:D215">
    <cfRule type="expression" dxfId="324" priority="3">
      <formula>mgmt_domain_chosen="First Instance"</formula>
    </cfRule>
  </conditionalFormatting>
  <dataValidations disablePrompts="1" count="3">
    <dataValidation type="list" allowBlank="1" showInputMessage="1" showErrorMessage="1" sqref="D118" xr:uid="{A080BDE1-95B2-F341-95ED-BAB071ADCF7D}">
      <formula1>"Carbon Black, Crowd Strike"</formula1>
    </dataValidation>
    <dataValidation type="list" allowBlank="1" showInputMessage="1" showErrorMessage="1" sqref="D171" xr:uid="{3FD86672-539F-3249-A674-0E80B789D9C1}">
      <formula1>"carbon-black-installer,crowdstriker-installer"</formula1>
    </dataValidation>
    <dataValidation type="list" allowBlank="1" showInputMessage="1" showErrorMessage="1" sqref="D173" xr:uid="{1CB16C7A-1AB4-FC49-8C41-27B32D4BD414}">
      <formula1>"Static,DHCP"</formula1>
    </dataValidation>
  </dataValidations>
  <pageMargins left="0.7" right="0.7" top="0.75" bottom="0.75" header="0.3" footer="0.3"/>
  <pageSetup paperSize="9" orientation="portrait" horizontalDpi="0" verticalDpi="0"/>
  <ignoredErrors>
    <ignoredError sqref="C13" formula="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8FD00-3C9F-574F-88B6-F4986C3BECA6}">
  <sheetPr codeName="Sheet19">
    <tabColor theme="8" tint="0.39997558519241921"/>
  </sheetPr>
  <dimension ref="A1:E250"/>
  <sheetViews>
    <sheetView showGridLines="0" workbookViewId="0">
      <pane ySplit="4" topLeftCell="A5" activePane="bottomLeft" state="frozen"/>
      <selection pane="bottomLeft"/>
    </sheetView>
  </sheetViews>
  <sheetFormatPr baseColWidth="10" defaultRowHeight="16" x14ac:dyDescent="0.2"/>
  <cols>
    <col min="1" max="1" width="2.83203125" style="9" customWidth="1"/>
    <col min="2" max="2" width="75.83203125" style="9" customWidth="1"/>
    <col min="3" max="4" width="75.83203125" style="2" customWidth="1"/>
    <col min="5" max="5" width="100.83203125" style="2" customWidth="1"/>
    <col min="6" max="7" width="10.83203125" style="9" customWidth="1"/>
    <col min="8" max="16384" width="10.83203125" style="9"/>
  </cols>
  <sheetData>
    <row r="1" spans="1:5" x14ac:dyDescent="0.2">
      <c r="A1" s="146"/>
    </row>
    <row r="2" spans="1:5" ht="54" customHeight="1" x14ac:dyDescent="0.2">
      <c r="A2" s="149"/>
      <c r="B2" s="582" t="s">
        <v>3987</v>
      </c>
      <c r="C2" s="582"/>
      <c r="D2" s="582"/>
      <c r="E2" s="582"/>
    </row>
    <row r="3" spans="1:5" s="25" customFormat="1" ht="20" customHeight="1" x14ac:dyDescent="0.2">
      <c r="A3" s="61"/>
      <c r="B3" s="583" t="s">
        <v>1</v>
      </c>
      <c r="C3" s="583"/>
      <c r="D3" s="583"/>
      <c r="E3" s="583"/>
    </row>
    <row r="6" spans="1:5" ht="32" customHeight="1" x14ac:dyDescent="0.2">
      <c r="B6" s="560" t="s">
        <v>2793</v>
      </c>
      <c r="C6" s="561"/>
      <c r="D6" s="561"/>
      <c r="E6" s="562"/>
    </row>
    <row r="7" spans="1:5" ht="20" customHeight="1" x14ac:dyDescent="0.2">
      <c r="B7" s="563"/>
      <c r="C7" s="564"/>
      <c r="D7" s="564"/>
      <c r="E7" s="565"/>
    </row>
    <row r="8" spans="1:5" ht="20" customHeight="1" x14ac:dyDescent="0.2">
      <c r="B8" s="63" t="s">
        <v>18</v>
      </c>
      <c r="C8" s="63" t="s">
        <v>19</v>
      </c>
      <c r="D8" s="63" t="s">
        <v>20</v>
      </c>
      <c r="E8" s="63" t="s">
        <v>21</v>
      </c>
    </row>
    <row r="9" spans="1:5" ht="20" customHeight="1" x14ac:dyDescent="0.2">
      <c r="B9" s="4" t="s">
        <v>2535</v>
      </c>
      <c r="C9" s="65" t="str">
        <f>CONCATENATE(this_instance,"-m01-vc01.",sample_child_dns_zone)</f>
        <v>sfo-m01-vc01.sfo.rainpole.io</v>
      </c>
      <c r="D9" s="66"/>
      <c r="E9" s="8"/>
    </row>
    <row r="10" spans="1:5" ht="20" customHeight="1" x14ac:dyDescent="0.2">
      <c r="B10" s="4" t="s">
        <v>646</v>
      </c>
      <c r="C10" s="65" t="str">
        <f>sample_mgmt_cl01_cluster</f>
        <v>sfo-m01-cl01</v>
      </c>
      <c r="D10" s="66"/>
      <c r="E10" s="8"/>
    </row>
    <row r="11" spans="1:5" ht="20" customHeight="1" x14ac:dyDescent="0.2">
      <c r="B11" s="4" t="s">
        <v>2470</v>
      </c>
      <c r="C11" s="173" t="str">
        <f>CONCATENATE(this_instance,"-w01-vlr01")</f>
        <v>sfo-w01-vlr01</v>
      </c>
      <c r="D11" s="66"/>
      <c r="E11" s="8"/>
    </row>
    <row r="12" spans="1:5" ht="20" customHeight="1" x14ac:dyDescent="0.2">
      <c r="B12" s="4" t="s">
        <v>2472</v>
      </c>
      <c r="C12" s="65" t="str">
        <f>sample_mgmt_cl01_cluster</f>
        <v>sfo-m01-cl01</v>
      </c>
      <c r="D12" s="66"/>
      <c r="E12" s="8"/>
    </row>
    <row r="13" spans="1:5" ht="20" customHeight="1" x14ac:dyDescent="0.2">
      <c r="B13" s="4" t="s">
        <v>102</v>
      </c>
      <c r="C13" s="65" t="str">
        <f>sample_mgmt_cl01_vsan_datastore</f>
        <v>sfo-m01-cl01-ds-vsan01</v>
      </c>
      <c r="D13" s="66"/>
      <c r="E13" s="8"/>
    </row>
    <row r="14" spans="1:5" ht="20" customHeight="1" x14ac:dyDescent="0.2">
      <c r="B14" s="4" t="s">
        <v>2473</v>
      </c>
      <c r="C14" s="65" t="str">
        <f>sample_mgmt_cl01_az1_mgmt_vm_pg</f>
        <v>sfo-m01-cl01-vds01-pg-vm-mgmt</v>
      </c>
      <c r="D14" s="66"/>
      <c r="E14" s="8"/>
    </row>
    <row r="15" spans="1:5" ht="20" customHeight="1" x14ac:dyDescent="0.2">
      <c r="B15" s="4" t="s">
        <v>295</v>
      </c>
      <c r="C15" s="65" t="str">
        <f>CONCATENATE(this_instance,"-w01-vlr01",".",sample_child_dns_zone)</f>
        <v>sfo-w01-vlr01.sfo.rainpole.io</v>
      </c>
      <c r="D15" s="8" t="str">
        <f>wld_vlr_fqdn</f>
        <v>Value Missing.Value Missing</v>
      </c>
      <c r="E15" s="8"/>
    </row>
    <row r="16" spans="1:5" ht="20" customHeight="1" x14ac:dyDescent="0.2">
      <c r="B16" s="4" t="s">
        <v>2794</v>
      </c>
      <c r="C16" s="65" t="s">
        <v>139</v>
      </c>
      <c r="D16" s="66"/>
      <c r="E16" s="8"/>
    </row>
    <row r="17" spans="2:5" ht="20" customHeight="1" x14ac:dyDescent="0.2">
      <c r="B17" s="4" t="s">
        <v>2795</v>
      </c>
      <c r="C17" s="65" t="s">
        <v>139</v>
      </c>
      <c r="D17" s="66"/>
      <c r="E17" s="8"/>
    </row>
    <row r="18" spans="2:5" ht="20" customHeight="1" x14ac:dyDescent="0.2">
      <c r="B18" s="4" t="s">
        <v>292</v>
      </c>
      <c r="C18" s="65" t="str">
        <f>sample_region_ntp1_server</f>
        <v>ntp0.sfo.rainpole.io</v>
      </c>
      <c r="D18" s="66"/>
      <c r="E18" s="8"/>
    </row>
    <row r="19" spans="2:5" ht="20" customHeight="1" x14ac:dyDescent="0.2">
      <c r="B19" s="4" t="s">
        <v>247</v>
      </c>
      <c r="C19" s="65" t="str">
        <f>sample_mgmt_az1_mgmt_vm_gateway_cidr</f>
        <v>10.11.10.1/24</v>
      </c>
      <c r="D19" s="66"/>
      <c r="E19" s="8"/>
    </row>
    <row r="20" spans="2:5" ht="20" customHeight="1" x14ac:dyDescent="0.2">
      <c r="B20" s="4" t="s">
        <v>563</v>
      </c>
      <c r="C20" s="65" t="str">
        <f>CONCATENATE(this_instance,".rainpole.io")</f>
        <v>sfo.rainpole.io</v>
      </c>
      <c r="D20" s="66"/>
      <c r="E20" s="8"/>
    </row>
    <row r="21" spans="2:5" ht="20" customHeight="1" x14ac:dyDescent="0.2">
      <c r="B21" s="4" t="s">
        <v>564</v>
      </c>
      <c r="C21" s="65" t="str">
        <f>sample_rwr_child_dns_zone</f>
        <v>sfo.rainpole.io</v>
      </c>
      <c r="D21" s="8" t="str">
        <f>rwr_child_dns_zone</f>
        <v>Value Missing</v>
      </c>
      <c r="E21" s="8"/>
    </row>
    <row r="22" spans="2:5" ht="20" customHeight="1" x14ac:dyDescent="0.2">
      <c r="B22" s="4" t="s">
        <v>2477</v>
      </c>
      <c r="C22" s="65" t="str">
        <f>CONCATENATE(sample_region_dns1_ip,",",sample_region_dns2_ip)</f>
        <v>10.11.10.4,10.11.10.5</v>
      </c>
      <c r="D22" s="66"/>
      <c r="E22" s="8"/>
    </row>
    <row r="23" spans="2:5" ht="20" customHeight="1" x14ac:dyDescent="0.2">
      <c r="B23" s="4" t="s">
        <v>2478</v>
      </c>
      <c r="C23" s="173" t="str">
        <f>IF(mgmt_dpg_reuse_result="Included",CONCATENATE(prefix_mgmt_az1_cidr,"10.127"),CONCATENATE(prefix_mgmt_az1_cidr,"11.127"))</f>
        <v>10.11.10.127</v>
      </c>
      <c r="D23" s="66"/>
      <c r="E23" s="8"/>
    </row>
    <row r="24" spans="2:5" ht="20" customHeight="1" x14ac:dyDescent="0.2">
      <c r="B24" s="4" t="s">
        <v>2796</v>
      </c>
      <c r="C24" s="65">
        <v>24</v>
      </c>
      <c r="D24" s="66"/>
      <c r="E24" s="8"/>
    </row>
    <row r="26" spans="2:5" ht="32" customHeight="1" x14ac:dyDescent="0.2">
      <c r="B26" s="560" t="s">
        <v>2797</v>
      </c>
      <c r="C26" s="561"/>
      <c r="D26" s="561"/>
      <c r="E26" s="562"/>
    </row>
    <row r="27" spans="2:5" ht="20" customHeight="1" x14ac:dyDescent="0.2">
      <c r="B27" s="563"/>
      <c r="C27" s="564"/>
      <c r="D27" s="564"/>
      <c r="E27" s="565"/>
    </row>
    <row r="28" spans="2:5" ht="20" customHeight="1" x14ac:dyDescent="0.2">
      <c r="B28" s="63" t="s">
        <v>18</v>
      </c>
      <c r="C28" s="63" t="s">
        <v>19</v>
      </c>
      <c r="D28" s="63" t="s">
        <v>20</v>
      </c>
      <c r="E28" s="63" t="s">
        <v>21</v>
      </c>
    </row>
    <row r="29" spans="2:5" ht="20" customHeight="1" x14ac:dyDescent="0.2">
      <c r="B29" s="4" t="s">
        <v>2646</v>
      </c>
      <c r="C29" s="65" t="str">
        <f>CONCATENATE(sample_wld_vlr_fqdn,":5480")</f>
        <v>sfo-w01-vlr01.sfo.rainpole.io:5480</v>
      </c>
      <c r="D29" s="8" t="str">
        <f>CONCATENATE(wld_vlr_fqdn,":5480")</f>
        <v>Value Missing.Value Missing:5480</v>
      </c>
      <c r="E29" s="8"/>
    </row>
    <row r="30" spans="2:5" ht="20" customHeight="1" x14ac:dyDescent="0.2">
      <c r="B30" s="4" t="s">
        <v>59</v>
      </c>
      <c r="C30" s="65" t="s">
        <v>60</v>
      </c>
      <c r="D30" s="66"/>
      <c r="E30" s="8"/>
    </row>
    <row r="31" spans="2:5" ht="20" customHeight="1" x14ac:dyDescent="0.2">
      <c r="B31" s="4" t="s">
        <v>2634</v>
      </c>
      <c r="C31" s="65" t="s">
        <v>62</v>
      </c>
      <c r="D31" s="66"/>
      <c r="E31" s="8"/>
    </row>
    <row r="32" spans="2:5" ht="20" customHeight="1" x14ac:dyDescent="0.2">
      <c r="B32" s="4" t="s">
        <v>67</v>
      </c>
      <c r="C32" s="65" t="str">
        <f>IF(mgmt_domain_chosen="First Instance","San Francisco","Los Angeles ")</f>
        <v>San Francisco</v>
      </c>
      <c r="D32" s="66"/>
      <c r="E32" s="8"/>
    </row>
    <row r="33" spans="2:5" ht="20" customHeight="1" x14ac:dyDescent="0.2">
      <c r="B33" s="4" t="s">
        <v>65</v>
      </c>
      <c r="C33" s="173" t="s">
        <v>66</v>
      </c>
      <c r="D33" s="66"/>
      <c r="E33" s="8"/>
    </row>
    <row r="34" spans="2:5" ht="20" customHeight="1" x14ac:dyDescent="0.2">
      <c r="B34" s="4" t="s">
        <v>63</v>
      </c>
      <c r="C34" s="65" t="s">
        <v>64</v>
      </c>
      <c r="D34" s="66"/>
      <c r="E34" s="8"/>
    </row>
    <row r="35" spans="2:5" ht="20" customHeight="1" x14ac:dyDescent="0.2">
      <c r="B35" s="4" t="s">
        <v>39</v>
      </c>
      <c r="C35" s="65" t="str">
        <f>sample_wld_vlr_fqdn</f>
        <v>sfo-w01-vlr01.sfo.rainpole.io</v>
      </c>
      <c r="D35" s="66"/>
      <c r="E35" s="8"/>
    </row>
    <row r="36" spans="2:5" ht="20" customHeight="1" x14ac:dyDescent="0.2">
      <c r="B36" s="4" t="s">
        <v>2635</v>
      </c>
      <c r="C36" s="65" t="str">
        <f>sample_wld_vlr_mgmt_ip</f>
        <v>10.11.10.127</v>
      </c>
      <c r="D36" s="66"/>
      <c r="E36" s="8"/>
    </row>
    <row r="37" spans="2:5" ht="20" customHeight="1" x14ac:dyDescent="0.2">
      <c r="B37" s="4" t="s">
        <v>2636</v>
      </c>
      <c r="C37" s="65" t="s">
        <v>2637</v>
      </c>
      <c r="D37" s="66"/>
      <c r="E37" s="8"/>
    </row>
    <row r="39" spans="2:5" ht="32" customHeight="1" x14ac:dyDescent="0.2">
      <c r="B39" s="560" t="s">
        <v>2798</v>
      </c>
      <c r="C39" s="561"/>
      <c r="D39" s="561"/>
      <c r="E39" s="562"/>
    </row>
    <row r="40" spans="2:5" ht="20" customHeight="1" x14ac:dyDescent="0.2">
      <c r="B40" s="563"/>
      <c r="C40" s="564"/>
      <c r="D40" s="564"/>
      <c r="E40" s="565"/>
    </row>
    <row r="41" spans="2:5" ht="20" customHeight="1" x14ac:dyDescent="0.2">
      <c r="B41" s="63" t="s">
        <v>18</v>
      </c>
      <c r="C41" s="63" t="s">
        <v>19</v>
      </c>
      <c r="D41" s="63" t="s">
        <v>20</v>
      </c>
      <c r="E41" s="63" t="s">
        <v>21</v>
      </c>
    </row>
    <row r="42" spans="2:5" ht="20" customHeight="1" x14ac:dyDescent="0.2">
      <c r="B42" s="4" t="s">
        <v>2639</v>
      </c>
      <c r="C42" s="65" t="str">
        <f>CONCATENATE(this_instance,"-w01-vc01.",sample_child_dns_zone)</f>
        <v>sfo-w01-vc01.sfo.rainpole.io</v>
      </c>
      <c r="D42" s="66"/>
      <c r="E42" s="8"/>
    </row>
    <row r="43" spans="2:5" ht="20" customHeight="1" x14ac:dyDescent="0.2">
      <c r="B43" s="4" t="s">
        <v>2351</v>
      </c>
      <c r="C43" s="65" t="str">
        <f>CONCATENATE(this_instance,"-w0",wld_domain_number_chosen,".local")</f>
        <v>sfo-w01.local</v>
      </c>
      <c r="D43" s="66"/>
      <c r="E43" s="8"/>
    </row>
    <row r="44" spans="2:5" ht="20" customHeight="1" x14ac:dyDescent="0.2">
      <c r="B44" s="4" t="s">
        <v>2641</v>
      </c>
      <c r="C44" s="65" t="str">
        <f>CONCATENATE("svc_",sample_wld_vlr_hostname,"_",CONCATENATE(this_instance,"-w01","-vc01"))</f>
        <v>svc_sfo-w01-vlr01_sfo-w01-vc01</v>
      </c>
      <c r="D44" s="66"/>
      <c r="E44" s="8"/>
    </row>
    <row r="45" spans="2:5" ht="20" customHeight="1" x14ac:dyDescent="0.2">
      <c r="B45" s="4" t="s">
        <v>2642</v>
      </c>
      <c r="C45" s="65" t="s">
        <v>139</v>
      </c>
      <c r="D45" s="66"/>
      <c r="E45" s="8"/>
    </row>
    <row r="47" spans="2:5" ht="32" customHeight="1" x14ac:dyDescent="0.2">
      <c r="B47" s="560" t="s">
        <v>2799</v>
      </c>
      <c r="C47" s="561"/>
      <c r="D47" s="561"/>
      <c r="E47" s="562"/>
    </row>
    <row r="48" spans="2:5" ht="20" customHeight="1" x14ac:dyDescent="0.2">
      <c r="B48" s="563"/>
      <c r="C48" s="564"/>
      <c r="D48" s="564"/>
      <c r="E48" s="565"/>
    </row>
    <row r="49" spans="2:5" ht="20" customHeight="1" x14ac:dyDescent="0.2">
      <c r="B49" s="63" t="s">
        <v>18</v>
      </c>
      <c r="C49" s="63" t="s">
        <v>19</v>
      </c>
      <c r="D49" s="63" t="s">
        <v>20</v>
      </c>
      <c r="E49" s="63" t="s">
        <v>21</v>
      </c>
    </row>
    <row r="50" spans="2:5" ht="20" customHeight="1" x14ac:dyDescent="0.2">
      <c r="B50" s="156" t="s">
        <v>2639</v>
      </c>
      <c r="C50" s="65" t="str">
        <f>sample_wld_rwr_vc_fqdn</f>
        <v>sfo-w01-vc01.sfo.rainpole.io</v>
      </c>
      <c r="D50" s="8" t="str">
        <f>wld_rwr_vc_fqdn</f>
        <v>Value Missing</v>
      </c>
      <c r="E50" s="8"/>
    </row>
    <row r="51" spans="2:5" ht="20" customHeight="1" x14ac:dyDescent="0.2">
      <c r="B51" s="156" t="s">
        <v>2351</v>
      </c>
      <c r="C51" s="65" t="str">
        <f>sample_wld_sso_domain_name</f>
        <v>sfo-w01.local</v>
      </c>
      <c r="D51" s="8" t="str">
        <f>wld_sso_domain_name</f>
        <v>Value Missing</v>
      </c>
      <c r="E51" s="8"/>
    </row>
    <row r="52" spans="2:5" ht="20" customHeight="1" x14ac:dyDescent="0.2">
      <c r="B52" s="156" t="s">
        <v>41</v>
      </c>
      <c r="C52" s="65" t="str">
        <f>sample_wld_vlr_replication_user</f>
        <v>svc_sfo-w01-vlr01_sfo-w01-vc01</v>
      </c>
      <c r="D52" s="8" t="str">
        <f>wld_vlr_replication_user</f>
        <v>Value Missing</v>
      </c>
      <c r="E52" s="8"/>
    </row>
    <row r="53" spans="2:5" x14ac:dyDescent="0.2">
      <c r="B53" s="351"/>
    </row>
    <row r="54" spans="2:5" ht="32" customHeight="1" x14ac:dyDescent="0.2">
      <c r="B54" s="560" t="s">
        <v>2800</v>
      </c>
      <c r="C54" s="561"/>
      <c r="D54" s="561"/>
      <c r="E54" s="562"/>
    </row>
    <row r="55" spans="2:5" ht="20" customHeight="1" x14ac:dyDescent="0.2">
      <c r="B55" s="563"/>
      <c r="C55" s="564"/>
      <c r="D55" s="564"/>
      <c r="E55" s="565"/>
    </row>
    <row r="56" spans="2:5" ht="20" customHeight="1" x14ac:dyDescent="0.2">
      <c r="B56" s="63" t="s">
        <v>18</v>
      </c>
      <c r="C56" s="63" t="s">
        <v>19</v>
      </c>
      <c r="D56" s="63" t="s">
        <v>20</v>
      </c>
      <c r="E56" s="63" t="s">
        <v>21</v>
      </c>
    </row>
    <row r="57" spans="2:5" ht="20" customHeight="1" x14ac:dyDescent="0.2">
      <c r="B57" s="4" t="s">
        <v>2646</v>
      </c>
      <c r="C57" s="65" t="str">
        <f>CONCATENATE(sample_wld_vlr_fqdn,":5480")</f>
        <v>sfo-w01-vlr01.sfo.rainpole.io:5480</v>
      </c>
      <c r="D57" s="8" t="str">
        <f>CONCATENATE(wld_vlr_fqdn,":5480")</f>
        <v>Value Missing.Value Missing:5480</v>
      </c>
      <c r="E57" s="8"/>
    </row>
    <row r="58" spans="2:5" ht="20" customHeight="1" x14ac:dyDescent="0.2">
      <c r="B58" s="4" t="s">
        <v>2484</v>
      </c>
      <c r="C58" s="65" t="str">
        <f>sample_wld_rwr_vc_fqdn</f>
        <v>sfo-w01-vc01.sfo.rainpole.io</v>
      </c>
      <c r="D58" s="8" t="str">
        <f>wld_rwr_vc_fqdn</f>
        <v>Value Missing</v>
      </c>
      <c r="E58" s="8"/>
    </row>
    <row r="59" spans="2:5" ht="20" customHeight="1" x14ac:dyDescent="0.2">
      <c r="B59" s="4" t="s">
        <v>79</v>
      </c>
      <c r="C59" s="65" t="str">
        <f>CONCATENATE(sample_wld_vlr_replication_user,"@",sample_rwr_sso_domain_name)</f>
        <v>svc_sfo-w01-vlr01_sfo-w01-vc01@sfo-w01.local</v>
      </c>
      <c r="D59" s="8" t="str">
        <f t="array" ref="D59">CONCATENATE(wld_vlr_replication_user,"@",rwr_sso_domain_name)</f>
        <v>Value Missing@Value Missing</v>
      </c>
      <c r="E59" s="8"/>
    </row>
    <row r="60" spans="2:5" ht="20" customHeight="1" x14ac:dyDescent="0.2">
      <c r="B60" s="4" t="s">
        <v>30</v>
      </c>
      <c r="C60" s="65" t="s">
        <v>139</v>
      </c>
      <c r="D60" s="8" t="str">
        <f>rwr_vlr_replication_password</f>
        <v>Value Missing</v>
      </c>
      <c r="E60" s="8"/>
    </row>
    <row r="61" spans="2:5" ht="20" customHeight="1" x14ac:dyDescent="0.2">
      <c r="B61" s="4" t="s">
        <v>1415</v>
      </c>
      <c r="C61" s="65" t="str">
        <f>sample_wld_vc_fqdn</f>
        <v>sfo-w01-vc01.sfo.rainpole.io</v>
      </c>
      <c r="D61" s="8" t="str">
        <f>wld_rwr_vc_fqdn</f>
        <v>Value Missing</v>
      </c>
      <c r="E61" s="8"/>
    </row>
    <row r="62" spans="2:5" ht="20" customHeight="1" x14ac:dyDescent="0.2">
      <c r="B62" s="4" t="s">
        <v>2368</v>
      </c>
      <c r="C62" s="65" t="str">
        <f>IF(mgmt_domain_chosen="First Instance","SFO-W01","LAX-W01 ")</f>
        <v>SFO-W01</v>
      </c>
      <c r="D62" s="66"/>
      <c r="E62" s="8"/>
    </row>
    <row r="63" spans="2:5" ht="20" customHeight="1" x14ac:dyDescent="0.2">
      <c r="B63" s="4" t="s">
        <v>2485</v>
      </c>
      <c r="C63" s="65" t="s">
        <v>2801</v>
      </c>
      <c r="D63" s="66"/>
      <c r="E63" s="8"/>
    </row>
    <row r="64" spans="2:5" ht="20" customHeight="1" x14ac:dyDescent="0.2">
      <c r="B64" s="4" t="s">
        <v>2486</v>
      </c>
      <c r="C64" s="65" t="str">
        <f>sample_wld_vlr_fqdn</f>
        <v>sfo-w01-vlr01.sfo.rainpole.io</v>
      </c>
      <c r="D64" s="8" t="str">
        <f>wld_vlr_fqdn</f>
        <v>Value Missing.Value Missing</v>
      </c>
      <c r="E64" s="8"/>
    </row>
    <row r="66" spans="2:5" ht="32" customHeight="1" x14ac:dyDescent="0.2">
      <c r="B66" s="560" t="s">
        <v>2802</v>
      </c>
      <c r="C66" s="561"/>
      <c r="D66" s="561"/>
      <c r="E66" s="562"/>
    </row>
    <row r="67" spans="2:5" ht="20" customHeight="1" x14ac:dyDescent="0.2">
      <c r="B67" s="563"/>
      <c r="C67" s="564"/>
      <c r="D67" s="564"/>
      <c r="E67" s="565"/>
    </row>
    <row r="68" spans="2:5" ht="20" customHeight="1" x14ac:dyDescent="0.2">
      <c r="B68" s="63" t="s">
        <v>18</v>
      </c>
      <c r="C68" s="63" t="s">
        <v>19</v>
      </c>
      <c r="D68" s="63" t="s">
        <v>20</v>
      </c>
      <c r="E68" s="63" t="s">
        <v>21</v>
      </c>
    </row>
    <row r="69" spans="2:5" ht="20" customHeight="1" x14ac:dyDescent="0.2">
      <c r="B69" s="4" t="s">
        <v>2639</v>
      </c>
      <c r="C69" s="65" t="str">
        <f>sample_wld_rwr_vc_fqdn</f>
        <v>sfo-w01-vc01.sfo.rainpole.io</v>
      </c>
      <c r="D69" s="8" t="str">
        <f>wld_rwr_vc_fqdn</f>
        <v>Value Missing</v>
      </c>
      <c r="E69" s="8"/>
    </row>
    <row r="70" spans="2:5" ht="20" customHeight="1" x14ac:dyDescent="0.2">
      <c r="B70" s="4" t="s">
        <v>2488</v>
      </c>
      <c r="C70" s="65" t="str">
        <f>IF(mgmt_domain_chosen="First Instance",_xlfn.CONCAT(this_instance,"-w01","-cl01","-vds01"),_xlfn.CONCAT(this_instance,"-w01","-cl01","-vds01"))</f>
        <v>sfo-w01-cl01-vds01</v>
      </c>
      <c r="D70" s="66"/>
      <c r="E70" s="8" t="str">
        <f>IF(mgmt_domain_chosen="First Instance","","vSAN Storage Cluster")</f>
        <v/>
      </c>
    </row>
    <row r="71" spans="2:5" ht="20" customHeight="1" x14ac:dyDescent="0.2">
      <c r="B71" s="4" t="s">
        <v>254</v>
      </c>
      <c r="C71" s="65" t="str">
        <f>CONCATENATE(sample_wld_rwr_cl02_vds01,"-pg-vrms")</f>
        <v>sfo-w01-cl01-vds01-pg-vrms</v>
      </c>
      <c r="D71" s="66"/>
      <c r="E71" s="8" t="str">
        <f>IF(mgmt_domain_chosen="First Instance","","vSAN Storage Cluster")</f>
        <v/>
      </c>
    </row>
    <row r="72" spans="2:5" ht="20" customHeight="1" x14ac:dyDescent="0.2">
      <c r="B72" s="4" t="s">
        <v>85</v>
      </c>
      <c r="C72" s="103" t="str">
        <f>CONCATENATE(prefix_wld_az1_vlan,"09")</f>
        <v>1309</v>
      </c>
      <c r="D72" s="66"/>
      <c r="E72" s="8"/>
    </row>
    <row r="74" spans="2:5" ht="32" customHeight="1" x14ac:dyDescent="0.2">
      <c r="B74" s="560" t="s">
        <v>2803</v>
      </c>
      <c r="C74" s="561"/>
      <c r="D74" s="561"/>
      <c r="E74" s="562"/>
    </row>
    <row r="75" spans="2:5" ht="20" customHeight="1" x14ac:dyDescent="0.2">
      <c r="B75" s="563"/>
      <c r="C75" s="564"/>
      <c r="D75" s="564"/>
      <c r="E75" s="565"/>
    </row>
    <row r="76" spans="2:5" ht="20" customHeight="1" x14ac:dyDescent="0.2">
      <c r="B76" s="63" t="s">
        <v>18</v>
      </c>
      <c r="C76" s="63" t="s">
        <v>19</v>
      </c>
      <c r="D76" s="63" t="s">
        <v>20</v>
      </c>
      <c r="E76" s="63" t="s">
        <v>21</v>
      </c>
    </row>
    <row r="77" spans="2:5" ht="20" customHeight="1" x14ac:dyDescent="0.2">
      <c r="B77" s="4" t="s">
        <v>2639</v>
      </c>
      <c r="C77" s="65" t="str">
        <f>sample_wld_rwr_vc_fqdn</f>
        <v>sfo-w01-vc01.sfo.rainpole.io</v>
      </c>
      <c r="D77" s="8" t="str">
        <f>wld_rwr_vc_fqdn</f>
        <v>Value Missing</v>
      </c>
      <c r="E77" s="8"/>
    </row>
    <row r="78" spans="2:5" ht="20" customHeight="1" x14ac:dyDescent="0.2">
      <c r="B78" s="4" t="s">
        <v>646</v>
      </c>
      <c r="C78" s="65" t="str">
        <f>IF(mgmt_domain_chosen="First Instance",sample_wld_cl01_cluster,_xlfn.CONCAT(this_instance,"-w01","-cl01"))</f>
        <v>sfo-w01-cl01</v>
      </c>
      <c r="D78" s="66"/>
      <c r="E78" s="8" t="str">
        <f>IF(mgmt_domain_chosen="First Instance","","vSAN Storage Cluster")</f>
        <v/>
      </c>
    </row>
    <row r="79" spans="2:5" ht="20" customHeight="1" x14ac:dyDescent="0.2">
      <c r="B79" s="4" t="s">
        <v>561</v>
      </c>
      <c r="C79" s="65" t="str">
        <f>IF(mgmt_domain_chosen="First Domain",sample_wld_vrms_pg,_xlfn.CONCAT(this_instance,"-w01","-cl01","-vds01-pg-vrms"))</f>
        <v>sfo-w01-cl01-vds01-pg-vrms</v>
      </c>
      <c r="D79" s="8" t="str">
        <f>rwr_vrms_pg</f>
        <v>Value Missing</v>
      </c>
      <c r="E79" s="8"/>
    </row>
    <row r="80" spans="2:5" ht="20" customHeight="1" x14ac:dyDescent="0.2">
      <c r="B80" s="4" t="s">
        <v>2804</v>
      </c>
      <c r="C80" s="65" t="str">
        <f>sample_wld_az1_host1_fqdn</f>
        <v>sfo01-w01-r01-esx01.sfo.rainpole.io</v>
      </c>
      <c r="D80" s="66"/>
      <c r="E80" s="8"/>
    </row>
    <row r="81" spans="2:5" ht="20" customHeight="1" x14ac:dyDescent="0.2">
      <c r="B81" s="4" t="s">
        <v>2805</v>
      </c>
      <c r="C81" s="65" t="str">
        <f>sample_wld_az1_host1_vrms_ip</f>
        <v>10.13.9.101</v>
      </c>
      <c r="D81" s="66"/>
      <c r="E81" s="8"/>
    </row>
    <row r="82" spans="2:5" ht="20" customHeight="1" x14ac:dyDescent="0.2">
      <c r="B82" s="4" t="s">
        <v>2806</v>
      </c>
      <c r="C82" s="65" t="s">
        <v>126</v>
      </c>
      <c r="D82" s="66"/>
      <c r="E82" s="8"/>
    </row>
    <row r="83" spans="2:5" ht="20" customHeight="1" x14ac:dyDescent="0.2">
      <c r="B83" s="4" t="s">
        <v>2807</v>
      </c>
      <c r="C83" s="65" t="str">
        <f>sample_wld_az1_host2_fqdn</f>
        <v>sfo01-w01-r01-esx02.sfo.rainpole.io</v>
      </c>
      <c r="D83" s="66"/>
      <c r="E83" s="8"/>
    </row>
    <row r="84" spans="2:5" ht="20" customHeight="1" x14ac:dyDescent="0.2">
      <c r="B84" s="4" t="s">
        <v>2808</v>
      </c>
      <c r="C84" s="65" t="str">
        <f>sample_wld_az1_host2_vrms_ip</f>
        <v>10.13.9.102</v>
      </c>
      <c r="D84" s="66"/>
      <c r="E84" s="8"/>
    </row>
    <row r="85" spans="2:5" ht="20" customHeight="1" x14ac:dyDescent="0.2">
      <c r="B85" s="4" t="s">
        <v>2809</v>
      </c>
      <c r="C85" s="65" t="str">
        <f>sample_wld_az1_vrms_mask</f>
        <v>255.255.255.0</v>
      </c>
      <c r="D85" s="8" t="str">
        <f t="array" ref="D85">wld_rwr_az1_vrms_gateway_mask</f>
        <v>Value Missing</v>
      </c>
      <c r="E85" s="8"/>
    </row>
    <row r="86" spans="2:5" ht="20" customHeight="1" x14ac:dyDescent="0.2">
      <c r="B86" s="4" t="s">
        <v>2810</v>
      </c>
      <c r="C86" s="65" t="str">
        <f>sample_wld_az1_host3_fqdn</f>
        <v>sfo01-w01-r01-esx03.sfo.rainpole.io</v>
      </c>
      <c r="D86" s="66"/>
      <c r="E86" s="8"/>
    </row>
    <row r="87" spans="2:5" ht="20" customHeight="1" x14ac:dyDescent="0.2">
      <c r="B87" s="4" t="s">
        <v>2811</v>
      </c>
      <c r="C87" s="65" t="str">
        <f>sample_wld_az1_host3_vrms_ip</f>
        <v>10.13.9.103</v>
      </c>
      <c r="D87" s="66"/>
      <c r="E87" s="8"/>
    </row>
    <row r="88" spans="2:5" ht="20" customHeight="1" x14ac:dyDescent="0.2">
      <c r="B88" s="4" t="s">
        <v>2812</v>
      </c>
      <c r="C88" s="65" t="str">
        <f>sample_wld_az1_vrms_mask</f>
        <v>255.255.255.0</v>
      </c>
      <c r="D88" s="8" t="str">
        <f t="array" ref="D88">wld_rwr_az1_vrms_gateway_mask</f>
        <v>Value Missing</v>
      </c>
      <c r="E88" s="8"/>
    </row>
    <row r="89" spans="2:5" ht="20" customHeight="1" x14ac:dyDescent="0.2">
      <c r="B89" s="4" t="s">
        <v>2813</v>
      </c>
      <c r="C89" s="65" t="str">
        <f>sample_wld_az1_host4_fqdn</f>
        <v>sfo01-w01-r01-esx04.sfo.rainpole.io</v>
      </c>
      <c r="D89" s="66"/>
      <c r="E89" s="8"/>
    </row>
    <row r="90" spans="2:5" ht="20" customHeight="1" x14ac:dyDescent="0.2">
      <c r="B90" s="4" t="s">
        <v>2814</v>
      </c>
      <c r="C90" s="65" t="str">
        <f>sample_wld_az1_host4_vrms_ip</f>
        <v>10.13.9.104</v>
      </c>
      <c r="D90" s="66"/>
      <c r="E90" s="8"/>
    </row>
    <row r="91" spans="2:5" ht="20" customHeight="1" x14ac:dyDescent="0.2">
      <c r="B91" s="4" t="s">
        <v>2815</v>
      </c>
      <c r="C91" s="65" t="str">
        <f>sample_wld_az1_vrms_mask</f>
        <v>255.255.255.0</v>
      </c>
      <c r="D91" s="8" t="str">
        <f t="array" ref="D91">wld_rwr_az1_vrms_gateway_mask</f>
        <v>Value Missing</v>
      </c>
      <c r="E91" s="8"/>
    </row>
    <row r="93" spans="2:5" ht="32" customHeight="1" x14ac:dyDescent="0.2">
      <c r="B93" s="560" t="s">
        <v>2816</v>
      </c>
      <c r="C93" s="561"/>
      <c r="D93" s="561"/>
      <c r="E93" s="562"/>
    </row>
    <row r="94" spans="2:5" ht="20" customHeight="1" x14ac:dyDescent="0.2">
      <c r="B94" s="563"/>
      <c r="C94" s="564"/>
      <c r="D94" s="564"/>
      <c r="E94" s="565"/>
    </row>
    <row r="95" spans="2:5" ht="20" customHeight="1" x14ac:dyDescent="0.2">
      <c r="B95" s="63" t="s">
        <v>18</v>
      </c>
      <c r="C95" s="63" t="s">
        <v>19</v>
      </c>
      <c r="D95" s="63" t="s">
        <v>20</v>
      </c>
      <c r="E95" s="63" t="s">
        <v>21</v>
      </c>
    </row>
    <row r="96" spans="2:5" ht="20" customHeight="1" x14ac:dyDescent="0.2">
      <c r="B96" s="4" t="s">
        <v>2639</v>
      </c>
      <c r="C96" s="65" t="str">
        <f>sample_wld_rwr_vc_fqdn</f>
        <v>sfo-w01-vc01.sfo.rainpole.io</v>
      </c>
      <c r="D96" s="8" t="str">
        <f>wld_rwr_vc_fqdn</f>
        <v>Value Missing</v>
      </c>
      <c r="E96" s="8"/>
    </row>
    <row r="97" spans="2:5" ht="20" customHeight="1" x14ac:dyDescent="0.2">
      <c r="B97" s="4" t="s">
        <v>646</v>
      </c>
      <c r="C97" s="65" t="str">
        <f>sample_wld_rwr_cl02_cluster</f>
        <v>sfo-w01-cl01</v>
      </c>
      <c r="D97" s="8" t="str">
        <f t="array" ref="D97">wld_rwr_cl02_cluster</f>
        <v>Value Missing</v>
      </c>
      <c r="E97" s="8" t="str">
        <f>IF(mgmt_domain_chosen="First Instance","","vSAN Storage Cluster")</f>
        <v/>
      </c>
    </row>
    <row r="98" spans="2:5" ht="20" customHeight="1" x14ac:dyDescent="0.2">
      <c r="B98" s="4" t="s">
        <v>2804</v>
      </c>
      <c r="C98" s="65" t="str">
        <f>sample_wld_az1_host1_fqdn</f>
        <v>sfo01-w01-r01-esx01.sfo.rainpole.io</v>
      </c>
      <c r="D98" s="66"/>
      <c r="E98" s="8"/>
    </row>
    <row r="99" spans="2:5" ht="20" customHeight="1" x14ac:dyDescent="0.2">
      <c r="B99" s="4" t="s">
        <v>2817</v>
      </c>
      <c r="C99" s="65" t="str">
        <f>CONCATENATE(prefix_wld_az1_cidr,"9.1")</f>
        <v>10.13.9.1</v>
      </c>
      <c r="D99" s="66"/>
      <c r="E99" s="8"/>
    </row>
    <row r="100" spans="2:5" ht="20" customHeight="1" x14ac:dyDescent="0.2">
      <c r="B100" s="4" t="s">
        <v>2818</v>
      </c>
      <c r="C100" s="65" t="str">
        <f>CONCATENATE(wld_rwr_recoverysite_prefix,"9.0/24")</f>
        <v>10.23.9.0/24</v>
      </c>
      <c r="D100" s="66"/>
      <c r="E100" s="8"/>
    </row>
    <row r="101" spans="2:5" ht="20" customHeight="1" x14ac:dyDescent="0.2">
      <c r="B101" s="4" t="s">
        <v>2819</v>
      </c>
      <c r="C101" s="65" t="str">
        <f>CONCATENATE(prefix_other_region_az1_cidr,"10.0/24")</f>
        <v>10.21.10.0/24</v>
      </c>
      <c r="D101" s="66"/>
      <c r="E101" s="8"/>
    </row>
    <row r="102" spans="2:5" ht="20" customHeight="1" x14ac:dyDescent="0.2">
      <c r="B102" s="4" t="s">
        <v>2807</v>
      </c>
      <c r="C102" s="65" t="str">
        <f>sample_wld_az1_host2_fqdn</f>
        <v>sfo01-w01-r01-esx02.sfo.rainpole.io</v>
      </c>
      <c r="D102" s="66"/>
      <c r="E102" s="8"/>
    </row>
    <row r="103" spans="2:5" ht="20" customHeight="1" x14ac:dyDescent="0.2">
      <c r="B103" s="4" t="s">
        <v>2820</v>
      </c>
      <c r="C103" s="65" t="str">
        <f>sample_wld_az1_vrms_gateway_ip</f>
        <v>10.13.9.1</v>
      </c>
      <c r="D103" s="8" t="str">
        <f>wld_rwr_az1_vrms_gateway_ip</f>
        <v>Value Missing</v>
      </c>
      <c r="E103" s="8"/>
    </row>
    <row r="104" spans="2:5" ht="20" customHeight="1" x14ac:dyDescent="0.2">
      <c r="B104" s="4" t="s">
        <v>2821</v>
      </c>
      <c r="C104" s="65" t="str">
        <f>CONCATENATE(wld_rwr_recoverysite_prefix,"9.0/24")</f>
        <v>10.23.9.0/24</v>
      </c>
      <c r="D104" s="8" t="str">
        <f>wld_rwr_recovery_site_az1_vrms_cidr</f>
        <v>Value Missing</v>
      </c>
      <c r="E104" s="8"/>
    </row>
    <row r="105" spans="2:5" ht="20" customHeight="1" x14ac:dyDescent="0.2">
      <c r="B105" s="4" t="s">
        <v>2822</v>
      </c>
      <c r="C105" s="65" t="str">
        <f>sample_mgmt_rwr_recovery_site_az1_mgmt_cidr</f>
        <v>10.21.10.0/24</v>
      </c>
      <c r="D105" s="8" t="str">
        <f>mgmt_rwr_recovery_site_az1_mgmt_cidr</f>
        <v>Value Missing</v>
      </c>
      <c r="E105" s="8"/>
    </row>
    <row r="106" spans="2:5" ht="20" customHeight="1" x14ac:dyDescent="0.2">
      <c r="B106" s="4" t="s">
        <v>2810</v>
      </c>
      <c r="C106" s="65" t="str">
        <f>sample_wld_az1_host3_fqdn</f>
        <v>sfo01-w01-r01-esx03.sfo.rainpole.io</v>
      </c>
      <c r="D106" s="66"/>
      <c r="E106" s="8"/>
    </row>
    <row r="107" spans="2:5" ht="20" customHeight="1" x14ac:dyDescent="0.2">
      <c r="B107" s="4" t="s">
        <v>2823</v>
      </c>
      <c r="C107" s="65" t="str">
        <f>sample_wld_az1_vrms_gateway_ip</f>
        <v>10.13.9.1</v>
      </c>
      <c r="D107" s="8" t="str">
        <f>wld_rwr_az1_vrms_gateway_ip</f>
        <v>Value Missing</v>
      </c>
      <c r="E107" s="8"/>
    </row>
    <row r="108" spans="2:5" ht="20" customHeight="1" x14ac:dyDescent="0.2">
      <c r="B108" s="4" t="s">
        <v>2824</v>
      </c>
      <c r="C108" s="65" t="str">
        <f>CONCATENATE(wld_rwr_recoverysite_prefix,"9.0/24")</f>
        <v>10.23.9.0/24</v>
      </c>
      <c r="D108" s="8" t="str">
        <f>wld_rwr_recovery_site_az1_vrms_cidr</f>
        <v>Value Missing</v>
      </c>
      <c r="E108" s="8"/>
    </row>
    <row r="109" spans="2:5" ht="20" customHeight="1" x14ac:dyDescent="0.2">
      <c r="B109" s="4" t="s">
        <v>2825</v>
      </c>
      <c r="C109" s="65" t="str">
        <f>sample_mgmt_rwr_recovery_site_az1_mgmt_cidr</f>
        <v>10.21.10.0/24</v>
      </c>
      <c r="D109" s="8" t="str">
        <f>mgmt_rwr_recovery_site_az1_mgmt_cidr</f>
        <v>Value Missing</v>
      </c>
      <c r="E109" s="8"/>
    </row>
    <row r="110" spans="2:5" ht="20" customHeight="1" x14ac:dyDescent="0.2">
      <c r="B110" s="4" t="s">
        <v>2813</v>
      </c>
      <c r="C110" s="65" t="str">
        <f>sample_wld_az1_host4_fqdn</f>
        <v>sfo01-w01-r01-esx04.sfo.rainpole.io</v>
      </c>
      <c r="D110" s="66"/>
      <c r="E110" s="8"/>
    </row>
    <row r="111" spans="2:5" ht="20" customHeight="1" x14ac:dyDescent="0.2">
      <c r="B111" s="4" t="s">
        <v>2826</v>
      </c>
      <c r="C111" s="65" t="str">
        <f>sample_wld_az1_vrms_gateway_ip</f>
        <v>10.13.9.1</v>
      </c>
      <c r="D111" s="8" t="str">
        <f>wld_rwr_az1_vrms_gateway_ip</f>
        <v>Value Missing</v>
      </c>
      <c r="E111" s="8"/>
    </row>
    <row r="112" spans="2:5" ht="20" customHeight="1" x14ac:dyDescent="0.2">
      <c r="B112" s="4" t="s">
        <v>2827</v>
      </c>
      <c r="C112" s="65" t="str">
        <f>CONCATENATE(wld_rwr_recoverysite_prefix,"9.0/24")</f>
        <v>10.23.9.0/24</v>
      </c>
      <c r="D112" s="8" t="str">
        <f>wld_rwr_recovery_site_az1_vrms_cidr</f>
        <v>Value Missing</v>
      </c>
      <c r="E112" s="8"/>
    </row>
    <row r="113" spans="2:5" ht="20" customHeight="1" x14ac:dyDescent="0.2">
      <c r="B113" s="4" t="s">
        <v>2828</v>
      </c>
      <c r="C113" s="65" t="str">
        <f>sample_mgmt_rwr_recovery_site_az1_mgmt_cidr</f>
        <v>10.21.10.0/24</v>
      </c>
      <c r="D113" s="8" t="str">
        <f>mgmt_rwr_recovery_site_az1_mgmt_cidr</f>
        <v>Value Missing</v>
      </c>
      <c r="E113" s="8"/>
    </row>
    <row r="115" spans="2:5" ht="32" customHeight="1" x14ac:dyDescent="0.2">
      <c r="B115" s="560" t="s">
        <v>2829</v>
      </c>
      <c r="C115" s="561"/>
      <c r="D115" s="561"/>
      <c r="E115" s="562"/>
    </row>
    <row r="116" spans="2:5" ht="20" customHeight="1" x14ac:dyDescent="0.2">
      <c r="B116" s="563"/>
      <c r="C116" s="564"/>
      <c r="D116" s="564"/>
      <c r="E116" s="565"/>
    </row>
    <row r="117" spans="2:5" ht="20" customHeight="1" x14ac:dyDescent="0.2">
      <c r="B117" s="63" t="s">
        <v>18</v>
      </c>
      <c r="C117" s="63" t="s">
        <v>19</v>
      </c>
      <c r="D117" s="63" t="s">
        <v>20</v>
      </c>
      <c r="E117" s="63" t="s">
        <v>21</v>
      </c>
    </row>
    <row r="118" spans="2:5" ht="20" customHeight="1" x14ac:dyDescent="0.2">
      <c r="B118" s="347" t="s">
        <v>2830</v>
      </c>
      <c r="C118" s="65" t="str">
        <f>CONCATENATE(this_instance,"-w01-nsx01.",this_instance,".",sample_parent_dns_zone)</f>
        <v>sfo-w01-nsx01.sfo.rainpole.io</v>
      </c>
      <c r="D118" s="66"/>
      <c r="E118" s="8"/>
    </row>
    <row r="119" spans="2:5" ht="20" customHeight="1" x14ac:dyDescent="0.2">
      <c r="B119" s="563" t="s">
        <v>2831</v>
      </c>
      <c r="C119" s="564"/>
      <c r="D119" s="564"/>
      <c r="E119" s="565"/>
    </row>
    <row r="120" spans="2:5" ht="20" customHeight="1" x14ac:dyDescent="0.2">
      <c r="B120" s="4" t="s">
        <v>2832</v>
      </c>
      <c r="C120" s="65" t="s">
        <v>2833</v>
      </c>
      <c r="D120" s="66"/>
      <c r="E120" s="8"/>
    </row>
    <row r="121" spans="2:5" ht="20" customHeight="1" x14ac:dyDescent="0.2">
      <c r="B121" s="4" t="s">
        <v>2834</v>
      </c>
      <c r="C121" s="65" t="s">
        <v>2835</v>
      </c>
      <c r="D121" s="66"/>
      <c r="E121" s="8"/>
    </row>
    <row r="122" spans="2:5" ht="20" customHeight="1" x14ac:dyDescent="0.2">
      <c r="B122" s="4" t="s">
        <v>2836</v>
      </c>
      <c r="C122" s="65" t="s">
        <v>2837</v>
      </c>
      <c r="D122" s="66"/>
      <c r="E122" s="8"/>
    </row>
    <row r="123" spans="2:5" ht="20" customHeight="1" x14ac:dyDescent="0.2">
      <c r="B123" s="4" t="s">
        <v>2838</v>
      </c>
      <c r="C123" s="65" t="str">
        <f>CONCATENATE(this_instance,"-w01","-ec01")</f>
        <v>sfo-w01-ec01</v>
      </c>
      <c r="D123" s="66"/>
      <c r="E123" s="8"/>
    </row>
    <row r="124" spans="2:5" ht="20" customHeight="1" x14ac:dyDescent="0.2">
      <c r="B124" s="563" t="s">
        <v>2839</v>
      </c>
      <c r="C124" s="564"/>
      <c r="D124" s="564"/>
      <c r="E124" s="565"/>
    </row>
    <row r="125" spans="2:5" ht="20" customHeight="1" x14ac:dyDescent="0.2">
      <c r="B125" s="4" t="s">
        <v>471</v>
      </c>
      <c r="C125" s="65" t="str">
        <f>CONCATENATE(this_instance,"-w01","-ec01","-t1","-gw01")</f>
        <v>sfo-w01-ec01-t1-gw01</v>
      </c>
      <c r="D125" s="66"/>
      <c r="E125" s="8"/>
    </row>
    <row r="126" spans="2:5" ht="20" customHeight="1" x14ac:dyDescent="0.2">
      <c r="B126" s="4" t="s">
        <v>472</v>
      </c>
      <c r="C126" s="65" t="str">
        <f>CONCATENATE(this_instance,"-w01","-ec01","-t0","-gw01")</f>
        <v>sfo-w01-ec01-t0-gw01</v>
      </c>
      <c r="D126" s="66"/>
      <c r="E126" s="8"/>
    </row>
    <row r="127" spans="2:5" ht="20" customHeight="1" x14ac:dyDescent="0.2">
      <c r="B127" s="4" t="s">
        <v>88</v>
      </c>
      <c r="C127" s="65" t="str">
        <f>sample_wld_rwr_recovery_site_nsx_ec_name</f>
        <v>sfo-w01-ec01</v>
      </c>
      <c r="D127" s="66"/>
      <c r="E127" s="8"/>
    </row>
    <row r="128" spans="2:5" ht="20" customHeight="1" x14ac:dyDescent="0.2">
      <c r="B128" s="563" t="s">
        <v>2840</v>
      </c>
      <c r="C128" s="564"/>
      <c r="D128" s="564"/>
      <c r="E128" s="565"/>
    </row>
    <row r="129" spans="2:5" ht="20" customHeight="1" x14ac:dyDescent="0.2">
      <c r="B129" s="4" t="s">
        <v>2841</v>
      </c>
      <c r="C129" s="65" t="str">
        <f>CONCATENATE(this_instance,"-w01-seg01-","rwr-ire")</f>
        <v>sfo-w01-seg01-rwr-ire</v>
      </c>
      <c r="D129" s="66"/>
      <c r="E129" s="8"/>
    </row>
    <row r="130" spans="2:5" ht="20" customHeight="1" x14ac:dyDescent="0.2">
      <c r="B130" s="4" t="s">
        <v>2842</v>
      </c>
      <c r="C130" s="65" t="str">
        <f>sample_wld_rwr_recovery_site_nsx_ec_t1_name</f>
        <v>sfo-w01-ec01-t1-gw01</v>
      </c>
      <c r="D130" s="66"/>
      <c r="E130" s="8"/>
    </row>
    <row r="131" spans="2:5" ht="20" customHeight="1" x14ac:dyDescent="0.2">
      <c r="B131" s="4" t="s">
        <v>2843</v>
      </c>
      <c r="C131" s="65" t="str">
        <f>CONCATENATE("overlay-tz-",this_instance,"-w01-nsx01")</f>
        <v>overlay-tz-sfo-w01-nsx01</v>
      </c>
      <c r="D131" s="66"/>
      <c r="E131" s="8"/>
    </row>
    <row r="132" spans="2:5" ht="20" customHeight="1" x14ac:dyDescent="0.2">
      <c r="B132" s="4" t="s">
        <v>2844</v>
      </c>
      <c r="C132" s="65" t="s">
        <v>2845</v>
      </c>
      <c r="D132" s="66"/>
      <c r="E132" s="8"/>
    </row>
    <row r="133" spans="2:5" ht="20" customHeight="1" x14ac:dyDescent="0.2">
      <c r="B133" s="563" t="s">
        <v>2846</v>
      </c>
      <c r="C133" s="564"/>
      <c r="D133" s="564"/>
      <c r="E133" s="565"/>
    </row>
    <row r="134" spans="2:5" ht="20" customHeight="1" x14ac:dyDescent="0.2">
      <c r="B134" s="4" t="s">
        <v>2847</v>
      </c>
      <c r="C134" s="65" t="str">
        <f>C120</f>
        <v>tier1_dhcp_profile</v>
      </c>
      <c r="D134" s="66"/>
      <c r="E134" s="8"/>
    </row>
    <row r="135" spans="2:5" ht="20" customHeight="1" x14ac:dyDescent="0.2">
      <c r="B135" s="4" t="s">
        <v>2848</v>
      </c>
      <c r="C135" s="65" t="s">
        <v>2849</v>
      </c>
      <c r="D135" s="66"/>
      <c r="E135" s="8"/>
    </row>
    <row r="136" spans="2:5" ht="20" customHeight="1" x14ac:dyDescent="0.2">
      <c r="B136" s="4" t="s">
        <v>2850</v>
      </c>
      <c r="C136" s="65" t="s">
        <v>2851</v>
      </c>
      <c r="D136" s="66"/>
      <c r="E136" s="8"/>
    </row>
    <row r="137" spans="2:5" ht="20" customHeight="1" x14ac:dyDescent="0.2">
      <c r="B137" s="4" t="s">
        <v>565</v>
      </c>
      <c r="C137" s="65" t="str">
        <f>CONCATENATE(sample_region_dns1_ip,",",sample_region_dns2_ip)</f>
        <v>10.11.10.4,10.11.10.5</v>
      </c>
      <c r="D137" s="66"/>
      <c r="E137" s="8"/>
    </row>
    <row r="138" spans="2:5" x14ac:dyDescent="0.2">
      <c r="C138" s="173"/>
    </row>
    <row r="139" spans="2:5" ht="32" customHeight="1" x14ac:dyDescent="0.2">
      <c r="B139" s="560" t="s">
        <v>2852</v>
      </c>
      <c r="C139" s="561"/>
      <c r="D139" s="561"/>
      <c r="E139" s="562"/>
    </row>
    <row r="140" spans="2:5" ht="20" customHeight="1" x14ac:dyDescent="0.2">
      <c r="B140" s="563"/>
      <c r="C140" s="564"/>
      <c r="D140" s="564"/>
      <c r="E140" s="565"/>
    </row>
    <row r="141" spans="2:5" ht="20" customHeight="1" x14ac:dyDescent="0.2">
      <c r="B141" s="63" t="s">
        <v>18</v>
      </c>
      <c r="C141" s="63" t="s">
        <v>19</v>
      </c>
      <c r="D141" s="63" t="s">
        <v>20</v>
      </c>
      <c r="E141" s="63" t="s">
        <v>21</v>
      </c>
    </row>
    <row r="142" spans="2:5" ht="20" customHeight="1" x14ac:dyDescent="0.2">
      <c r="B142" s="4" t="s">
        <v>2639</v>
      </c>
      <c r="C142" s="65" t="str">
        <f>sample_wld_rwr_vc_fqdn</f>
        <v>sfo-w01-vc01.sfo.rainpole.io</v>
      </c>
      <c r="D142" s="8" t="str">
        <f>wld_rwr_vc_fqdn</f>
        <v>Value Missing</v>
      </c>
      <c r="E142" s="8"/>
    </row>
    <row r="143" spans="2:5" ht="20" customHeight="1" x14ac:dyDescent="0.2">
      <c r="B143" s="4" t="s">
        <v>2853</v>
      </c>
      <c r="C143" s="65" t="str">
        <f>sample_wld_datacenter</f>
        <v>sfo-w01-dc</v>
      </c>
      <c r="D143" s="66"/>
      <c r="E143" s="8"/>
    </row>
    <row r="144" spans="2:5" ht="20" customHeight="1" x14ac:dyDescent="0.2">
      <c r="B144" s="4" t="s">
        <v>2389</v>
      </c>
      <c r="C144" s="65" t="str">
        <f>(CONCATENATE(sample_wld_sddc_domain,"-fd-workload"))</f>
        <v>sfo-w01-fd-workload</v>
      </c>
      <c r="D144" s="66"/>
      <c r="E144" s="8"/>
    </row>
    <row r="146" spans="2:5" ht="34" customHeight="1" x14ac:dyDescent="0.2">
      <c r="B146" s="560" t="s">
        <v>2854</v>
      </c>
      <c r="C146" s="561"/>
      <c r="D146" s="561"/>
      <c r="E146" s="562"/>
    </row>
    <row r="148" spans="2:5" ht="32" customHeight="1" x14ac:dyDescent="0.2">
      <c r="B148" s="560" t="s">
        <v>2855</v>
      </c>
      <c r="C148" s="561"/>
      <c r="D148" s="561"/>
      <c r="E148" s="562"/>
    </row>
    <row r="149" spans="2:5" ht="20" customHeight="1" x14ac:dyDescent="0.2">
      <c r="B149" s="563"/>
      <c r="C149" s="564"/>
      <c r="D149" s="564"/>
      <c r="E149" s="565"/>
    </row>
    <row r="150" spans="2:5" ht="20" customHeight="1" x14ac:dyDescent="0.2">
      <c r="B150" s="63" t="s">
        <v>18</v>
      </c>
      <c r="C150" s="63" t="s">
        <v>19</v>
      </c>
      <c r="D150" s="63" t="s">
        <v>20</v>
      </c>
      <c r="E150" s="63" t="s">
        <v>21</v>
      </c>
    </row>
    <row r="151" spans="2:5" ht="20" customHeight="1" x14ac:dyDescent="0.2">
      <c r="B151" s="4" t="s">
        <v>2639</v>
      </c>
      <c r="C151" s="65" t="str">
        <f>sample_wld_rwr_vc_fqdn</f>
        <v>sfo-w01-vc01.sfo.rainpole.io</v>
      </c>
      <c r="D151" s="8" t="str">
        <f>wld_rwr_vc_fqdn</f>
        <v>Value Missing</v>
      </c>
      <c r="E151" s="8"/>
    </row>
    <row r="152" spans="2:5" ht="20" customHeight="1" x14ac:dyDescent="0.2">
      <c r="B152" s="4" t="s">
        <v>2547</v>
      </c>
      <c r="C152" s="65" t="str">
        <f>sample_wld_rwr_vc_fqdn</f>
        <v>sfo-w01-vc01.sfo.rainpole.io</v>
      </c>
      <c r="D152" s="8" t="str">
        <f>wld_rwr_vc_fqdn</f>
        <v>Value Missing</v>
      </c>
      <c r="E152" s="8"/>
    </row>
    <row r="153" spans="2:5" ht="20" customHeight="1" x14ac:dyDescent="0.2">
      <c r="B153" s="4" t="s">
        <v>2484</v>
      </c>
      <c r="C153" s="65" t="str">
        <f>CONCATENATE(other_instance,"-w01-vc01.",other_instance,".",sample_parent_dns_zone)</f>
        <v>lax-w01-vc01.lax.rainpole.io</v>
      </c>
      <c r="D153" s="66"/>
      <c r="E153" s="8"/>
    </row>
    <row r="154" spans="2:5" ht="20" customHeight="1" x14ac:dyDescent="0.2">
      <c r="B154" s="4" t="s">
        <v>79</v>
      </c>
      <c r="C154" s="65" t="s">
        <v>2856</v>
      </c>
      <c r="D154" s="8" t="str">
        <f>CONCATENATE(wld_vlr_replication_user,"@",rwr_sso_domain_name)</f>
        <v>Value Missing@Value Missing</v>
      </c>
      <c r="E154" s="8"/>
    </row>
    <row r="155" spans="2:5" ht="20" customHeight="1" x14ac:dyDescent="0.2">
      <c r="B155" s="4" t="s">
        <v>30</v>
      </c>
      <c r="C155" s="65" t="s">
        <v>139</v>
      </c>
      <c r="D155" s="8" t="str">
        <f>rwr_vlr_replication_password</f>
        <v>Value Missing</v>
      </c>
      <c r="E155" s="8"/>
    </row>
    <row r="156" spans="2:5" ht="20" customHeight="1" x14ac:dyDescent="0.2">
      <c r="B156" s="4" t="s">
        <v>2550</v>
      </c>
      <c r="C156" s="65" t="str">
        <f>sample_wld_rwr_recovery_site_vc_fqdn</f>
        <v>lax-w01-vc01.lax.rainpole.io</v>
      </c>
      <c r="D156" s="8" t="str">
        <f t="array" ref="D156">wld_rwr_recovery_site_vc_fqdn</f>
        <v>Value Missing</v>
      </c>
      <c r="E156" s="8"/>
    </row>
    <row r="157" spans="2:5" ht="20" customHeight="1" x14ac:dyDescent="0.2">
      <c r="B157" s="346"/>
      <c r="C157" s="173"/>
      <c r="D157" s="1"/>
    </row>
    <row r="158" spans="2:5" ht="34" customHeight="1" x14ac:dyDescent="0.2">
      <c r="B158" s="560" t="s">
        <v>2855</v>
      </c>
      <c r="C158" s="561"/>
      <c r="D158" s="561"/>
      <c r="E158" s="562"/>
    </row>
    <row r="159" spans="2:5" ht="20" customHeight="1" x14ac:dyDescent="0.2">
      <c r="B159" s="563"/>
      <c r="C159" s="564"/>
      <c r="D159" s="564"/>
      <c r="E159" s="565"/>
    </row>
    <row r="160" spans="2:5" ht="20" customHeight="1" x14ac:dyDescent="0.2">
      <c r="B160" s="63" t="s">
        <v>18</v>
      </c>
      <c r="C160" s="63" t="s">
        <v>19</v>
      </c>
      <c r="D160" s="63" t="s">
        <v>20</v>
      </c>
      <c r="E160" s="63" t="s">
        <v>21</v>
      </c>
    </row>
    <row r="161" spans="2:5" ht="20" customHeight="1" x14ac:dyDescent="0.2">
      <c r="B161" s="338" t="s">
        <v>2639</v>
      </c>
      <c r="C161" s="65" t="str">
        <f>sample_wld_rwr_vc_fqdn</f>
        <v>sfo-w01-vc01.sfo.rainpole.io</v>
      </c>
      <c r="D161" s="8" t="str">
        <f>wld_rwr_vc_fqdn</f>
        <v>Value Missing</v>
      </c>
      <c r="E161" s="8"/>
    </row>
    <row r="162" spans="2:5" ht="20" customHeight="1" x14ac:dyDescent="0.2">
      <c r="B162" s="338" t="s">
        <v>1415</v>
      </c>
      <c r="C162" s="65" t="str">
        <f>sample_wld_rwr_vc_fqdn</f>
        <v>sfo-w01-vc01.sfo.rainpole.io</v>
      </c>
      <c r="D162" s="8" t="str">
        <f>wld_rwr_vc_fqdn</f>
        <v>Value Missing</v>
      </c>
      <c r="E162" s="8"/>
    </row>
    <row r="163" spans="2:5" ht="20" customHeight="1" x14ac:dyDescent="0.2">
      <c r="B163" s="338" t="s">
        <v>2670</v>
      </c>
      <c r="C163" s="65" t="s">
        <v>2671</v>
      </c>
      <c r="D163" s="66"/>
      <c r="E163" s="8"/>
    </row>
    <row r="164" spans="2:5" ht="20" customHeight="1" x14ac:dyDescent="0.2">
      <c r="B164" s="338" t="s">
        <v>2857</v>
      </c>
      <c r="C164" s="65" t="s">
        <v>2671</v>
      </c>
      <c r="D164" s="66"/>
      <c r="E164" s="8"/>
    </row>
    <row r="166" spans="2:5" ht="32" customHeight="1" x14ac:dyDescent="0.2">
      <c r="B166" s="560" t="s">
        <v>2858</v>
      </c>
      <c r="C166" s="561"/>
      <c r="D166" s="561"/>
      <c r="E166" s="562"/>
    </row>
    <row r="167" spans="2:5" ht="20" customHeight="1" x14ac:dyDescent="0.2">
      <c r="B167" s="563"/>
      <c r="C167" s="564"/>
      <c r="D167" s="564"/>
      <c r="E167" s="565"/>
    </row>
    <row r="168" spans="2:5" ht="20" customHeight="1" x14ac:dyDescent="0.2">
      <c r="B168" s="63" t="s">
        <v>18</v>
      </c>
      <c r="C168" s="63" t="s">
        <v>19</v>
      </c>
      <c r="D168" s="63" t="s">
        <v>20</v>
      </c>
      <c r="E168" s="63" t="s">
        <v>21</v>
      </c>
    </row>
    <row r="169" spans="2:5" ht="20" customHeight="1" x14ac:dyDescent="0.2">
      <c r="B169" s="4" t="s">
        <v>2639</v>
      </c>
      <c r="C169" s="65" t="str">
        <f>sample_wld_rwr_vc_fqdn</f>
        <v>sfo-w01-vc01.sfo.rainpole.io</v>
      </c>
      <c r="D169" s="8" t="str">
        <f>wld_rwr_vc_fqdn</f>
        <v>Value Missing</v>
      </c>
      <c r="E169" s="8"/>
    </row>
    <row r="170" spans="2:5" ht="20" customHeight="1" x14ac:dyDescent="0.2">
      <c r="B170" s="4" t="s">
        <v>2674</v>
      </c>
      <c r="C170" s="65" t="str">
        <f>(CONCATENATE(sample_wld_vc_fqdn,"&lt;-&gt;",sample_wld_rwr_recovery_site_vc_fqdn))</f>
        <v>sfo-w01-vc01.sfo.rainpole.io&lt;-&gt;lax-w01-vc01.lax.rainpole.io</v>
      </c>
      <c r="D170" s="66"/>
      <c r="E170" s="8"/>
    </row>
    <row r="171" spans="2:5" ht="20" customHeight="1" x14ac:dyDescent="0.2">
      <c r="B171" s="4" t="s">
        <v>2859</v>
      </c>
      <c r="C171" s="65" t="str">
        <f>(CONCATENATE(sample_wld_rwr_cl02_vds01,"&lt;-&gt;",sample_wld_cl01_az1_mgmt_vm_pg))</f>
        <v>sfo-w01-cl01-vds01&lt;-&gt;sfo-w01-cl01-vds01-pg-vm-mgmt</v>
      </c>
      <c r="D171" s="66"/>
      <c r="E171" s="8"/>
    </row>
    <row r="172" spans="2:5" ht="20" customHeight="1" x14ac:dyDescent="0.2">
      <c r="B172" s="4" t="s">
        <v>2860</v>
      </c>
      <c r="C172" s="65" t="str">
        <f>_xlfn.CONCAT(other_instance,"-w01","-cl02-vds01","&lt;-&gt;",CONCATENATE(other_instance,"-w01-seg01-","rwr-ire"))</f>
        <v>lax-w01-cl02-vds01&lt;-&gt;lax-w01-seg01-rwr-ire</v>
      </c>
      <c r="D172" s="66"/>
      <c r="E172" s="8" t="s">
        <v>2861</v>
      </c>
    </row>
    <row r="173" spans="2:5" ht="20" customHeight="1" x14ac:dyDescent="0.2">
      <c r="B173" s="4" t="s">
        <v>2862</v>
      </c>
      <c r="C173" s="65" t="str">
        <f>(CONCATENATE(sample_wld_datacenter,"&lt;-&gt;",sample_wld_rwr_recoverysite_fd))</f>
        <v>sfo-w01-dc&lt;-&gt;sfo-w01-fd-workload</v>
      </c>
      <c r="D173" s="8" t="str">
        <f>CONCATENATE(rwr_datacenter, "&lt;-&gt;",wld_rwr_recoverysite_fd)</f>
        <v>Value Missing&lt;-&gt;Value Missing</v>
      </c>
      <c r="E173" s="8"/>
    </row>
    <row r="174" spans="2:5" ht="20" customHeight="1" x14ac:dyDescent="0.2">
      <c r="B174" s="4" t="s">
        <v>2863</v>
      </c>
      <c r="C174" s="65" t="str">
        <f>_xlfn.CONCAT(other_instance,"-w01","dc","&lt;-&gt;",other_instance,"-w01","-fd","-workload")</f>
        <v>lax-w01dc&lt;-&gt;lax-w01-fd-workload</v>
      </c>
      <c r="D174" s="66"/>
      <c r="E174" s="8"/>
    </row>
    <row r="175" spans="2:5" ht="20" customHeight="1" x14ac:dyDescent="0.2">
      <c r="B175" s="4" t="s">
        <v>2864</v>
      </c>
      <c r="C175" s="65" t="str">
        <f>(CONCATENATE(sample_rwr_datacenter,"&lt;-&gt;",sample_wld_rwr_cl02_cluster))</f>
        <v>sfo-w01-dc&lt;-&gt;sfo-w01-cl01</v>
      </c>
      <c r="D175" s="8" t="str">
        <f>CONCATENATE(rwr_datacenter, "&lt;-&gt;",wld_rwr_cl02_cluster)</f>
        <v>Value Missing&lt;-&gt;Value Missing</v>
      </c>
      <c r="E175" s="8"/>
    </row>
    <row r="176" spans="2:5" ht="20" customHeight="1" x14ac:dyDescent="0.2">
      <c r="B176" s="4" t="s">
        <v>2865</v>
      </c>
      <c r="C176" s="65" t="str">
        <f>_xlfn.CONCAT(other_instance,"-w01","-dc","&lt;-&gt;",other_instance,"-w01","-cl02")</f>
        <v>lax-w01-dc&lt;-&gt;lax-w01-cl02</v>
      </c>
      <c r="D176" s="66"/>
      <c r="E176" s="8"/>
    </row>
    <row r="178" spans="2:5" ht="32" customHeight="1" x14ac:dyDescent="0.2">
      <c r="B178" s="560" t="s">
        <v>2866</v>
      </c>
      <c r="C178" s="561"/>
      <c r="D178" s="561"/>
      <c r="E178" s="562"/>
    </row>
    <row r="179" spans="2:5" ht="20" customHeight="1" x14ac:dyDescent="0.2">
      <c r="B179" s="563"/>
      <c r="C179" s="564"/>
      <c r="D179" s="564"/>
      <c r="E179" s="565"/>
    </row>
    <row r="180" spans="2:5" ht="20" customHeight="1" x14ac:dyDescent="0.2">
      <c r="B180" s="63" t="s">
        <v>18</v>
      </c>
      <c r="C180" s="63" t="s">
        <v>19</v>
      </c>
      <c r="D180" s="63" t="s">
        <v>20</v>
      </c>
      <c r="E180" s="63" t="s">
        <v>21</v>
      </c>
    </row>
    <row r="181" spans="2:5" ht="20" customHeight="1" x14ac:dyDescent="0.2">
      <c r="B181" s="4" t="s">
        <v>2646</v>
      </c>
      <c r="C181" s="65" t="str">
        <f>sample_wld_vlr_fqdn</f>
        <v>sfo-w01-vlr01.sfo.rainpole.io</v>
      </c>
      <c r="D181" s="8" t="str">
        <f>CONCATENATE(wld_vlr_fqdn,"/dr")</f>
        <v>Value Missing.Value Missing/dr</v>
      </c>
      <c r="E181" s="8"/>
    </row>
    <row r="182" spans="2:5" ht="20" customHeight="1" x14ac:dyDescent="0.2">
      <c r="B182" s="4" t="s">
        <v>2674</v>
      </c>
      <c r="C182" s="65" t="str">
        <f>(CONCATENATE(sample_wld_vc_fqdn,"&lt;-&gt;",sample_wld_rwr_recovery_site_vc_fqdn))</f>
        <v>sfo-w01-vc01.sfo.rainpole.io&lt;-&gt;lax-w01-vc01.lax.rainpole.io</v>
      </c>
      <c r="D182" s="66"/>
      <c r="E182" s="8"/>
    </row>
    <row r="183" spans="2:5" ht="20" customHeight="1" x14ac:dyDescent="0.2">
      <c r="B183" s="4" t="s">
        <v>2682</v>
      </c>
      <c r="C183" s="65" t="s">
        <v>2867</v>
      </c>
      <c r="D183" s="66"/>
      <c r="E183" s="8"/>
    </row>
    <row r="184" spans="2:5" ht="20" customHeight="1" x14ac:dyDescent="0.2">
      <c r="B184" s="4" t="s">
        <v>2683</v>
      </c>
      <c r="C184" s="65" t="str">
        <f>CONCATENATE(other_instance,"-w01","-cl01-vsan01")</f>
        <v>lax-w01-cl01-vsan01</v>
      </c>
      <c r="D184" s="66"/>
      <c r="E184" s="8"/>
    </row>
    <row r="185" spans="2:5" ht="20" customHeight="1" x14ac:dyDescent="0.2">
      <c r="B185" s="4" t="s">
        <v>2684</v>
      </c>
      <c r="C185" s="65" t="s">
        <v>2868</v>
      </c>
      <c r="D185" s="66"/>
      <c r="E185" s="8" t="s">
        <v>2869</v>
      </c>
    </row>
    <row r="186" spans="2:5" ht="20" customHeight="1" x14ac:dyDescent="0.2">
      <c r="B186" s="4" t="s">
        <v>2870</v>
      </c>
      <c r="C186" s="65">
        <v>200</v>
      </c>
      <c r="D186" s="66"/>
      <c r="E186" s="8" t="s">
        <v>2869</v>
      </c>
    </row>
    <row r="187" spans="2:5" ht="20" customHeight="1" x14ac:dyDescent="0.2">
      <c r="B187" s="4" t="s">
        <v>2685</v>
      </c>
      <c r="C187" s="65" t="s">
        <v>2871</v>
      </c>
      <c r="D187" s="66"/>
      <c r="E187" s="8"/>
    </row>
    <row r="188" spans="2:5" ht="20" customHeight="1" x14ac:dyDescent="0.2">
      <c r="B188" s="4" t="s">
        <v>2687</v>
      </c>
      <c r="C188" s="65" t="s">
        <v>2872</v>
      </c>
      <c r="D188" s="66"/>
      <c r="E188" s="8"/>
    </row>
    <row r="190" spans="2:5" ht="32" customHeight="1" x14ac:dyDescent="0.2">
      <c r="B190" s="560" t="s">
        <v>2873</v>
      </c>
      <c r="C190" s="561"/>
      <c r="D190" s="561"/>
      <c r="E190" s="562"/>
    </row>
    <row r="191" spans="2:5" ht="20" customHeight="1" x14ac:dyDescent="0.2">
      <c r="B191" s="563"/>
      <c r="C191" s="564"/>
      <c r="D191" s="564"/>
      <c r="E191" s="565"/>
    </row>
    <row r="192" spans="2:5" ht="20" customHeight="1" x14ac:dyDescent="0.2">
      <c r="B192" s="63" t="s">
        <v>18</v>
      </c>
      <c r="C192" s="63" t="s">
        <v>19</v>
      </c>
      <c r="D192" s="63" t="s">
        <v>20</v>
      </c>
      <c r="E192" s="63" t="s">
        <v>21</v>
      </c>
    </row>
    <row r="193" spans="2:5" ht="20" customHeight="1" x14ac:dyDescent="0.2">
      <c r="B193" s="4" t="s">
        <v>2874</v>
      </c>
      <c r="C193" s="65" t="str">
        <f>sample_wld_rwr_recovery_site_vc_fqdn</f>
        <v>lax-w01-vc01.lax.rainpole.io</v>
      </c>
      <c r="D193" s="66"/>
      <c r="E193" s="8"/>
    </row>
    <row r="194" spans="2:5" ht="20" customHeight="1" x14ac:dyDescent="0.2">
      <c r="B194" s="4" t="s">
        <v>2875</v>
      </c>
      <c r="C194" s="65" t="str">
        <f>CONCATENATE(other_instance,"-w01-seg01-","rwr-ire")</f>
        <v>lax-w01-seg01-rwr-ire</v>
      </c>
      <c r="D194" s="66"/>
      <c r="E194" s="8"/>
    </row>
    <row r="196" spans="2:5" ht="32" customHeight="1" x14ac:dyDescent="0.2">
      <c r="B196" s="560" t="s">
        <v>2604</v>
      </c>
      <c r="C196" s="561"/>
      <c r="D196" s="561"/>
      <c r="E196" s="562"/>
    </row>
    <row r="198" spans="2:5" ht="32" customHeight="1" x14ac:dyDescent="0.2">
      <c r="B198" s="560" t="s">
        <v>2876</v>
      </c>
      <c r="C198" s="561"/>
      <c r="D198" s="561"/>
      <c r="E198" s="562"/>
    </row>
    <row r="199" spans="2:5" ht="20" customHeight="1" x14ac:dyDescent="0.2">
      <c r="B199" s="563"/>
      <c r="C199" s="564"/>
      <c r="D199" s="564"/>
      <c r="E199" s="565"/>
    </row>
    <row r="200" spans="2:5" ht="20" customHeight="1" x14ac:dyDescent="0.2">
      <c r="B200" s="63" t="s">
        <v>18</v>
      </c>
      <c r="C200" s="63" t="s">
        <v>19</v>
      </c>
      <c r="D200" s="63" t="s">
        <v>20</v>
      </c>
      <c r="E200" s="63" t="s">
        <v>21</v>
      </c>
    </row>
    <row r="201" spans="2:5" ht="20" customHeight="1" x14ac:dyDescent="0.2">
      <c r="B201" s="4" t="s">
        <v>2639</v>
      </c>
      <c r="C201" s="65" t="str">
        <f>sample_wld_rwr_vc_fqdn</f>
        <v>sfo-w01-vc01.sfo.rainpole.io</v>
      </c>
      <c r="D201" s="8" t="str">
        <f>wld_rwr_vc_fqdn</f>
        <v>Value Missing</v>
      </c>
      <c r="E201" s="8"/>
    </row>
    <row r="202" spans="2:5" ht="20" customHeight="1" x14ac:dyDescent="0.2">
      <c r="B202" s="4" t="s">
        <v>2351</v>
      </c>
      <c r="C202" s="65" t="str">
        <f>sample_rwr_sso_domain_name</f>
        <v>sfo-w01.local</v>
      </c>
      <c r="D202" s="8" t="str">
        <f>rwr_sso_domain_name</f>
        <v>Value Missing</v>
      </c>
      <c r="E202" s="8"/>
    </row>
    <row r="203" spans="2:5" ht="20" customHeight="1" x14ac:dyDescent="0.2">
      <c r="B203" s="4" t="s">
        <v>2877</v>
      </c>
      <c r="C203" s="65" t="str">
        <f>CONCATENATE(this_instance,"-svc-vcfops-vlsr")</f>
        <v>sfo-svc-vcfops-vlsr</v>
      </c>
      <c r="D203" s="66"/>
      <c r="E203" s="8" t="s">
        <v>2759</v>
      </c>
    </row>
    <row r="204" spans="2:5" ht="20" customHeight="1" x14ac:dyDescent="0.2">
      <c r="B204" s="4" t="s">
        <v>2878</v>
      </c>
      <c r="C204" s="65" t="s">
        <v>139</v>
      </c>
      <c r="D204" s="66"/>
      <c r="E204" s="8"/>
    </row>
    <row r="205" spans="2:5" ht="20" customHeight="1" x14ac:dyDescent="0.2">
      <c r="B205" s="4" t="s">
        <v>2641</v>
      </c>
      <c r="C205" s="65" t="str">
        <f>CONCATENATE(this_instance,"-svc-vcfops-vr")</f>
        <v>sfo-svc-vcfops-vr</v>
      </c>
      <c r="D205" s="66"/>
      <c r="E205" s="8"/>
    </row>
    <row r="206" spans="2:5" ht="20" customHeight="1" x14ac:dyDescent="0.2">
      <c r="B206" s="4" t="s">
        <v>2642</v>
      </c>
      <c r="C206" s="65" t="s">
        <v>139</v>
      </c>
      <c r="D206" s="66"/>
      <c r="E206" s="8"/>
    </row>
    <row r="208" spans="2:5" ht="32" customHeight="1" x14ac:dyDescent="0.2">
      <c r="B208" s="560" t="s">
        <v>2879</v>
      </c>
      <c r="C208" s="561"/>
      <c r="D208" s="561"/>
      <c r="E208" s="562"/>
    </row>
    <row r="209" spans="2:5" ht="20" customHeight="1" x14ac:dyDescent="0.2">
      <c r="B209" s="563"/>
      <c r="C209" s="564"/>
      <c r="D209" s="564"/>
      <c r="E209" s="565"/>
    </row>
    <row r="210" spans="2:5" ht="20" customHeight="1" x14ac:dyDescent="0.2">
      <c r="B210" s="63" t="s">
        <v>18</v>
      </c>
      <c r="C210" s="63" t="s">
        <v>19</v>
      </c>
      <c r="D210" s="63" t="s">
        <v>20</v>
      </c>
      <c r="E210" s="63" t="s">
        <v>21</v>
      </c>
    </row>
    <row r="211" spans="2:5" ht="20" customHeight="1" x14ac:dyDescent="0.2">
      <c r="B211" s="4" t="s">
        <v>2639</v>
      </c>
      <c r="C211" s="65" t="str">
        <f>sample_wld_rwr_vc_fqdn</f>
        <v>sfo-w01-vc01.sfo.rainpole.io</v>
      </c>
      <c r="D211" s="8" t="str">
        <f>wld_rwr_vc_fqdn</f>
        <v>Value Missing</v>
      </c>
      <c r="E211" s="8"/>
    </row>
    <row r="212" spans="2:5" ht="20" customHeight="1" x14ac:dyDescent="0.2">
      <c r="B212" s="4" t="s">
        <v>2351</v>
      </c>
      <c r="C212" s="65" t="str">
        <f>sample_rwr_sso_domain_name</f>
        <v>sfo-w01.local</v>
      </c>
      <c r="D212" s="8" t="str">
        <f>rwr_sso_domain_name</f>
        <v>Value Missing</v>
      </c>
      <c r="E212" s="8"/>
    </row>
    <row r="213" spans="2:5" ht="20" customHeight="1" x14ac:dyDescent="0.2">
      <c r="B213" s="4" t="s">
        <v>2880</v>
      </c>
      <c r="C213" s="65" t="s">
        <v>2759</v>
      </c>
      <c r="D213" s="66"/>
      <c r="E213" s="8"/>
    </row>
    <row r="214" spans="2:5" ht="20" customHeight="1" x14ac:dyDescent="0.2">
      <c r="B214" s="4" t="s">
        <v>2881</v>
      </c>
      <c r="C214" s="65" t="s">
        <v>2767</v>
      </c>
      <c r="D214" s="66"/>
      <c r="E214" s="8"/>
    </row>
    <row r="215" spans="2:5" ht="20" customHeight="1" x14ac:dyDescent="0.2">
      <c r="B215" s="4" t="s">
        <v>2882</v>
      </c>
      <c r="C215" s="65" t="s">
        <v>2762</v>
      </c>
      <c r="D215" s="66"/>
      <c r="E215" s="8"/>
    </row>
    <row r="216" spans="2:5" ht="20" customHeight="1" x14ac:dyDescent="0.2">
      <c r="B216" s="4" t="s">
        <v>2883</v>
      </c>
      <c r="C216" s="65" t="s">
        <v>2770</v>
      </c>
      <c r="D216" s="66"/>
      <c r="E216" s="8"/>
    </row>
    <row r="218" spans="2:5" ht="32" customHeight="1" x14ac:dyDescent="0.2">
      <c r="B218" s="560" t="s">
        <v>2884</v>
      </c>
      <c r="C218" s="561"/>
      <c r="D218" s="561"/>
      <c r="E218" s="562"/>
    </row>
    <row r="219" spans="2:5" ht="20" customHeight="1" x14ac:dyDescent="0.2">
      <c r="B219" s="563"/>
      <c r="C219" s="564"/>
      <c r="D219" s="564"/>
      <c r="E219" s="565"/>
    </row>
    <row r="220" spans="2:5" ht="20" customHeight="1" x14ac:dyDescent="0.2">
      <c r="B220" s="63" t="s">
        <v>18</v>
      </c>
      <c r="C220" s="63" t="s">
        <v>19</v>
      </c>
      <c r="D220" s="63" t="s">
        <v>20</v>
      </c>
      <c r="E220" s="63" t="s">
        <v>21</v>
      </c>
    </row>
    <row r="221" spans="2:5" ht="20" customHeight="1" x14ac:dyDescent="0.2">
      <c r="B221" s="4" t="s">
        <v>2620</v>
      </c>
      <c r="C221" s="65" t="str">
        <f>sample_xreg_vrops_virtual_fqdn</f>
        <v>flt-ops01.rainpole.io</v>
      </c>
      <c r="D221" s="66"/>
      <c r="E221" s="8"/>
    </row>
    <row r="222" spans="2:5" ht="20" customHeight="1" x14ac:dyDescent="0.2">
      <c r="B222" s="4" t="s">
        <v>2885</v>
      </c>
      <c r="C222" s="65" t="s">
        <v>2774</v>
      </c>
      <c r="D222" s="66"/>
      <c r="E222" s="8"/>
    </row>
    <row r="223" spans="2:5" x14ac:dyDescent="0.2">
      <c r="D223" s="1"/>
    </row>
    <row r="224" spans="2:5" ht="32" customHeight="1" x14ac:dyDescent="0.2">
      <c r="B224" s="560" t="s">
        <v>2886</v>
      </c>
      <c r="C224" s="561"/>
      <c r="D224" s="561"/>
      <c r="E224" s="562"/>
    </row>
    <row r="225" spans="2:5" ht="20" customHeight="1" x14ac:dyDescent="0.2">
      <c r="B225" s="563"/>
      <c r="C225" s="564"/>
      <c r="D225" s="564"/>
      <c r="E225" s="565"/>
    </row>
    <row r="226" spans="2:5" ht="20" customHeight="1" x14ac:dyDescent="0.2">
      <c r="B226" s="63" t="s">
        <v>18</v>
      </c>
      <c r="C226" s="63" t="s">
        <v>19</v>
      </c>
      <c r="D226" s="63" t="s">
        <v>20</v>
      </c>
      <c r="E226" s="63" t="s">
        <v>21</v>
      </c>
    </row>
    <row r="227" spans="2:5" ht="20" customHeight="1" x14ac:dyDescent="0.2">
      <c r="B227" s="4" t="s">
        <v>2620</v>
      </c>
      <c r="C227" s="65" t="str">
        <f>sample_xreg_vrops_virtual_fqdn</f>
        <v>flt-ops01.rainpole.io</v>
      </c>
      <c r="D227" s="66"/>
      <c r="E227" s="8"/>
    </row>
    <row r="228" spans="2:5" ht="20" customHeight="1" x14ac:dyDescent="0.2">
      <c r="B228" s="4" t="s">
        <v>254</v>
      </c>
      <c r="C228" s="65" t="str">
        <f>CONCATENATE(sample_wld_sddc_domain,"-vlsr")</f>
        <v>sfo-w01-vlsr</v>
      </c>
      <c r="D228" s="66"/>
      <c r="E228" s="8"/>
    </row>
    <row r="229" spans="2:5" ht="20" customHeight="1" x14ac:dyDescent="0.2">
      <c r="B229" s="4" t="s">
        <v>2887</v>
      </c>
      <c r="C229" s="65" t="str">
        <f>sample_wld_vlr_fqdn</f>
        <v>sfo-w01-vlr01.sfo.rainpole.io</v>
      </c>
      <c r="D229" s="66"/>
      <c r="E229" s="8"/>
    </row>
    <row r="230" spans="2:5" ht="20" customHeight="1" x14ac:dyDescent="0.2">
      <c r="B230" s="4" t="s">
        <v>2888</v>
      </c>
      <c r="C230" s="65">
        <v>443</v>
      </c>
      <c r="D230" s="66"/>
      <c r="E230" s="8"/>
    </row>
    <row r="231" spans="2:5" ht="20" customHeight="1" x14ac:dyDescent="0.2">
      <c r="B231" s="4" t="s">
        <v>2889</v>
      </c>
      <c r="C231" s="65" t="str">
        <f>sample_wld_rwr_vcfops_vlsr_username</f>
        <v>sfo-svc-vcfops-vlsr</v>
      </c>
      <c r="D231" s="8" t="str">
        <f>CONCATENATE(wld_rwr_vcfops_vlsr_username,"-cred")</f>
        <v>Value Missing-cred</v>
      </c>
      <c r="E231" s="8"/>
    </row>
    <row r="232" spans="2:5" ht="20" customHeight="1" x14ac:dyDescent="0.2">
      <c r="B232" s="4" t="s">
        <v>79</v>
      </c>
      <c r="C232" s="65" t="str">
        <f>CONCATENATE(sample_wld_rwr_vcfops_vlsr_username,"@",this_instance,"-w01.local")</f>
        <v>sfo-svc-vcfops-vlsr@sfo-w01.local</v>
      </c>
      <c r="D232" s="66"/>
      <c r="E232" s="8"/>
    </row>
    <row r="233" spans="2:5" ht="20" customHeight="1" x14ac:dyDescent="0.2">
      <c r="B233" s="4" t="s">
        <v>30</v>
      </c>
      <c r="C233" s="65" t="s">
        <v>139</v>
      </c>
      <c r="D233" s="66"/>
      <c r="E233" s="8"/>
    </row>
    <row r="234" spans="2:5" ht="20" customHeight="1" x14ac:dyDescent="0.2">
      <c r="B234" s="4" t="s">
        <v>2890</v>
      </c>
      <c r="C234" s="65" t="str">
        <f>CONCATENATE(sample_xreg_vrops_collector_fqdn, " or ", this_instance,"-m01-collector-group")</f>
        <v>sfo-cp01.sfo.rainpole.io or sfo-m01-collector-group</v>
      </c>
      <c r="D234" s="66"/>
      <c r="E234" s="8"/>
    </row>
    <row r="236" spans="2:5" ht="32" customHeight="1" x14ac:dyDescent="0.2">
      <c r="B236" s="560" t="s">
        <v>2891</v>
      </c>
      <c r="C236" s="561"/>
      <c r="D236" s="561"/>
      <c r="E236" s="562"/>
    </row>
    <row r="237" spans="2:5" ht="20" customHeight="1" x14ac:dyDescent="0.2">
      <c r="B237" s="563"/>
      <c r="C237" s="564"/>
      <c r="D237" s="564"/>
      <c r="E237" s="565"/>
    </row>
    <row r="238" spans="2:5" ht="20" customHeight="1" x14ac:dyDescent="0.2">
      <c r="B238" s="63" t="s">
        <v>18</v>
      </c>
      <c r="C238" s="63" t="s">
        <v>19</v>
      </c>
      <c r="D238" s="63" t="s">
        <v>20</v>
      </c>
      <c r="E238" s="63" t="s">
        <v>21</v>
      </c>
    </row>
    <row r="239" spans="2:5" ht="20" customHeight="1" x14ac:dyDescent="0.2">
      <c r="B239" s="4" t="s">
        <v>2620</v>
      </c>
      <c r="C239" s="65" t="str">
        <f>sample_xreg_vrops_virtual_fqdn</f>
        <v>flt-ops01.rainpole.io</v>
      </c>
      <c r="D239" s="66"/>
      <c r="E239" s="8"/>
    </row>
    <row r="240" spans="2:5" ht="20" customHeight="1" x14ac:dyDescent="0.2">
      <c r="B240" s="4" t="s">
        <v>254</v>
      </c>
      <c r="C240" s="65" t="str">
        <f>CONCATENATE(sample_wld_sddc_domain,"-vr")</f>
        <v>sfo-w01-vr</v>
      </c>
      <c r="D240" s="66"/>
      <c r="E240" s="8"/>
    </row>
    <row r="241" spans="2:5" ht="20" customHeight="1" x14ac:dyDescent="0.2">
      <c r="B241" s="4" t="s">
        <v>2892</v>
      </c>
      <c r="C241" s="65" t="str">
        <f>sample_wld_vc_fqdn</f>
        <v>sfo-w01-vc01.sfo.rainpole.io</v>
      </c>
      <c r="D241" s="66"/>
      <c r="E241" s="8"/>
    </row>
    <row r="242" spans="2:5" ht="20" customHeight="1" x14ac:dyDescent="0.2">
      <c r="B242" s="4" t="s">
        <v>2889</v>
      </c>
      <c r="C242" s="65" t="str">
        <f>sample_wld_rwr_vcfops_vr_username</f>
        <v>sfo-svc-vcfops-vr</v>
      </c>
      <c r="D242" s="8" t="str">
        <f>CONCATENATE(wld_rwr_vcfops_vr_username,"-cred")</f>
        <v>Value Missing-cred</v>
      </c>
      <c r="E242" s="8"/>
    </row>
    <row r="243" spans="2:5" ht="20" customHeight="1" x14ac:dyDescent="0.2">
      <c r="B243" s="4" t="s">
        <v>79</v>
      </c>
      <c r="C243" s="65" t="str">
        <f>CONCATENATE(sample_wld_rwr_vcfops_vr_username,,"@",this_instance,"-w01.local")</f>
        <v>sfo-svc-vcfops-vr@sfo-w01.local</v>
      </c>
      <c r="D243" s="66"/>
      <c r="E243" s="8"/>
    </row>
    <row r="244" spans="2:5" ht="20" customHeight="1" x14ac:dyDescent="0.2">
      <c r="B244" s="4" t="s">
        <v>30</v>
      </c>
      <c r="C244" s="65" t="s">
        <v>139</v>
      </c>
      <c r="D244" s="66"/>
      <c r="E244" s="8"/>
    </row>
    <row r="245" spans="2:5" ht="20" customHeight="1" x14ac:dyDescent="0.2">
      <c r="B245" s="4" t="s">
        <v>2890</v>
      </c>
      <c r="C245" s="65" t="str">
        <f>CONCATENATE(sample_xreg_vrops_collector_fqdn, " or ", this_instance,"-m01-collector-group")</f>
        <v>sfo-cp01.sfo.rainpole.io or sfo-m01-collector-group</v>
      </c>
      <c r="D245" s="66"/>
      <c r="E245" s="8"/>
    </row>
    <row r="247" spans="2:5" ht="32" customHeight="1" x14ac:dyDescent="0.2">
      <c r="B247" s="560" t="s">
        <v>2893</v>
      </c>
      <c r="C247" s="561"/>
      <c r="D247" s="561"/>
      <c r="E247" s="562"/>
    </row>
    <row r="248" spans="2:5" ht="20" customHeight="1" x14ac:dyDescent="0.2">
      <c r="B248" s="563"/>
      <c r="C248" s="564"/>
      <c r="D248" s="564"/>
      <c r="E248" s="565"/>
    </row>
    <row r="249" spans="2:5" ht="20" customHeight="1" x14ac:dyDescent="0.2">
      <c r="B249" s="63" t="s">
        <v>18</v>
      </c>
      <c r="C249" s="63" t="s">
        <v>19</v>
      </c>
      <c r="D249" s="63" t="s">
        <v>20</v>
      </c>
      <c r="E249" s="63" t="s">
        <v>21</v>
      </c>
    </row>
    <row r="250" spans="2:5" ht="20" customHeight="1" x14ac:dyDescent="0.2">
      <c r="B250" s="4" t="s">
        <v>2620</v>
      </c>
      <c r="C250" s="65" t="str">
        <f>sample_xreg_vrops_virtual_fqdn</f>
        <v>flt-ops01.rainpole.io</v>
      </c>
      <c r="D250" s="66"/>
      <c r="E250" s="8"/>
    </row>
  </sheetData>
  <sheetProtection algorithmName="SHA-512" hashValue="iacMSgUWBHRB39u4LbCN3i50gTgYeMakG3W53L/L9eFAezNKpyMSNpCPvDWKEOrp/o1G7q4JE7pgeMByM5FSHg==" saltValue="VQWS18zKOnNOlFBtfs29Fw==" spinCount="100000" sheet="1" selectLockedCells="1"/>
  <mergeCells count="50">
    <mergeCell ref="B248:E248"/>
    <mergeCell ref="B198:E198"/>
    <mergeCell ref="B199:E199"/>
    <mergeCell ref="B208:E208"/>
    <mergeCell ref="B209:E209"/>
    <mergeCell ref="B218:E218"/>
    <mergeCell ref="B219:E219"/>
    <mergeCell ref="B224:E224"/>
    <mergeCell ref="B225:E225"/>
    <mergeCell ref="B236:E236"/>
    <mergeCell ref="B237:E237"/>
    <mergeCell ref="B247:E247"/>
    <mergeCell ref="B196:E196"/>
    <mergeCell ref="B146:E146"/>
    <mergeCell ref="B148:E148"/>
    <mergeCell ref="B149:E149"/>
    <mergeCell ref="B166:E166"/>
    <mergeCell ref="B167:E167"/>
    <mergeCell ref="B178:E178"/>
    <mergeCell ref="B179:E179"/>
    <mergeCell ref="B190:E190"/>
    <mergeCell ref="B191:E191"/>
    <mergeCell ref="B158:E158"/>
    <mergeCell ref="B159:E159"/>
    <mergeCell ref="B140:E140"/>
    <mergeCell ref="B66:E66"/>
    <mergeCell ref="B67:E67"/>
    <mergeCell ref="B74:E74"/>
    <mergeCell ref="B75:E75"/>
    <mergeCell ref="B93:E93"/>
    <mergeCell ref="B94:E94"/>
    <mergeCell ref="B115:E115"/>
    <mergeCell ref="B116:E116"/>
    <mergeCell ref="B139:E139"/>
    <mergeCell ref="B124:E124"/>
    <mergeCell ref="B128:E128"/>
    <mergeCell ref="B133:E133"/>
    <mergeCell ref="B119:E119"/>
    <mergeCell ref="B55:E55"/>
    <mergeCell ref="B2:E2"/>
    <mergeCell ref="B3:E3"/>
    <mergeCell ref="B7:E7"/>
    <mergeCell ref="B26:E26"/>
    <mergeCell ref="B27:E27"/>
    <mergeCell ref="B6:E6"/>
    <mergeCell ref="B39:E39"/>
    <mergeCell ref="B40:E40"/>
    <mergeCell ref="B54:E54"/>
    <mergeCell ref="B47:E47"/>
    <mergeCell ref="B48:E48"/>
  </mergeCells>
  <conditionalFormatting sqref="D9:D24">
    <cfRule type="notContainsBlanks" dxfId="322" priority="31">
      <formula>LEN(TRIM(D9))&gt;0</formula>
    </cfRule>
    <cfRule type="containsBlanks" dxfId="321" priority="32">
      <formula>LEN(TRIM(D9))=0</formula>
    </cfRule>
  </conditionalFormatting>
  <conditionalFormatting sqref="D29:D37">
    <cfRule type="notContainsBlanks" dxfId="319" priority="34">
      <formula>LEN(TRIM(D29))&gt;0</formula>
    </cfRule>
    <cfRule type="containsBlanks" dxfId="318" priority="35">
      <formula>LEN(TRIM(D29))=0</formula>
    </cfRule>
  </conditionalFormatting>
  <conditionalFormatting sqref="D42:D45">
    <cfRule type="notContainsBlanks" dxfId="316" priority="37">
      <formula>LEN(TRIM(D42))&gt;0</formula>
    </cfRule>
    <cfRule type="containsBlanks" dxfId="315" priority="38">
      <formula>LEN(TRIM(D42))=0</formula>
    </cfRule>
  </conditionalFormatting>
  <conditionalFormatting sqref="D50:D52">
    <cfRule type="notContainsBlanks" dxfId="313" priority="2">
      <formula>LEN(TRIM(D50))&gt;0</formula>
    </cfRule>
    <cfRule type="containsBlanks" dxfId="312" priority="3">
      <formula>LEN(TRIM(D50))=0</formula>
    </cfRule>
  </conditionalFormatting>
  <conditionalFormatting sqref="D57:D64">
    <cfRule type="notContainsBlanks" dxfId="310" priority="43">
      <formula>LEN(TRIM(D57))&gt;0</formula>
    </cfRule>
    <cfRule type="containsBlanks" dxfId="309" priority="44">
      <formula>LEN(TRIM(D57))=0</formula>
    </cfRule>
  </conditionalFormatting>
  <conditionalFormatting sqref="D69:D72">
    <cfRule type="notContainsBlanks" dxfId="307" priority="49">
      <formula>LEN(TRIM(D69))&gt;0</formula>
    </cfRule>
    <cfRule type="containsBlanks" dxfId="306" priority="50">
      <formula>LEN(TRIM(D69))=0</formula>
    </cfRule>
  </conditionalFormatting>
  <conditionalFormatting sqref="D77:D91">
    <cfRule type="notContainsBlanks" dxfId="304" priority="52">
      <formula>LEN(TRIM(D77))&gt;0</formula>
    </cfRule>
    <cfRule type="containsBlanks" dxfId="303" priority="53">
      <formula>LEN(TRIM(D77))=0</formula>
    </cfRule>
  </conditionalFormatting>
  <conditionalFormatting sqref="D96:D113">
    <cfRule type="notContainsBlanks" dxfId="301" priority="55">
      <formula>LEN(TRIM(D96))&gt;0</formula>
    </cfRule>
    <cfRule type="containsBlanks" dxfId="300" priority="56">
      <formula>LEN(TRIM(D96))=0</formula>
    </cfRule>
  </conditionalFormatting>
  <conditionalFormatting sqref="D118 D120:D123 D125:D132 D134:D137">
    <cfRule type="expression" dxfId="299" priority="9">
      <formula>mgmt_domain_chosen="First Instance"</formula>
    </cfRule>
    <cfRule type="notContainsBlanks" dxfId="297" priority="58">
      <formula>LEN(TRIM(D118))&gt;0</formula>
    </cfRule>
    <cfRule type="containsBlanks" dxfId="296" priority="59">
      <formula>LEN(TRIM(D118))=0</formula>
    </cfRule>
  </conditionalFormatting>
  <conditionalFormatting sqref="D142:D144">
    <cfRule type="notContainsBlanks" dxfId="294" priority="62">
      <formula>LEN(TRIM(D142))&gt;0</formula>
    </cfRule>
    <cfRule type="containsBlanks" dxfId="293" priority="63">
      <formula>LEN(TRIM(D142))=0</formula>
    </cfRule>
  </conditionalFormatting>
  <conditionalFormatting sqref="D151:D157 D161:D164 D169:D176 D181:D188 D193:D194 D221:D222 D250">
    <cfRule type="notContainsBlanks" dxfId="292" priority="130" stopIfTrue="1">
      <formula>LEN(TRIM(D151))&gt;0</formula>
    </cfRule>
    <cfRule type="containsBlanks" dxfId="291" priority="133">
      <formula>LEN(TRIM(D151))=0</formula>
    </cfRule>
  </conditionalFormatting>
  <conditionalFormatting sqref="D151:D157 D163:D164">
    <cfRule type="expression" dxfId="290" priority="132">
      <formula>mgmt_domain_chosen="Additional Instance"</formula>
    </cfRule>
  </conditionalFormatting>
  <conditionalFormatting sqref="D151:D157">
    <cfRule type="expression" dxfId="289" priority="10">
      <formula>mgmt_domain_chosen="Additional Instance"</formula>
    </cfRule>
  </conditionalFormatting>
  <conditionalFormatting sqref="D161:D164">
    <cfRule type="expression" dxfId="288" priority="7">
      <formula>mgmt_domain_chosen="Additional Instance"</formula>
    </cfRule>
  </conditionalFormatting>
  <conditionalFormatting sqref="D169:D176">
    <cfRule type="expression" dxfId="287" priority="12">
      <formula>mgmt_domain_chosen="Additional Instance"</formula>
    </cfRule>
    <cfRule type="expression" dxfId="286" priority="131">
      <formula>mgmt_domain_chosen="Additional Instance"</formula>
    </cfRule>
  </conditionalFormatting>
  <conditionalFormatting sqref="D181:D188">
    <cfRule type="expression" dxfId="285" priority="13">
      <formula>mgmt_domain_chosen="Additional Instance"</formula>
    </cfRule>
  </conditionalFormatting>
  <conditionalFormatting sqref="D193:D194">
    <cfRule type="expression" dxfId="283" priority="128">
      <formula>mgmt_domain_chosen="Additional Instance"</formula>
    </cfRule>
  </conditionalFormatting>
  <conditionalFormatting sqref="D201:D206">
    <cfRule type="notContainsBlanks" dxfId="281" priority="28">
      <formula>LEN(TRIM(D201))&gt;0</formula>
    </cfRule>
    <cfRule type="containsBlanks" dxfId="280" priority="29">
      <formula>LEN(TRIM(D201))=0</formula>
    </cfRule>
  </conditionalFormatting>
  <conditionalFormatting sqref="D211:D216">
    <cfRule type="notContainsBlanks" dxfId="278" priority="25">
      <formula>LEN(TRIM(D211))&gt;0</formula>
    </cfRule>
    <cfRule type="containsBlanks" dxfId="277" priority="26">
      <formula>LEN(TRIM(D211))=0</formula>
    </cfRule>
  </conditionalFormatting>
  <conditionalFormatting sqref="D221:D222">
    <cfRule type="expression" dxfId="276" priority="127">
      <formula>mgmt_domain_chosen="Additional Instance"</formula>
    </cfRule>
  </conditionalFormatting>
  <conditionalFormatting sqref="D227:D234">
    <cfRule type="notContainsBlanks" dxfId="274" priority="5">
      <formula>LEN(TRIM(D227))&gt;0</formula>
    </cfRule>
    <cfRule type="containsBlanks" dxfId="273" priority="6">
      <formula>LEN(TRIM(D227))=0</formula>
    </cfRule>
  </conditionalFormatting>
  <conditionalFormatting sqref="D239:D245">
    <cfRule type="notContainsBlanks" dxfId="271" priority="19">
      <formula>LEN(TRIM(D239))&gt;0</formula>
    </cfRule>
    <cfRule type="containsBlanks" dxfId="270" priority="20">
      <formula>LEN(TRIM(D239))=0</formula>
    </cfRule>
  </conditionalFormatting>
  <conditionalFormatting sqref="D250">
    <cfRule type="expression" dxfId="269" priority="126">
      <formula>mgmt_domain_chosen="Additional Instance"</formula>
    </cfRule>
  </conditionalFormatting>
  <dataValidations disablePrompts="1" count="1">
    <dataValidation type="list" allowBlank="1" showInputMessage="1" showErrorMessage="1" sqref="D82" xr:uid="{6CDA052B-62E9-EF47-8599-9388FCE1F003}">
      <formula1>table_masks</formula1>
    </dataValidation>
  </dataValidations>
  <pageMargins left="0.7" right="0.7" top="0.75" bottom="0.75" header="0.3" footer="0.3"/>
  <pageSetup paperSize="9" orientation="portrait" horizontalDpi="0" verticalDpi="0"/>
  <ignoredErrors>
    <ignoredError sqref="C11" formula="1"/>
  </ignoredErrors>
  <drawing r:id="rId1"/>
  <extLst>
    <ext xmlns:x14="http://schemas.microsoft.com/office/spreadsheetml/2009/9/main" uri="{78C0D931-6437-407d-A8EE-F0AAD7539E65}">
      <x14:conditionalFormattings>
        <x14:conditionalFormatting xmlns:xm="http://schemas.microsoft.com/office/excel/2006/main">
          <x14:cfRule type="containsText" priority="30" stopIfTrue="1" operator="containsText" id="{13ECAD23-29B0-8A42-868F-CA68677BF949}">
            <xm:f>NOT(ISERROR(SEARCH("Value Missing",D9)))</xm:f>
            <xm:f>"Value Missing"</xm:f>
            <x14:dxf>
              <font>
                <color rgb="FF0E223A"/>
              </font>
              <fill>
                <patternFill>
                  <bgColor rgb="FFFFBE29"/>
                </patternFill>
              </fill>
            </x14:dxf>
          </x14:cfRule>
          <xm:sqref>D9:D24</xm:sqref>
        </x14:conditionalFormatting>
        <x14:conditionalFormatting xmlns:xm="http://schemas.microsoft.com/office/excel/2006/main">
          <x14:cfRule type="containsText" priority="33" stopIfTrue="1" operator="containsText" id="{A12E9C80-0E23-4F46-A9A4-14193C5C64E8}">
            <xm:f>NOT(ISERROR(SEARCH("Value Missing",D29)))</xm:f>
            <xm:f>"Value Missing"</xm:f>
            <x14:dxf>
              <font>
                <color rgb="FF0E223A"/>
              </font>
              <fill>
                <patternFill>
                  <bgColor rgb="FFFFBE29"/>
                </patternFill>
              </fill>
            </x14:dxf>
          </x14:cfRule>
          <xm:sqref>D29:D37</xm:sqref>
        </x14:conditionalFormatting>
        <x14:conditionalFormatting xmlns:xm="http://schemas.microsoft.com/office/excel/2006/main">
          <x14:cfRule type="containsText" priority="36" stopIfTrue="1" operator="containsText" id="{EA44BEF0-3CA7-5F43-9E1D-F82EFFD7B038}">
            <xm:f>NOT(ISERROR(SEARCH("Value Missing",D42)))</xm:f>
            <xm:f>"Value Missing"</xm:f>
            <x14:dxf>
              <font>
                <color rgb="FF0E223A"/>
              </font>
              <fill>
                <patternFill>
                  <bgColor rgb="FFFFBE29"/>
                </patternFill>
              </fill>
            </x14:dxf>
          </x14:cfRule>
          <xm:sqref>D42:D45</xm:sqref>
        </x14:conditionalFormatting>
        <x14:conditionalFormatting xmlns:xm="http://schemas.microsoft.com/office/excel/2006/main">
          <x14:cfRule type="containsText" priority="1" stopIfTrue="1" operator="containsText" id="{C7BDD265-68EB-004C-978A-74D28F73BBD0}">
            <xm:f>NOT(ISERROR(SEARCH("Value Missing",D50)))</xm:f>
            <xm:f>"Value Missing"</xm:f>
            <x14:dxf>
              <font>
                <color rgb="FF0E223A"/>
              </font>
              <fill>
                <patternFill>
                  <bgColor rgb="FFFFBE29"/>
                </patternFill>
              </fill>
            </x14:dxf>
          </x14:cfRule>
          <xm:sqref>D50:D52</xm:sqref>
        </x14:conditionalFormatting>
        <x14:conditionalFormatting xmlns:xm="http://schemas.microsoft.com/office/excel/2006/main">
          <x14:cfRule type="containsText" priority="42" stopIfTrue="1" operator="containsText" id="{5AF86E66-3787-E241-95DE-9BA4D23F08A4}">
            <xm:f>NOT(ISERROR(SEARCH("Value Missing",D57)))</xm:f>
            <xm:f>"Value Missing"</xm:f>
            <x14:dxf>
              <font>
                <color rgb="FF0E223A"/>
              </font>
              <fill>
                <patternFill>
                  <bgColor rgb="FFFFBE29"/>
                </patternFill>
              </fill>
            </x14:dxf>
          </x14:cfRule>
          <xm:sqref>D57:D64</xm:sqref>
        </x14:conditionalFormatting>
        <x14:conditionalFormatting xmlns:xm="http://schemas.microsoft.com/office/excel/2006/main">
          <x14:cfRule type="containsText" priority="48" stopIfTrue="1" operator="containsText" id="{88B2E574-C103-4B45-9F52-9ACBBD89BF4A}">
            <xm:f>NOT(ISERROR(SEARCH("Value Missing",D69)))</xm:f>
            <xm:f>"Value Missing"</xm:f>
            <x14:dxf>
              <font>
                <color rgb="FF0E223A"/>
              </font>
              <fill>
                <patternFill>
                  <bgColor rgb="FFFFBE29"/>
                </patternFill>
              </fill>
            </x14:dxf>
          </x14:cfRule>
          <xm:sqref>D69:D72</xm:sqref>
        </x14:conditionalFormatting>
        <x14:conditionalFormatting xmlns:xm="http://schemas.microsoft.com/office/excel/2006/main">
          <x14:cfRule type="containsText" priority="51" stopIfTrue="1" operator="containsText" id="{817B5E16-3719-2D40-A79F-AF1F7E3F6E02}">
            <xm:f>NOT(ISERROR(SEARCH("Value Missing",D77)))</xm:f>
            <xm:f>"Value Missing"</xm:f>
            <x14:dxf>
              <font>
                <color rgb="FF0E223A"/>
              </font>
              <fill>
                <patternFill>
                  <bgColor rgb="FFFFBE29"/>
                </patternFill>
              </fill>
            </x14:dxf>
          </x14:cfRule>
          <xm:sqref>D77:D91</xm:sqref>
        </x14:conditionalFormatting>
        <x14:conditionalFormatting xmlns:xm="http://schemas.microsoft.com/office/excel/2006/main">
          <x14:cfRule type="containsText" priority="54" stopIfTrue="1" operator="containsText" id="{23A67814-CD7D-6C4B-80CC-F580F162848C}">
            <xm:f>NOT(ISERROR(SEARCH("Value Missing",D96)))</xm:f>
            <xm:f>"Value Missing"</xm:f>
            <x14:dxf>
              <font>
                <color rgb="FF0E223A"/>
              </font>
              <fill>
                <patternFill>
                  <bgColor rgb="FFFFBE29"/>
                </patternFill>
              </fill>
            </x14:dxf>
          </x14:cfRule>
          <xm:sqref>D96:D113</xm:sqref>
        </x14:conditionalFormatting>
        <x14:conditionalFormatting xmlns:xm="http://schemas.microsoft.com/office/excel/2006/main">
          <x14:cfRule type="containsText" priority="57" stopIfTrue="1" operator="containsText" id="{D02DDA07-3A75-2F43-BD3C-4CDCBB27E031}">
            <xm:f>NOT(ISERROR(SEARCH("Value Missing",D118)))</xm:f>
            <xm:f>"Value Missing"</xm:f>
            <x14:dxf>
              <font>
                <color rgb="FF0E223A"/>
              </font>
              <fill>
                <patternFill>
                  <bgColor rgb="FFFFBE29"/>
                </patternFill>
              </fill>
            </x14:dxf>
          </x14:cfRule>
          <xm:sqref>D118 D120:D123 D125:D132 D134:D137</xm:sqref>
        </x14:conditionalFormatting>
        <x14:conditionalFormatting xmlns:xm="http://schemas.microsoft.com/office/excel/2006/main">
          <x14:cfRule type="containsText" priority="61" stopIfTrue="1" operator="containsText" id="{1EE8AE01-EB8D-FC4D-98D2-CF825CB44F23}">
            <xm:f>NOT(ISERROR(SEARCH("Value Missing",D142)))</xm:f>
            <xm:f>"Value Missing"</xm:f>
            <x14:dxf>
              <font>
                <color rgb="FF0E223A"/>
              </font>
              <fill>
                <patternFill>
                  <bgColor rgb="FFFFBE29"/>
                </patternFill>
              </fill>
            </x14:dxf>
          </x14:cfRule>
          <xm:sqref>D142:D144</xm:sqref>
        </x14:conditionalFormatting>
        <x14:conditionalFormatting xmlns:xm="http://schemas.microsoft.com/office/excel/2006/main">
          <x14:cfRule type="containsText" priority="129" operator="containsText" id="{759137D1-9F92-FB4F-80CB-2E4CA65B794D}">
            <xm:f>NOT(ISERROR(SEARCH("Value Missing",D151)))</xm:f>
            <xm:f>"Value Missing"</xm:f>
            <x14:dxf>
              <font>
                <color theme="1"/>
              </font>
              <fill>
                <patternFill>
                  <bgColor rgb="FFFFC000"/>
                </patternFill>
              </fill>
            </x14:dxf>
          </x14:cfRule>
          <xm:sqref>D193:D194 D221:D222 D250 D181:D188 D169:D176 D151:D157 D161:D164</xm:sqref>
        </x14:conditionalFormatting>
        <x14:conditionalFormatting xmlns:xm="http://schemas.microsoft.com/office/excel/2006/main">
          <x14:cfRule type="containsText" priority="27" stopIfTrue="1" operator="containsText" id="{34CB23E1-94BB-3745-B643-323426913C8C}">
            <xm:f>NOT(ISERROR(SEARCH("Value Missing",D201)))</xm:f>
            <xm:f>"Value Missing"</xm:f>
            <x14:dxf>
              <font>
                <color rgb="FF0E223A"/>
              </font>
              <fill>
                <patternFill>
                  <bgColor rgb="FFFFBE29"/>
                </patternFill>
              </fill>
            </x14:dxf>
          </x14:cfRule>
          <xm:sqref>D201:D206</xm:sqref>
        </x14:conditionalFormatting>
        <x14:conditionalFormatting xmlns:xm="http://schemas.microsoft.com/office/excel/2006/main">
          <x14:cfRule type="containsText" priority="24" stopIfTrue="1" operator="containsText" id="{8446AB7E-F170-134D-A743-1BFC4F138545}">
            <xm:f>NOT(ISERROR(SEARCH("Value Missing",D211)))</xm:f>
            <xm:f>"Value Missing"</xm:f>
            <x14:dxf>
              <font>
                <color rgb="FF0E223A"/>
              </font>
              <fill>
                <patternFill>
                  <bgColor rgb="FFFFBE29"/>
                </patternFill>
              </fill>
            </x14:dxf>
          </x14:cfRule>
          <xm:sqref>D211:D216</xm:sqref>
        </x14:conditionalFormatting>
        <x14:conditionalFormatting xmlns:xm="http://schemas.microsoft.com/office/excel/2006/main">
          <x14:cfRule type="containsText" priority="4" stopIfTrue="1" operator="containsText" id="{6B7DFE55-98DD-5F46-9767-218528490840}">
            <xm:f>NOT(ISERROR(SEARCH("Value Missing",D227)))</xm:f>
            <xm:f>"Value Missing"</xm:f>
            <x14:dxf>
              <font>
                <color rgb="FF0E223A"/>
              </font>
              <fill>
                <patternFill>
                  <bgColor rgb="FFFFBE29"/>
                </patternFill>
              </fill>
            </x14:dxf>
          </x14:cfRule>
          <xm:sqref>D227:D234</xm:sqref>
        </x14:conditionalFormatting>
        <x14:conditionalFormatting xmlns:xm="http://schemas.microsoft.com/office/excel/2006/main">
          <x14:cfRule type="containsText" priority="18" stopIfTrue="1" operator="containsText" id="{E308EDC5-2CC6-C14E-B52C-69E25EE3745D}">
            <xm:f>NOT(ISERROR(SEARCH("Value Missing",D239)))</xm:f>
            <xm:f>"Value Missing"</xm:f>
            <x14:dxf>
              <font>
                <color rgb="FF0E223A"/>
              </font>
              <fill>
                <patternFill>
                  <bgColor rgb="FFFFBE29"/>
                </patternFill>
              </fill>
            </x14:dxf>
          </x14:cfRule>
          <xm:sqref>D239:D245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0BAA-2FCE-2F4D-AFAA-0B3FCAADE1E9}">
  <sheetPr codeName="Sheet2">
    <tabColor rgb="FF0E223A"/>
  </sheetPr>
  <dimension ref="A1:AM36"/>
  <sheetViews>
    <sheetView showGridLines="0" tabSelected="1" zoomScaleNormal="100" workbookViewId="0">
      <pane ySplit="4" topLeftCell="A5" activePane="bottomLeft" state="frozen"/>
      <selection pane="bottomLeft"/>
    </sheetView>
  </sheetViews>
  <sheetFormatPr baseColWidth="10" defaultRowHeight="16" x14ac:dyDescent="0.2"/>
  <cols>
    <col min="1" max="1" width="2.83203125" style="9" customWidth="1"/>
    <col min="2" max="4" width="1.83203125" style="9" customWidth="1"/>
    <col min="5" max="5" width="60.83203125" style="9" customWidth="1"/>
    <col min="6" max="8" width="1.83203125" style="9" customWidth="1"/>
    <col min="9" max="9" width="2.83203125" style="9" customWidth="1"/>
    <col min="10" max="10" width="44.83203125" style="9" customWidth="1"/>
    <col min="11" max="11" width="50.83203125" style="9" customWidth="1"/>
    <col min="12" max="12" width="25.33203125" style="9" customWidth="1"/>
    <col min="13" max="13" width="90.83203125" style="9" customWidth="1"/>
    <col min="14" max="16" width="10.83203125" style="9" customWidth="1"/>
    <col min="17" max="16384" width="10.83203125" style="9"/>
  </cols>
  <sheetData>
    <row r="1" spans="1:39" s="7" customFormat="1" ht="16" customHeight="1" x14ac:dyDescent="0.2">
      <c r="A1" s="52"/>
    </row>
    <row r="2" spans="1:39" s="2" customFormat="1" ht="54" customHeight="1" x14ac:dyDescent="0.2">
      <c r="A2" s="7"/>
      <c r="B2" s="451" t="s">
        <v>3282</v>
      </c>
      <c r="C2" s="452"/>
      <c r="D2" s="452"/>
      <c r="E2" s="452"/>
      <c r="F2" s="452"/>
      <c r="G2" s="452"/>
      <c r="H2" s="452"/>
      <c r="I2" s="452"/>
      <c r="J2" s="452"/>
      <c r="K2" s="452"/>
      <c r="L2" s="452"/>
      <c r="M2" s="453"/>
      <c r="O2" s="7"/>
      <c r="P2" s="7"/>
      <c r="Q2" s="7"/>
      <c r="R2" s="7"/>
      <c r="S2" s="7"/>
      <c r="T2" s="7"/>
      <c r="U2" s="7"/>
      <c r="V2" s="7"/>
      <c r="W2" s="7"/>
      <c r="X2" s="7"/>
      <c r="Y2" s="7"/>
      <c r="Z2" s="7"/>
      <c r="AA2" s="7"/>
      <c r="AB2" s="7"/>
      <c r="AC2" s="7"/>
      <c r="AD2" s="7"/>
      <c r="AE2" s="7"/>
      <c r="AF2" s="7"/>
      <c r="AG2" s="7"/>
      <c r="AH2" s="7"/>
      <c r="AI2" s="7"/>
      <c r="AJ2" s="7"/>
      <c r="AK2" s="7"/>
      <c r="AL2" s="7"/>
      <c r="AM2" s="7"/>
    </row>
    <row r="3" spans="1:39" s="2" customFormat="1" ht="20" customHeight="1" x14ac:dyDescent="0.2">
      <c r="A3" s="7"/>
      <c r="B3" s="465" t="s">
        <v>3283</v>
      </c>
      <c r="C3" s="466"/>
      <c r="D3" s="466"/>
      <c r="E3" s="466"/>
      <c r="F3" s="466"/>
      <c r="G3" s="466"/>
      <c r="H3" s="466"/>
      <c r="I3" s="466"/>
      <c r="J3" s="466"/>
      <c r="K3" s="466"/>
      <c r="L3" s="466"/>
      <c r="M3" s="374" t="str">
        <f ca="1">pnp_version_number</f>
        <v>v1.9.1.004</v>
      </c>
      <c r="O3" s="7"/>
      <c r="P3" s="7"/>
      <c r="Q3" s="7"/>
      <c r="R3" s="7"/>
      <c r="S3" s="7"/>
      <c r="T3" s="7"/>
      <c r="U3" s="7"/>
      <c r="V3" s="7"/>
      <c r="W3" s="7"/>
      <c r="X3" s="7"/>
      <c r="Y3" s="7"/>
      <c r="Z3" s="7"/>
      <c r="AA3" s="7"/>
      <c r="AB3" s="7"/>
      <c r="AC3" s="7"/>
      <c r="AD3" s="7"/>
      <c r="AE3" s="7"/>
      <c r="AF3" s="7"/>
      <c r="AG3" s="7"/>
      <c r="AH3" s="7"/>
      <c r="AI3" s="7"/>
      <c r="AJ3" s="7"/>
      <c r="AK3" s="7"/>
      <c r="AL3" s="7"/>
      <c r="AM3" s="7"/>
    </row>
    <row r="4" spans="1:39" s="7" customFormat="1" ht="16" customHeight="1" x14ac:dyDescent="0.2">
      <c r="I4" s="53"/>
      <c r="J4" s="53"/>
    </row>
    <row r="5" spans="1:39" s="7" customFormat="1" ht="16" customHeight="1" x14ac:dyDescent="0.2"/>
    <row r="6" spans="1:39" s="2" customFormat="1" ht="20" customHeight="1" x14ac:dyDescent="0.2">
      <c r="A6" s="7"/>
      <c r="B6" s="427" t="s">
        <v>3284</v>
      </c>
      <c r="C6" s="428"/>
      <c r="D6" s="428"/>
      <c r="E6" s="428"/>
      <c r="F6" s="428"/>
      <c r="G6" s="428"/>
      <c r="H6" s="428"/>
      <c r="I6" s="428"/>
      <c r="J6" s="428"/>
      <c r="K6" s="428"/>
      <c r="L6" s="428"/>
      <c r="M6" s="429"/>
      <c r="O6" s="7"/>
      <c r="P6" s="7"/>
      <c r="Q6" s="7"/>
      <c r="R6" s="7"/>
      <c r="S6" s="7"/>
      <c r="T6" s="7"/>
      <c r="U6" s="7"/>
      <c r="V6" s="7"/>
      <c r="W6" s="7"/>
      <c r="X6" s="7"/>
      <c r="Y6" s="7"/>
      <c r="Z6" s="7"/>
      <c r="AA6" s="7"/>
      <c r="AB6" s="7"/>
      <c r="AC6" s="7"/>
      <c r="AD6" s="7"/>
      <c r="AE6" s="7"/>
      <c r="AF6" s="7"/>
      <c r="AG6" s="7"/>
      <c r="AH6" s="7"/>
      <c r="AI6" s="7"/>
      <c r="AJ6" s="7"/>
      <c r="AK6" s="7"/>
      <c r="AL6" s="7"/>
      <c r="AM6" s="7"/>
    </row>
    <row r="7" spans="1:39" s="2" customFormat="1" ht="20" customHeight="1" x14ac:dyDescent="0.2">
      <c r="A7" s="7"/>
      <c r="B7" s="454" t="s">
        <v>3285</v>
      </c>
      <c r="C7" s="455"/>
      <c r="D7" s="455"/>
      <c r="E7" s="455"/>
      <c r="F7" s="455"/>
      <c r="G7" s="455"/>
      <c r="H7" s="455"/>
      <c r="I7" s="455"/>
      <c r="J7" s="455"/>
      <c r="K7" s="455"/>
      <c r="L7" s="455"/>
      <c r="M7" s="456"/>
      <c r="O7" s="7"/>
      <c r="P7" s="7"/>
      <c r="Q7" s="7"/>
      <c r="R7" s="7"/>
      <c r="S7" s="7"/>
      <c r="T7" s="7"/>
      <c r="U7" s="7"/>
      <c r="V7" s="7"/>
      <c r="W7" s="7"/>
      <c r="X7" s="7"/>
      <c r="Y7" s="7"/>
      <c r="Z7" s="7"/>
      <c r="AA7" s="7"/>
      <c r="AB7" s="7"/>
      <c r="AC7" s="7"/>
      <c r="AD7" s="7"/>
      <c r="AE7" s="7"/>
      <c r="AF7" s="7"/>
      <c r="AG7" s="7"/>
      <c r="AH7" s="7"/>
      <c r="AI7" s="7"/>
      <c r="AJ7" s="7"/>
      <c r="AK7" s="7"/>
      <c r="AL7" s="7"/>
      <c r="AM7" s="7"/>
    </row>
    <row r="8" spans="1:39" s="7" customFormat="1" ht="20" customHeight="1" x14ac:dyDescent="0.2">
      <c r="I8" s="53"/>
    </row>
    <row r="9" spans="1:39" ht="17" x14ac:dyDescent="0.2">
      <c r="J9" s="464" t="s">
        <v>189</v>
      </c>
      <c r="K9" s="464"/>
      <c r="L9" s="464"/>
      <c r="M9" s="464"/>
    </row>
    <row r="10" spans="1:39" x14ac:dyDescent="0.2">
      <c r="J10" s="457" t="s">
        <v>3286</v>
      </c>
      <c r="K10" s="457"/>
      <c r="L10" s="457"/>
      <c r="M10" s="457"/>
    </row>
    <row r="11" spans="1:39" ht="16" customHeight="1" x14ac:dyDescent="0.2">
      <c r="J11" s="458" t="str">
        <f>IF(vcf_version_chosen="No Version Selected","Select Version",vcf_version_chosen)</f>
        <v>9.1.0.0</v>
      </c>
      <c r="K11" s="459"/>
      <c r="L11" s="459"/>
      <c r="M11" s="460"/>
    </row>
    <row r="12" spans="1:39" ht="16" customHeight="1" x14ac:dyDescent="0.2">
      <c r="J12" s="461"/>
      <c r="K12" s="462"/>
      <c r="L12" s="462"/>
      <c r="M12" s="463"/>
    </row>
    <row r="14" spans="1:39" ht="18" x14ac:dyDescent="0.2">
      <c r="J14" s="427" t="s">
        <v>1081</v>
      </c>
      <c r="K14" s="428"/>
      <c r="L14" s="428"/>
      <c r="M14" s="429"/>
    </row>
    <row r="15" spans="1:39" ht="17" x14ac:dyDescent="0.2">
      <c r="J15" s="63" t="s">
        <v>9</v>
      </c>
      <c r="K15" s="63" t="s">
        <v>10</v>
      </c>
      <c r="L15" s="63" t="s">
        <v>11</v>
      </c>
      <c r="M15" s="63" t="s">
        <v>12</v>
      </c>
    </row>
    <row r="16" spans="1:39" x14ac:dyDescent="0.2">
      <c r="J16" s="142" t="s">
        <v>3675</v>
      </c>
      <c r="K16" s="120" t="str">
        <f>CONCATENATE(mgmt_domain_deployment_type_chosen," Deployment Version")</f>
        <v>VMware Cloud Foundation Deployment Version</v>
      </c>
      <c r="L16" s="140" t="str">
        <f>IF(vcf_version_chosen="No Version Selected","Excluded","Included")</f>
        <v>Included</v>
      </c>
      <c r="M16" s="8" t="str">
        <f>IF(vcf_version_result="Excluded",CONCATENATE("Cause: ",mgmt_domain_deployment_type_chosen, " Deployment Version is not selected"),CONCATENATE(mgmt_domain_deployment_type_chosen," Version ",vcf_version," selected"))</f>
        <v>VMware Cloud Foundation Version 9.1.0.0 selected</v>
      </c>
    </row>
    <row r="17" spans="5:14" x14ac:dyDescent="0.2">
      <c r="J17" s="143" t="s">
        <v>3286</v>
      </c>
      <c r="K17" s="120" t="s">
        <v>3287</v>
      </c>
      <c r="L17" s="140" t="str">
        <f>IF(vcf_version_chosen="No Version Selected","Excluded","Included")</f>
        <v>Included</v>
      </c>
      <c r="M17" s="8" t="str">
        <f>IF(vcf_version_result="Excluded",CONCATENATE("Cause: ",mgmt_domain_deployment_type_chosen, " Deployment Version is not selected"),IF(mgmt_domain_deployment_type_chosen="VMware Cloud Foundation","VMware Cloud Foundation Private Cloud will be deployed","VMware vSphere Foundation will be deployed"))</f>
        <v>VMware Cloud Foundation Private Cloud will be deployed</v>
      </c>
    </row>
    <row r="18" spans="5:14" x14ac:dyDescent="0.2">
      <c r="J18" s="144" t="s">
        <v>2145</v>
      </c>
      <c r="K18" s="120" t="s">
        <v>3288</v>
      </c>
      <c r="L18" s="140" t="str">
        <f>IF(vcf_version_chosen="No Version Selected","Excluded",IF(mgmt_domain_deployment_type_chosen="VMware vSphere Foundation","Excluded",IF(mgmt_domain_chosen="Deploy a new VCF fleet","Included","Included")))</f>
        <v>Included</v>
      </c>
      <c r="M18" s="8" t="str">
        <f>IF(vcf_version_result="Excluded",CONCATENATE("Cause: ",mgmt_domain_deployment_type_chosen, " Deployment Version is not selected"),IF(mgmt_domain_deployment_type_chosen="VMware vSphere Foundation","Option not required for deployment specification type",IF(mgmt_domain_chosen="First Instance","Operation will be performed on the First VCF Instance","Operation will be performed on an additional VCF Instance")))</f>
        <v>Operation will be performed on the First VCF Instance</v>
      </c>
    </row>
    <row r="19" spans="5:14" x14ac:dyDescent="0.2">
      <c r="J19" s="145" t="s">
        <v>2148</v>
      </c>
      <c r="K19" s="120" t="s">
        <v>3289</v>
      </c>
      <c r="L19" s="140" t="str">
        <f>IF(vcf_version_chosen="No Version Selected","Excluded",
IF(AND(mgmt_domain_deployment_type_chosen="VMware vSphere Foundation",vcf_granular_option_chosen="Create Workload Domain"),"Excluded",
IF(AND(mgmt_domain_deployment_type_chosen="VMware vSphere Foundation",vcf_granular_option_chosen="Create Cluster"),"Excluded",
IF(AND(mgmt_domain_deployment_type_chosen="VMware Cloud Foundation",vcf_granular_option_chosen="VMware vSphere Foundation Deployment"),"Excluded",
IF(vcf_granular_option_chosen="None Chosen","Excluded","Included")))))</f>
        <v>Included</v>
      </c>
      <c r="M19" s="8" t="str">
        <f>IF(vcf_version_result="Excluded",CONCATENATE("Cause: ",mgmt_domain_deployment_type_chosen," Deployment Version is not selected"),
IF(AND(mgmt_domain_deployment_type_chosen="VMware vSphere Foundation",vcf_granular_option_chosen="Create Workload Domain"),"Option not supported for deployment specification type",
IF(AND(mgmt_domain_deployment_type_chosen="VMware vSphere Foundation",vcf_granular_option_chosen="Create Cluster"),"Option not supported for deployment specification type",
IF(AND(mgmt_domain_deployment_type_chosen="VMware Cloud Foundation",vcf_granular_option_chosen="VMware vSphere Foundation Deployment"),"Option not supported for deployment specification type",
IF(vcf_granular_option_chosen="None Chosen","No Deployment Type Chosen",IF(vcf_granular_option_chosen="Deploy a new VCF fleet","VMware Cloud Foundation Installer will deploy a new VCF fleet",
IF(vcf_granular_option_chosen="Deploy a VCF Instance in an existing VCF fleet","VMware Cloud Foundation Installer will deploy a new VCF Instance in an existing VCF fleet",
IF(vcf_granular_option_chosen="Create Cluster","A cluster will be added to an existing Workload Domain",
IF(vcf_granular_option_chosen="Create Workload Domain","A Workload Domain will be added to an exsiting VCF Instance",
IF(vcf_granular_option_chosen="VMware vSphere Foundation Deployment","Deploy a new VMware vSphere Foundation Cluster",
IF(vcf_granular_option_chosen="Deploy deferred components","Deploy the management components that you deffered during the inital deployment","")))))))))))</f>
        <v>VMware Cloud Foundation Installer will deploy a new VCF fleet</v>
      </c>
    </row>
    <row r="21" spans="5:14" x14ac:dyDescent="0.2">
      <c r="J21" s="146"/>
    </row>
    <row r="24" spans="5:14" x14ac:dyDescent="0.2">
      <c r="J24" s="147"/>
    </row>
    <row r="25" spans="5:14" x14ac:dyDescent="0.2">
      <c r="J25" s="147"/>
    </row>
    <row r="27" spans="5:14" x14ac:dyDescent="0.2">
      <c r="J27" s="147"/>
    </row>
    <row r="29" spans="5:14" x14ac:dyDescent="0.2">
      <c r="E29" s="148"/>
      <c r="F29" s="148"/>
      <c r="G29" s="148"/>
      <c r="H29" s="148"/>
      <c r="N29" s="148"/>
    </row>
    <row r="30" spans="5:14" x14ac:dyDescent="0.2">
      <c r="E30" s="148"/>
      <c r="F30" s="148"/>
      <c r="G30" s="148"/>
      <c r="H30" s="148"/>
      <c r="N30" s="148"/>
    </row>
    <row r="31" spans="5:14" x14ac:dyDescent="0.2">
      <c r="E31" s="148"/>
      <c r="F31" s="148"/>
      <c r="G31" s="148"/>
      <c r="H31" s="148"/>
      <c r="I31" s="148"/>
      <c r="N31" s="148"/>
    </row>
    <row r="32" spans="5:14" x14ac:dyDescent="0.2">
      <c r="E32" s="148"/>
      <c r="F32" s="148"/>
      <c r="G32" s="148"/>
      <c r="H32" s="148"/>
      <c r="I32" s="148"/>
      <c r="N32" s="148"/>
    </row>
    <row r="33" spans="5:14" x14ac:dyDescent="0.2">
      <c r="E33" s="148"/>
      <c r="F33" s="148"/>
      <c r="G33" s="148"/>
      <c r="H33" s="148"/>
      <c r="I33" s="148"/>
      <c r="N33" s="148"/>
    </row>
    <row r="34" spans="5:14" x14ac:dyDescent="0.2">
      <c r="E34" s="148"/>
      <c r="F34" s="148"/>
      <c r="G34" s="148"/>
      <c r="H34" s="148"/>
      <c r="I34" s="148"/>
      <c r="N34" s="148"/>
    </row>
    <row r="35" spans="5:14" x14ac:dyDescent="0.2">
      <c r="E35" s="148"/>
      <c r="F35" s="148"/>
      <c r="G35" s="148"/>
      <c r="H35" s="148"/>
      <c r="I35" s="148"/>
      <c r="N35" s="148"/>
    </row>
    <row r="36" spans="5:14" x14ac:dyDescent="0.2">
      <c r="E36" s="148"/>
      <c r="F36" s="148"/>
      <c r="G36" s="148"/>
      <c r="H36" s="148"/>
      <c r="I36" s="148"/>
      <c r="N36" s="148"/>
    </row>
  </sheetData>
  <sheetProtection algorithmName="SHA-512" hashValue="CbglUJQz0JfNdmg2QxZcaoGcNM1QzOty8qqGu4GuMC0vR6EngWnYFAOS9HF3/AoK7zWEACi9D6NwIUbg+VJlBg==" saltValue="XJQuZ6WDprdTQRNqruZBKA==" spinCount="100000" sheet="1" selectLockedCells="1"/>
  <mergeCells count="8">
    <mergeCell ref="B2:M2"/>
    <mergeCell ref="B6:M6"/>
    <mergeCell ref="B7:M7"/>
    <mergeCell ref="J14:M14"/>
    <mergeCell ref="J10:M10"/>
    <mergeCell ref="J11:M12"/>
    <mergeCell ref="J9:M9"/>
    <mergeCell ref="B3:L3"/>
  </mergeCells>
  <conditionalFormatting sqref="J16 L16:M16">
    <cfRule type="expression" dxfId="2915" priority="8">
      <formula>(vcf_version_result="Excluded")</formula>
    </cfRule>
  </conditionalFormatting>
  <conditionalFormatting sqref="J16:J19">
    <cfRule type="expression" dxfId="2914" priority="17" stopIfTrue="1">
      <formula>(vcf_version_result&lt;&gt;"Excluded")</formula>
    </cfRule>
  </conditionalFormatting>
  <conditionalFormatting sqref="J18">
    <cfRule type="expression" dxfId="2913" priority="12">
      <formula>mgmt_domain_deployment_type_chosen="VMware vSphere Foundation"</formula>
    </cfRule>
  </conditionalFormatting>
  <conditionalFormatting sqref="J19 L19:M19">
    <cfRule type="expression" dxfId="2912" priority="1">
      <formula>AND((mgmt_domain_deployment_type_chosen="VMware Cloud Foundation"),(vcf_granular_option_chosen="VMware vSphere Foundation Deployment"))</formula>
    </cfRule>
    <cfRule type="expression" dxfId="2911" priority="2">
      <formula>AND((mgmt_domain_deployment_type_chosen="VMware vSphere Foundation"),(vcf_granular_option_chosen="Create Cluster"))</formula>
    </cfRule>
    <cfRule type="expression" dxfId="2910" priority="3">
      <formula>AND((mgmt_domain_deployment_type_chosen="VMware vSphere Foundation"),(vcf_granular_option_chosen="Create VI Workload Domain"))</formula>
    </cfRule>
  </conditionalFormatting>
  <conditionalFormatting sqref="J19">
    <cfRule type="expression" dxfId="2909" priority="5">
      <formula>(vcf_granular_option_chosen="None Chosen")</formula>
    </cfRule>
    <cfRule type="expression" dxfId="2908" priority="15">
      <formula>AND((mgmt_domain_deployment_type_chosen="VVF"),(vcf_granular_option_chosen="Workload Domain"))</formula>
    </cfRule>
  </conditionalFormatting>
  <conditionalFormatting sqref="J11:L11">
    <cfRule type="expression" dxfId="2907" priority="7">
      <formula>vcf_version="Select Deployment Version"</formula>
    </cfRule>
  </conditionalFormatting>
  <conditionalFormatting sqref="L16:L19">
    <cfRule type="expression" dxfId="2906" priority="13">
      <formula>(vcf_version_result="Excluded")</formula>
    </cfRule>
    <cfRule type="expression" dxfId="2905" priority="19" stopIfTrue="1">
      <formula>(vcf_version_chosen&lt;&gt;"Excluded")</formula>
    </cfRule>
  </conditionalFormatting>
  <conditionalFormatting sqref="L18">
    <cfRule type="expression" dxfId="2904" priority="16">
      <formula>(mgmt_domain_result="Excluded")</formula>
    </cfRule>
    <cfRule type="expression" dxfId="2903" priority="20">
      <formula>(mgmt_domain_result&lt;&gt;"Excluded")</formula>
    </cfRule>
  </conditionalFormatting>
  <conditionalFormatting sqref="L18:M18">
    <cfRule type="expression" dxfId="2902" priority="11">
      <formula>mgmt_domain_deployment_type_chosen="VMware vSphere Foundation"</formula>
    </cfRule>
  </conditionalFormatting>
  <conditionalFormatting sqref="L19:M19">
    <cfRule type="expression" dxfId="2901" priority="9">
      <formula>vcf_granular_option_result="Excluded"</formula>
    </cfRule>
  </conditionalFormatting>
  <conditionalFormatting sqref="M16:M17 M19">
    <cfRule type="expression" dxfId="2900" priority="14">
      <formula>vcf_version_result="Excluded"</formula>
    </cfRule>
    <cfRule type="expression" dxfId="2899" priority="18">
      <formula>vcf_version_result="Included"</formula>
    </cfRule>
  </conditionalFormatting>
  <conditionalFormatting sqref="M18">
    <cfRule type="expression" dxfId="2898" priority="6">
      <formula>mgmt_domain_result="Included"</formula>
    </cfRule>
    <cfRule type="expression" dxfId="2897" priority="10">
      <formula>mgmt_domain_result="Excluded"</formula>
    </cfRule>
  </conditionalFormatting>
  <dataValidations count="4">
    <dataValidation type="list" allowBlank="1" showInputMessage="1" showErrorMessage="1" sqref="J18" xr:uid="{D3CC7704-A96D-5C40-B51E-CEAAE62F6B18}">
      <formula1>INDIRECT(SUBSTITUTE(J17," ","_"))</formula1>
    </dataValidation>
    <dataValidation type="list" allowBlank="1" showInputMessage="1" showErrorMessage="1" sqref="J17" xr:uid="{BF2BB22A-A9E2-C746-B137-7160675982C4}">
      <formula1>"VMware Cloud Foundation,VMware vSphere Foundation"</formula1>
    </dataValidation>
    <dataValidation type="list" allowBlank="1" showInputMessage="1" showErrorMessage="1" sqref="J16" xr:uid="{845D40E7-F93C-9A45-8F34-252054BD321A}">
      <formula1>"No Version Selected, 9.1.0.0"</formula1>
    </dataValidation>
    <dataValidation type="list" allowBlank="1" showInputMessage="1" showErrorMessage="1" sqref="J19" xr:uid="{80022569-3F67-FE44-901D-A1A7DDCB374C}">
      <formula1>IF(mgmt_domain_deployment_type_chosen="VMware vSphere Foundation",VMware_vSphere_Foundation,INDIRECT(SUBSTITUTE(J18," ","_")))</formula1>
    </dataValidation>
  </dataValidations>
  <pageMargins left="0.7" right="0.7" top="0.75" bottom="0.75" header="0.3" footer="0.3"/>
  <pageSetup paperSize="9" orientation="portrait" horizontalDpi="0" verticalDpi="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029C-D6DD-3C4F-8E2E-53FC3544B15A}">
  <sheetPr codeName="Sheet16">
    <tabColor theme="2" tint="-9.9978637043366805E-2"/>
  </sheetPr>
  <dimension ref="A2:F145"/>
  <sheetViews>
    <sheetView showGridLines="0" workbookViewId="0">
      <pane ySplit="4" topLeftCell="A5" activePane="bottomLeft" state="frozen"/>
      <selection pane="bottomLeft"/>
    </sheetView>
  </sheetViews>
  <sheetFormatPr baseColWidth="10" defaultRowHeight="16" x14ac:dyDescent="0.2"/>
  <cols>
    <col min="1" max="1" width="2.83203125" style="9" customWidth="1"/>
    <col min="2" max="4" width="75.83203125" style="9" customWidth="1"/>
    <col min="5" max="5" width="100.83203125" style="9" customWidth="1"/>
    <col min="6" max="8" width="10.83203125" style="9" customWidth="1"/>
    <col min="9" max="16384" width="10.83203125" style="9"/>
  </cols>
  <sheetData>
    <row r="2" spans="1:6" ht="54" customHeight="1" x14ac:dyDescent="0.2">
      <c r="A2" s="149"/>
      <c r="B2" s="582" t="s">
        <v>2894</v>
      </c>
      <c r="C2" s="582"/>
      <c r="D2" s="582"/>
      <c r="E2" s="582"/>
    </row>
    <row r="3" spans="1:6" x14ac:dyDescent="0.2">
      <c r="A3" s="61"/>
      <c r="B3" s="583" t="s">
        <v>1</v>
      </c>
      <c r="C3" s="583"/>
      <c r="D3" s="583"/>
      <c r="E3" s="583"/>
      <c r="F3" s="25"/>
    </row>
    <row r="6" spans="1:6" ht="34" customHeight="1" x14ac:dyDescent="0.2">
      <c r="B6" s="427" t="s">
        <v>2895</v>
      </c>
      <c r="C6" s="428"/>
      <c r="D6" s="428"/>
      <c r="E6" s="429"/>
    </row>
    <row r="7" spans="1:6" ht="20" customHeight="1" x14ac:dyDescent="0.2">
      <c r="B7" s="421" t="s">
        <v>2896</v>
      </c>
      <c r="C7" s="422"/>
      <c r="D7" s="422"/>
      <c r="E7" s="423"/>
    </row>
    <row r="8" spans="1:6" ht="20" customHeight="1" x14ac:dyDescent="0.2">
      <c r="B8" s="63" t="s">
        <v>18</v>
      </c>
      <c r="C8" s="63" t="s">
        <v>19</v>
      </c>
      <c r="D8" s="63" t="s">
        <v>20</v>
      </c>
      <c r="E8" s="63" t="s">
        <v>21</v>
      </c>
    </row>
    <row r="9" spans="1:6" ht="20" customHeight="1" x14ac:dyDescent="0.2">
      <c r="B9" s="424" t="s">
        <v>810</v>
      </c>
      <c r="C9" s="425"/>
      <c r="D9" s="425"/>
      <c r="E9" s="426"/>
    </row>
    <row r="10" spans="1:6" ht="20" customHeight="1" x14ac:dyDescent="0.2">
      <c r="B10" s="156" t="s">
        <v>85</v>
      </c>
      <c r="C10" s="109" t="str">
        <f>sample_mgmt_az1_mgmt_vm_vlan</f>
        <v>1110</v>
      </c>
      <c r="D10" s="8" t="str">
        <f>mgmt_az1_mgmt_vm_vlan</f>
        <v>Value Missing</v>
      </c>
      <c r="E10" s="43"/>
    </row>
    <row r="11" spans="1:6" ht="20" customHeight="1" x14ac:dyDescent="0.2">
      <c r="B11" s="156" t="s">
        <v>182</v>
      </c>
      <c r="C11" s="103" t="str">
        <f>sample_mgmt_az1_mgmt_vm_gateway_cidr</f>
        <v>10.11.10.1/24</v>
      </c>
      <c r="D11" s="8" t="str">
        <f>mgmt_az1_mgmt_vm_gateway_ip</f>
        <v>Value Missing</v>
      </c>
      <c r="E11" s="43"/>
    </row>
    <row r="12" spans="1:6" ht="20" customHeight="1" x14ac:dyDescent="0.2">
      <c r="B12" s="4" t="s">
        <v>157</v>
      </c>
      <c r="C12" s="103">
        <f>sample_mgmt_az1_mgmt_vm_mtu</f>
        <v>1500</v>
      </c>
      <c r="D12" s="8" t="str">
        <f>mgmt_az1_mgmt_vm_mtu</f>
        <v>Value Missing</v>
      </c>
      <c r="E12" s="43"/>
    </row>
    <row r="13" spans="1:6" ht="20" customHeight="1" x14ac:dyDescent="0.2">
      <c r="B13" s="424" t="s">
        <v>179</v>
      </c>
      <c r="C13" s="425"/>
      <c r="D13" s="425"/>
      <c r="E13" s="426"/>
    </row>
    <row r="14" spans="1:6" ht="20" customHeight="1" x14ac:dyDescent="0.2">
      <c r="B14" s="4" t="s">
        <v>85</v>
      </c>
      <c r="C14" s="103" t="str">
        <f>sample_mgmt_az1_uplink01_vlan</f>
        <v>1117</v>
      </c>
      <c r="D14" s="8" t="str">
        <f>mgmt_az1_uplink01_vlan</f>
        <v>Value Missing</v>
      </c>
      <c r="E14" s="42"/>
    </row>
    <row r="15" spans="1:6" ht="20" customHeight="1" x14ac:dyDescent="0.2">
      <c r="B15" s="4" t="s">
        <v>182</v>
      </c>
      <c r="C15" s="103" t="str">
        <f>sample_mgmt_az1_uplink01_gateway_ip</f>
        <v>10.11.17.1</v>
      </c>
      <c r="D15" s="8" t="str">
        <f>mgmt_az1_uplink01_gateway_ip</f>
        <v>Value Missing</v>
      </c>
      <c r="E15" s="42"/>
    </row>
    <row r="16" spans="1:6" ht="20" customHeight="1" x14ac:dyDescent="0.2">
      <c r="B16" s="4" t="s">
        <v>157</v>
      </c>
      <c r="C16" s="103">
        <f>sample_mgmt_az1_uplink01_mtu</f>
        <v>9000</v>
      </c>
      <c r="D16" s="8" t="str">
        <f>mgmt_az1_uplink01_mtu</f>
        <v>Value Missing</v>
      </c>
      <c r="E16" s="42"/>
    </row>
    <row r="17" spans="2:5" ht="20" customHeight="1" x14ac:dyDescent="0.2">
      <c r="B17" s="424" t="s">
        <v>184</v>
      </c>
      <c r="C17" s="425"/>
      <c r="D17" s="425"/>
      <c r="E17" s="426"/>
    </row>
    <row r="18" spans="2:5" ht="20" customHeight="1" x14ac:dyDescent="0.2">
      <c r="B18" s="4" t="s">
        <v>85</v>
      </c>
      <c r="C18" s="103" t="str">
        <f>sample_mgmt_az1_uplink02_vlan</f>
        <v>1118</v>
      </c>
      <c r="D18" s="8" t="str">
        <f>mgmt_az1_uplink02_vlan</f>
        <v>Value Missing</v>
      </c>
      <c r="E18" s="113"/>
    </row>
    <row r="19" spans="2:5" ht="20" customHeight="1" x14ac:dyDescent="0.2">
      <c r="B19" s="4" t="s">
        <v>182</v>
      </c>
      <c r="C19" s="103" t="str">
        <f>sample_mgmt_az1_uplink02_gateway_ip</f>
        <v>10.11.18.1</v>
      </c>
      <c r="D19" s="8" t="str">
        <f>mgmt_az1_uplink02_gateway_ip</f>
        <v>Value Missing</v>
      </c>
      <c r="E19" s="42"/>
    </row>
    <row r="20" spans="2:5" ht="20" customHeight="1" x14ac:dyDescent="0.2">
      <c r="B20" s="4" t="s">
        <v>157</v>
      </c>
      <c r="C20" s="103">
        <f>sample_mgmt_az1_uplink02_mtu</f>
        <v>9000</v>
      </c>
      <c r="D20" s="8" t="str">
        <f>mgmt_az1_uplink02_mtu</f>
        <v>Value Missing</v>
      </c>
      <c r="E20" s="42"/>
    </row>
    <row r="21" spans="2:5" ht="20" customHeight="1" x14ac:dyDescent="0.2">
      <c r="B21" s="424" t="s">
        <v>185</v>
      </c>
      <c r="C21" s="425"/>
      <c r="D21" s="425"/>
      <c r="E21" s="426"/>
    </row>
    <row r="22" spans="2:5" ht="20" customHeight="1" x14ac:dyDescent="0.2">
      <c r="B22" s="4" t="s">
        <v>85</v>
      </c>
      <c r="C22" s="103" t="str">
        <f>sample_mgmt_az1_edge_overlay_vlan</f>
        <v>1119</v>
      </c>
      <c r="D22" s="8" t="str">
        <f>mgmt_az1_edge_overlay_vlan</f>
        <v>Value Missing</v>
      </c>
      <c r="E22" s="42" t="str">
        <f>IF(AND(mgmt_stretched_cluster_result="Included",mgmt_dpg_reuse_result="Included"),"Stretched L2","")</f>
        <v/>
      </c>
    </row>
    <row r="23" spans="2:5" ht="20" customHeight="1" x14ac:dyDescent="0.2">
      <c r="B23" s="4" t="s">
        <v>182</v>
      </c>
      <c r="C23" s="103" t="str">
        <f>sample_mgmt_az1_edge_overlay_gateway_ip</f>
        <v>10.11.19.1</v>
      </c>
      <c r="D23" s="8" t="str">
        <f>mgmt_az1_edge_overlay_gateway_ip</f>
        <v>Value Missing</v>
      </c>
      <c r="E23" s="42" t="str">
        <f>IF(AND(mgmt_stretched_cluster_result="Included",mgmt_dpg_reuse_result="Excluded"),"Stretched L2","")</f>
        <v/>
      </c>
    </row>
    <row r="24" spans="2:5" ht="20" customHeight="1" x14ac:dyDescent="0.2">
      <c r="B24" s="4" t="s">
        <v>157</v>
      </c>
      <c r="C24" s="103">
        <f>sample_mgmt_az1_edge_overlay_mtu</f>
        <v>9000</v>
      </c>
      <c r="D24" s="8" t="str">
        <f>mgmt_az1_edge_overlay_mtu</f>
        <v>Value Missing</v>
      </c>
      <c r="E24" s="42"/>
    </row>
    <row r="25" spans="2:5" ht="20" customHeight="1" x14ac:dyDescent="0.2">
      <c r="B25" s="583" t="s">
        <v>2897</v>
      </c>
      <c r="C25" s="583"/>
      <c r="D25" s="583"/>
      <c r="E25" s="583"/>
    </row>
    <row r="26" spans="2:5" ht="20" customHeight="1" x14ac:dyDescent="0.2">
      <c r="B26" s="4" t="s">
        <v>1029</v>
      </c>
      <c r="C26" s="103" t="str">
        <f>sample_mgmt_en_asn</f>
        <v>65101</v>
      </c>
      <c r="D26" s="8" t="str">
        <f>mgmt_en_asn</f>
        <v>Value Missing</v>
      </c>
      <c r="E26" s="42"/>
    </row>
    <row r="27" spans="2:5" ht="20" customHeight="1" x14ac:dyDescent="0.2">
      <c r="B27" s="4" t="s">
        <v>165</v>
      </c>
      <c r="C27" s="103" t="str">
        <f>sample_mgmt_az1_tor1_peer_ip</f>
        <v>10.11.17.10</v>
      </c>
      <c r="D27" s="8" t="str">
        <f>mgmt_az1_tor1_peer_ip</f>
        <v>Value Missing</v>
      </c>
      <c r="E27" s="42"/>
    </row>
    <row r="28" spans="2:5" ht="20" customHeight="1" x14ac:dyDescent="0.2">
      <c r="B28" s="4" t="s">
        <v>166</v>
      </c>
      <c r="C28" s="103" t="str">
        <f>sample_mgmt_az1_tor1_peer_asn</f>
        <v>65111</v>
      </c>
      <c r="D28" s="8" t="str">
        <f>mgmt_az1_tor1_peer_asn</f>
        <v>Value Missing</v>
      </c>
      <c r="E28" s="42"/>
    </row>
    <row r="29" spans="2:5" ht="20" customHeight="1" x14ac:dyDescent="0.2">
      <c r="B29" s="4" t="s">
        <v>167</v>
      </c>
      <c r="C29" s="103" t="str">
        <f>sample_mgmt_az1_tor1_peer_bgp_password</f>
        <v>VMw@re1!</v>
      </c>
      <c r="D29" s="8" t="str">
        <f>mgmt_az1_tor1_peer_bgp_password</f>
        <v>Value Missing</v>
      </c>
      <c r="E29" s="42"/>
    </row>
    <row r="30" spans="2:5" ht="20" customHeight="1" x14ac:dyDescent="0.2">
      <c r="B30" s="4" t="s">
        <v>168</v>
      </c>
      <c r="C30" s="103" t="str">
        <f>sample_mgmt_az1_tor2_peer_ip</f>
        <v>10.11.18.10</v>
      </c>
      <c r="D30" s="8" t="str">
        <f>mgmt_az1_tor2_peer_ip</f>
        <v>Value Missing</v>
      </c>
      <c r="E30" s="42"/>
    </row>
    <row r="31" spans="2:5" ht="20" customHeight="1" x14ac:dyDescent="0.2">
      <c r="B31" s="4" t="s">
        <v>169</v>
      </c>
      <c r="C31" s="103" t="str">
        <f>sample_mgmt_az1_tor2_peer_asn</f>
        <v>65111</v>
      </c>
      <c r="D31" s="8" t="str">
        <f>mgmt_az1_tor2_peer_asn</f>
        <v>Value Missing</v>
      </c>
      <c r="E31" s="42"/>
    </row>
    <row r="32" spans="2:5" ht="20" customHeight="1" x14ac:dyDescent="0.2">
      <c r="B32" s="4" t="s">
        <v>170</v>
      </c>
      <c r="C32" s="103" t="str">
        <f>sample_mgmt_az1_tor2_peer_bgp_password</f>
        <v>VMw@re1!</v>
      </c>
      <c r="D32" s="8" t="str">
        <f>mgmt_az1_tor2_peer_bgp_password</f>
        <v>Value Missing</v>
      </c>
      <c r="E32" s="42"/>
    </row>
    <row r="33" spans="2:5" ht="20" customHeight="1" x14ac:dyDescent="0.2">
      <c r="B33" s="424" t="s">
        <v>2898</v>
      </c>
      <c r="C33" s="425"/>
      <c r="D33" s="425"/>
      <c r="E33" s="426"/>
    </row>
    <row r="34" spans="2:5" ht="20" customHeight="1" x14ac:dyDescent="0.2">
      <c r="B34" s="40" t="str">
        <f>mgmt_az1_en1_fqdn</f>
        <v>Value Missing</v>
      </c>
      <c r="C34" s="103" t="str">
        <f>sample_mgmt_az1_en1_mgmt_cidr</f>
        <v>10.11.10.75/24</v>
      </c>
      <c r="D34" s="8" t="str">
        <f>mgmt_az1_en1_mgmt_cidr</f>
        <v>Value Missing</v>
      </c>
      <c r="E34" s="8"/>
    </row>
    <row r="35" spans="2:5" ht="20" customHeight="1" x14ac:dyDescent="0.2">
      <c r="B35" s="120" t="s">
        <v>2354</v>
      </c>
      <c r="C35" s="103" t="str">
        <f>sample_mgmt_az1_en1_uplink01_interface_cidr</f>
        <v>10.11.17.2/24</v>
      </c>
      <c r="D35" s="8" t="str">
        <f>mgmt_az1_en1_uplink01_interface_cidr</f>
        <v>Value Missing</v>
      </c>
      <c r="E35" s="8" t="s">
        <v>153</v>
      </c>
    </row>
    <row r="36" spans="2:5" ht="20" customHeight="1" x14ac:dyDescent="0.2">
      <c r="B36" s="120" t="s">
        <v>2354</v>
      </c>
      <c r="C36" s="103" t="str">
        <f>sample_mgmt_az1_en1_uplink02_interface_cidr</f>
        <v>10.11.18.2/24</v>
      </c>
      <c r="D36" s="8" t="str">
        <f>mgmt_az1_en1_uplink02_interface_cidr</f>
        <v>Value Missing</v>
      </c>
      <c r="E36" s="8" t="s">
        <v>863</v>
      </c>
    </row>
    <row r="37" spans="2:5" ht="20" customHeight="1" x14ac:dyDescent="0.2">
      <c r="B37" s="213" t="s">
        <v>2354</v>
      </c>
      <c r="C37" s="103" t="str">
        <f>sample_mgmt_az1_en1_edge_overlay_interface_ip_1_ip</f>
        <v>10.11.19.2</v>
      </c>
      <c r="D37" s="8" t="str">
        <f>mgmt_az1_en1_edge_overlay_interface_ip_1_ip</f>
        <v>Value Missing</v>
      </c>
      <c r="E37" s="8" t="s">
        <v>851</v>
      </c>
    </row>
    <row r="38" spans="2:5" ht="20" customHeight="1" x14ac:dyDescent="0.2">
      <c r="B38" s="214" t="s">
        <v>2354</v>
      </c>
      <c r="C38" s="103" t="str">
        <f>sample_mgmt_az1_en1_edge_overlay_interface_ip_2_ip</f>
        <v>10.11.19.3</v>
      </c>
      <c r="D38" s="8" t="str">
        <f>mgmt_az1_en1_edge_overlay_interface_ip_2_ip</f>
        <v>Value Missing</v>
      </c>
      <c r="E38" s="8" t="s">
        <v>2899</v>
      </c>
    </row>
    <row r="39" spans="2:5" ht="20" customHeight="1" x14ac:dyDescent="0.2">
      <c r="B39" s="40" t="str">
        <f>mgmt_az1_en2_fqdn</f>
        <v>Value Missing</v>
      </c>
      <c r="C39" s="103" t="str">
        <f>sample_mgmt_az1_en2_mgmt_cidr</f>
        <v>10.11.10.76/24</v>
      </c>
      <c r="D39" s="8" t="str">
        <f>mgmt_az1_en2_mgmt_cidr</f>
        <v>Value Missing</v>
      </c>
      <c r="E39" s="8"/>
    </row>
    <row r="40" spans="2:5" ht="20" customHeight="1" x14ac:dyDescent="0.2">
      <c r="B40" s="120" t="s">
        <v>2354</v>
      </c>
      <c r="C40" s="103" t="str">
        <f>sample_mgmt_az1_en2_uplink01_interface_cidr</f>
        <v>10.11.17.3/24</v>
      </c>
      <c r="D40" s="8" t="str">
        <f>mgmt_az1_en2_uplink01_interface_cidr</f>
        <v>Value Missing</v>
      </c>
      <c r="E40" s="8" t="s">
        <v>164</v>
      </c>
    </row>
    <row r="41" spans="2:5" ht="20" customHeight="1" x14ac:dyDescent="0.2">
      <c r="B41" s="120" t="s">
        <v>2354</v>
      </c>
      <c r="C41" s="103" t="str">
        <f>sample_mgmt_az1_en2_uplink02_interface_cidr</f>
        <v>10.11.18.3/24</v>
      </c>
      <c r="D41" s="8" t="str">
        <f>mgmt_az1_en2_uplink02_interface_cidr</f>
        <v>Value Missing</v>
      </c>
      <c r="E41" s="8" t="s">
        <v>162</v>
      </c>
    </row>
    <row r="42" spans="2:5" ht="20" customHeight="1" x14ac:dyDescent="0.2">
      <c r="B42" s="213" t="s">
        <v>2354</v>
      </c>
      <c r="C42" s="103" t="str">
        <f>sample_mgmt_az1_en2_edge_overlay_interface_ip_1_ip</f>
        <v>10.11.19.4</v>
      </c>
      <c r="D42" s="8" t="str">
        <f>mgmt_az1_en2_edge_overlay_interface_ip_1_ip</f>
        <v>Value Missing</v>
      </c>
      <c r="E42" s="8" t="s">
        <v>858</v>
      </c>
    </row>
    <row r="43" spans="2:5" ht="20" customHeight="1" x14ac:dyDescent="0.2">
      <c r="B43" s="214" t="s">
        <v>2354</v>
      </c>
      <c r="C43" s="103" t="str">
        <f>sample_mgmt_az1_en2_edge_overlay_interface_ip_2_ip</f>
        <v>10.11.19.5</v>
      </c>
      <c r="D43" s="8" t="str">
        <f>mgmt_az1_en2_edge_overlay_interface_ip_2_ip</f>
        <v>Value Missing</v>
      </c>
      <c r="E43" s="8" t="s">
        <v>860</v>
      </c>
    </row>
    <row r="45" spans="2:5" ht="34" customHeight="1" x14ac:dyDescent="0.2">
      <c r="B45" s="427" t="s">
        <v>2900</v>
      </c>
      <c r="C45" s="428"/>
      <c r="D45" s="428"/>
      <c r="E45" s="429"/>
    </row>
    <row r="46" spans="2:5" ht="20" customHeight="1" x14ac:dyDescent="0.2">
      <c r="B46" s="63" t="s">
        <v>18</v>
      </c>
      <c r="C46" s="63" t="s">
        <v>19</v>
      </c>
      <c r="D46" s="63" t="s">
        <v>20</v>
      </c>
      <c r="E46" s="63" t="s">
        <v>21</v>
      </c>
    </row>
    <row r="47" spans="2:5" ht="20" customHeight="1" x14ac:dyDescent="0.2">
      <c r="B47" s="424" t="s">
        <v>810</v>
      </c>
      <c r="C47" s="425"/>
      <c r="D47" s="425"/>
      <c r="E47" s="426"/>
    </row>
    <row r="48" spans="2:5" ht="20" customHeight="1" x14ac:dyDescent="0.2">
      <c r="B48" s="4" t="s">
        <v>85</v>
      </c>
      <c r="C48" s="109" t="str">
        <f>sample_mgmt_az1_mgmt_vm_vlan</f>
        <v>1110</v>
      </c>
      <c r="D48" s="8" t="str">
        <f>mgmt_az1_mgmt_vm_vlan</f>
        <v>Value Missing</v>
      </c>
      <c r="E48" s="43"/>
    </row>
    <row r="49" spans="2:5" ht="20" customHeight="1" x14ac:dyDescent="0.2">
      <c r="B49" s="4" t="s">
        <v>182</v>
      </c>
      <c r="C49" s="103" t="str">
        <f>sample_mgmt_az1_mgmt_vm_gateway_cidr</f>
        <v>10.11.10.1/24</v>
      </c>
      <c r="D49" s="8" t="str">
        <f>mgmt_az1_mgmt_vm_gateway_ip</f>
        <v>Value Missing</v>
      </c>
      <c r="E49" s="43"/>
    </row>
    <row r="50" spans="2:5" ht="20" customHeight="1" x14ac:dyDescent="0.2">
      <c r="B50" s="4" t="s">
        <v>157</v>
      </c>
      <c r="C50" s="103">
        <f>sample_mgmt_az1_mgmt_vm_mtu</f>
        <v>1500</v>
      </c>
      <c r="D50" s="8" t="str">
        <f>mgmt_az1_mgmt_vm_mtu</f>
        <v>Value Missing</v>
      </c>
      <c r="E50" s="43"/>
    </row>
    <row r="51" spans="2:5" ht="20" customHeight="1" x14ac:dyDescent="0.2">
      <c r="B51" s="424" t="s">
        <v>2901</v>
      </c>
      <c r="C51" s="425"/>
      <c r="D51" s="425"/>
      <c r="E51" s="426"/>
    </row>
    <row r="52" spans="2:5" ht="20" customHeight="1" x14ac:dyDescent="0.2">
      <c r="B52" s="40" t="str">
        <f t="array" ref="B52">sample_mgmt_avilb_fqdn</f>
        <v>sfo-m01-avilb01.sfo.rainpole.io</v>
      </c>
      <c r="C52" s="103" t="str">
        <f>sample_mgmt_avilb_ip</f>
        <v>10.11.10.91</v>
      </c>
      <c r="D52" s="8" t="str">
        <f>mgmt_avilb_ip</f>
        <v>Value Missing</v>
      </c>
      <c r="E52" s="120" t="s">
        <v>202</v>
      </c>
    </row>
    <row r="53" spans="2:5" ht="20" customHeight="1" x14ac:dyDescent="0.2">
      <c r="B53" s="120" t="s">
        <v>2354</v>
      </c>
      <c r="C53" s="103" t="str">
        <f>sample_mgmt_avilb_mgra_ip</f>
        <v>10.11.10.92</v>
      </c>
      <c r="D53" s="8" t="str">
        <f>mgmt_avilb_mgra_ip</f>
        <v>Value Missing</v>
      </c>
      <c r="E53" s="120" t="s">
        <v>196</v>
      </c>
    </row>
    <row r="54" spans="2:5" ht="20" customHeight="1" x14ac:dyDescent="0.2">
      <c r="B54" s="120" t="s">
        <v>2354</v>
      </c>
      <c r="C54" s="103" t="str">
        <f>sample_mgmt_avilb_mgrb_ip</f>
        <v>10.11.10.93</v>
      </c>
      <c r="D54" s="8" t="str">
        <f>mgmt_avilb_mgrc_ip</f>
        <v>Value Missing</v>
      </c>
      <c r="E54" s="120" t="s">
        <v>198</v>
      </c>
    </row>
    <row r="55" spans="2:5" ht="20" customHeight="1" x14ac:dyDescent="0.2">
      <c r="B55" s="120" t="s">
        <v>2354</v>
      </c>
      <c r="C55" s="103" t="str">
        <f>sample_mgmt_avilb_mgrc_ip</f>
        <v>10.11.10.94</v>
      </c>
      <c r="D55" s="8" t="str">
        <f>mgmt_avilb_mgrc_ip</f>
        <v>Value Missing</v>
      </c>
      <c r="E55" s="120" t="s">
        <v>200</v>
      </c>
    </row>
    <row r="57" spans="2:5" ht="34" customHeight="1" x14ac:dyDescent="0.2">
      <c r="B57" s="427" t="s">
        <v>2902</v>
      </c>
      <c r="C57" s="428"/>
      <c r="D57" s="428"/>
      <c r="E57" s="429"/>
    </row>
    <row r="58" spans="2:5" ht="20" customHeight="1" x14ac:dyDescent="0.2">
      <c r="B58" s="63" t="s">
        <v>18</v>
      </c>
      <c r="C58" s="63" t="s">
        <v>19</v>
      </c>
      <c r="D58" s="63" t="s">
        <v>20</v>
      </c>
      <c r="E58" s="63" t="s">
        <v>21</v>
      </c>
    </row>
    <row r="59" spans="2:5" ht="20" customHeight="1" x14ac:dyDescent="0.2">
      <c r="B59" s="424" t="s">
        <v>2903</v>
      </c>
      <c r="C59" s="425"/>
      <c r="D59" s="425"/>
      <c r="E59" s="426"/>
    </row>
    <row r="60" spans="2:5" ht="20" customHeight="1" x14ac:dyDescent="0.2">
      <c r="B60" s="4" t="s">
        <v>85</v>
      </c>
      <c r="C60" s="65" t="str">
        <f>sample_mgmt_witnessaz_mgmt_vlan</f>
        <v>2110</v>
      </c>
      <c r="D60" s="10" t="str">
        <f>mgmt_witnessaz_mgmt_vlan</f>
        <v>Value Missing</v>
      </c>
      <c r="E60" s="42"/>
    </row>
    <row r="61" spans="2:5" ht="20" customHeight="1" x14ac:dyDescent="0.2">
      <c r="B61" s="4" t="s">
        <v>182</v>
      </c>
      <c r="C61" s="65" t="str">
        <f>sample_mgmt_witnessaz_mgmt_gateway_ip</f>
        <v>10.21.10.1</v>
      </c>
      <c r="D61" s="10" t="str">
        <f>mgmt_witnessaz_mgmt_gateway_ip</f>
        <v>Value Missing</v>
      </c>
      <c r="E61" s="42"/>
    </row>
    <row r="62" spans="2:5" ht="20" customHeight="1" x14ac:dyDescent="0.2">
      <c r="B62" s="4" t="s">
        <v>183</v>
      </c>
      <c r="C62" s="65" t="str">
        <f>sample_mgmt_witnessaz_mgmt_cidr</f>
        <v>10.21.10.0/24</v>
      </c>
      <c r="D62" s="10" t="str">
        <f>mgmt_witnessaz_mgmt_cidr</f>
        <v>Value Missing</v>
      </c>
      <c r="E62" s="42"/>
    </row>
    <row r="63" spans="2:5" ht="20" customHeight="1" x14ac:dyDescent="0.2">
      <c r="B63" s="4" t="s">
        <v>157</v>
      </c>
      <c r="C63" s="65">
        <f>sample_mgmt_witnessaz_mgmt_mtu</f>
        <v>1500</v>
      </c>
      <c r="D63" s="10" t="str">
        <f>mgmt_witnessaz_mgmt_mtu</f>
        <v>Value Missing</v>
      </c>
      <c r="E63" s="42"/>
    </row>
    <row r="64" spans="2:5" ht="20" customHeight="1" x14ac:dyDescent="0.2">
      <c r="B64" s="550" t="s">
        <v>244</v>
      </c>
      <c r="C64" s="551"/>
      <c r="D64" s="551"/>
      <c r="E64" s="662"/>
    </row>
    <row r="65" spans="2:5" ht="20" customHeight="1" x14ac:dyDescent="0.2">
      <c r="B65" s="30" t="s">
        <v>85</v>
      </c>
      <c r="C65" s="103" t="str">
        <f>sample_mgmt_az2_vmotion_vlan</f>
        <v>1212</v>
      </c>
      <c r="D65" s="10" t="str">
        <f>mgmt_az2_vmotion_vlan</f>
        <v>Value Missing</v>
      </c>
      <c r="E65" s="243"/>
    </row>
    <row r="66" spans="2:5" ht="20" customHeight="1" x14ac:dyDescent="0.2">
      <c r="B66" s="30" t="s">
        <v>182</v>
      </c>
      <c r="C66" s="103" t="str">
        <f>sample_mgmt_az2_vmotion_gateway_cidr</f>
        <v>10.12.12.1</v>
      </c>
      <c r="D66" s="10" t="str">
        <f>mgmt_az2_vmotion_gateway_ip</f>
        <v>Value Missing</v>
      </c>
      <c r="E66" s="194"/>
    </row>
    <row r="67" spans="2:5" ht="20" customHeight="1" x14ac:dyDescent="0.2">
      <c r="B67" s="30" t="s">
        <v>183</v>
      </c>
      <c r="C67" s="103" t="str">
        <f>CONCATENATE(prefix_mgmt_az2_cidr,"12.0/24")</f>
        <v>10.12.12.0/24</v>
      </c>
      <c r="D67" s="10" t="str">
        <f>mgmt_az2_vmotion_cidr</f>
        <v>Value Missing</v>
      </c>
      <c r="E67" s="194"/>
    </row>
    <row r="68" spans="2:5" ht="20" customHeight="1" x14ac:dyDescent="0.2">
      <c r="B68" s="30" t="s">
        <v>157</v>
      </c>
      <c r="C68" s="103">
        <f>sample_mgmt_az2_vmotion_mtu</f>
        <v>9000</v>
      </c>
      <c r="D68" s="10" t="str">
        <f>mgmt_az2_vmotion_mtu</f>
        <v>Value Missing</v>
      </c>
      <c r="E68" s="194"/>
    </row>
    <row r="69" spans="2:5" ht="20" customHeight="1" x14ac:dyDescent="0.2">
      <c r="B69" s="30" t="s">
        <v>248</v>
      </c>
      <c r="C69" s="103" t="str">
        <f>sample_mgmt_az2_vmotion_pool_end_ip</f>
        <v>10.12.12.116</v>
      </c>
      <c r="D69" s="10" t="str">
        <f>mgmt_az2_vmotion_pool_end_ip</f>
        <v>Value Missing</v>
      </c>
      <c r="E69" s="194"/>
    </row>
    <row r="70" spans="2:5" ht="20" customHeight="1" x14ac:dyDescent="0.2">
      <c r="B70" s="30" t="s">
        <v>249</v>
      </c>
      <c r="C70" s="103" t="str">
        <f>sample_mgmt_az2_vmotion_pool_start_ip</f>
        <v>10.12.12.101</v>
      </c>
      <c r="D70" s="10" t="str">
        <f>mgmt_az2_vmotion_pool_start_ip</f>
        <v>Value Missing</v>
      </c>
      <c r="E70" s="194"/>
    </row>
    <row r="71" spans="2:5" ht="20" customHeight="1" x14ac:dyDescent="0.2">
      <c r="B71" s="550" t="s">
        <v>250</v>
      </c>
      <c r="C71" s="551"/>
      <c r="D71" s="551"/>
      <c r="E71" s="552"/>
    </row>
    <row r="72" spans="2:5" ht="20" customHeight="1" x14ac:dyDescent="0.2">
      <c r="B72" s="30" t="s">
        <v>85</v>
      </c>
      <c r="C72" s="103" t="str">
        <f>sample_mgmt_az2_vsan_vlan</f>
        <v>1213</v>
      </c>
      <c r="D72" s="10" t="str">
        <f>mgmt_az2_vsan_vlan</f>
        <v>Value Missing</v>
      </c>
      <c r="E72" s="194"/>
    </row>
    <row r="73" spans="2:5" ht="20" customHeight="1" x14ac:dyDescent="0.2">
      <c r="B73" s="30" t="s">
        <v>182</v>
      </c>
      <c r="C73" s="103" t="str">
        <f>sample_mgmt_az2_vsan_gateway_ip</f>
        <v>10.12.13.1</v>
      </c>
      <c r="D73" s="10" t="str">
        <f>mgmt_az2_vsan_gateway_ip</f>
        <v>Value Missing</v>
      </c>
      <c r="E73" s="194" t="s">
        <v>2904</v>
      </c>
    </row>
    <row r="74" spans="2:5" ht="20" customHeight="1" x14ac:dyDescent="0.2">
      <c r="B74" s="30" t="s">
        <v>157</v>
      </c>
      <c r="C74" s="103">
        <f>sample_mgmt_az2_vsan_mtu</f>
        <v>9000</v>
      </c>
      <c r="D74" s="10" t="str">
        <f>mgmt_az2_vsan_mtu</f>
        <v>Value Missing</v>
      </c>
      <c r="E74" s="194"/>
    </row>
    <row r="75" spans="2:5" ht="20" customHeight="1" x14ac:dyDescent="0.2">
      <c r="B75" s="30" t="s">
        <v>183</v>
      </c>
      <c r="C75" s="103" t="str">
        <f>CONCATENATE(prefix_mgmt_az2_cidr,"13.0/24")</f>
        <v>10.12.13.0/24</v>
      </c>
      <c r="D75" s="10" t="str">
        <f>mgmt_az2_vsan_cidr</f>
        <v>Value Missing</v>
      </c>
      <c r="E75" s="194"/>
    </row>
    <row r="76" spans="2:5" ht="20" customHeight="1" x14ac:dyDescent="0.2">
      <c r="B76" s="30" t="s">
        <v>248</v>
      </c>
      <c r="C76" s="103" t="str">
        <f>sample_mgmt_az2_vsan_pool_start_ip</f>
        <v>10.12.13.101</v>
      </c>
      <c r="D76" s="10" t="str">
        <f>mgmt_az2_vsan_pool_start_ip</f>
        <v>Value Missing</v>
      </c>
      <c r="E76" s="194"/>
    </row>
    <row r="77" spans="2:5" ht="20" customHeight="1" x14ac:dyDescent="0.2">
      <c r="B77" s="30" t="s">
        <v>249</v>
      </c>
      <c r="C77" s="103" t="str">
        <f>sample_mgmt_az2_vsan_pool_end_ip</f>
        <v>10.12.13.116</v>
      </c>
      <c r="D77" s="10" t="str">
        <f>mgmt_az2_vsan_pool_end_ip</f>
        <v>Value Missing</v>
      </c>
      <c r="E77" s="194"/>
    </row>
    <row r="78" spans="2:5" ht="20" customHeight="1" x14ac:dyDescent="0.2">
      <c r="B78" s="550" t="s">
        <v>251</v>
      </c>
      <c r="C78" s="551"/>
      <c r="D78" s="551"/>
      <c r="E78" s="552"/>
    </row>
    <row r="79" spans="2:5" ht="20" customHeight="1" x14ac:dyDescent="0.2">
      <c r="B79" s="30" t="s">
        <v>85</v>
      </c>
      <c r="C79" s="166" t="str">
        <f>sample_mgmt_az2_secondary_storage_vlan</f>
        <v>1215</v>
      </c>
      <c r="D79" s="326" t="str">
        <f>mgmt_az2_secondary_storage_vlan</f>
        <v>Value Missing</v>
      </c>
      <c r="E79" s="194"/>
    </row>
    <row r="80" spans="2:5" ht="20" customHeight="1" x14ac:dyDescent="0.2">
      <c r="B80" s="30" t="s">
        <v>182</v>
      </c>
      <c r="C80" s="166" t="str">
        <f>sample_mgmt_az2_secondary_storage_gateway_ip</f>
        <v>10.12.15.1</v>
      </c>
      <c r="D80" s="326" t="str">
        <f>mgmt_az2_secondary_storage_gateway_ip</f>
        <v>Value Missing</v>
      </c>
      <c r="E80" s="194"/>
    </row>
    <row r="81" spans="2:5" ht="20" customHeight="1" x14ac:dyDescent="0.2">
      <c r="B81" s="30" t="s">
        <v>157</v>
      </c>
      <c r="C81" s="166">
        <f>sample_mgmt_az2_secondary_storage_mtu</f>
        <v>9000</v>
      </c>
      <c r="D81" s="326" t="str">
        <f>mgmt_az2_secondary_storage_mtu</f>
        <v>Value Missing</v>
      </c>
      <c r="E81" s="194"/>
    </row>
    <row r="82" spans="2:5" ht="20" customHeight="1" x14ac:dyDescent="0.2">
      <c r="B82" s="30" t="s">
        <v>183</v>
      </c>
      <c r="C82" s="166" t="str">
        <f>CONCATENATE(prefix_mgmt_az2_cidr,"15.0/24")</f>
        <v>10.12.15.0/24</v>
      </c>
      <c r="D82" s="326" t="str">
        <f>sample_mgmt_az2_secondary_storage_cidr</f>
        <v>10.12.15.0/24</v>
      </c>
      <c r="E82" s="194"/>
    </row>
    <row r="83" spans="2:5" ht="20" customHeight="1" x14ac:dyDescent="0.2">
      <c r="B83" s="30" t="s">
        <v>248</v>
      </c>
      <c r="C83" s="166" t="str">
        <f>sample_mgmt_az2_secondary_storage_pool_start_ip</f>
        <v>10.12.15.101</v>
      </c>
      <c r="D83" s="327" t="str">
        <f>mgmt_az2_secondary_storage_pool_start_ip</f>
        <v>Value Missing</v>
      </c>
      <c r="E83" s="194"/>
    </row>
    <row r="84" spans="2:5" ht="20" customHeight="1" x14ac:dyDescent="0.2">
      <c r="B84" s="30" t="s">
        <v>249</v>
      </c>
      <c r="C84" s="166" t="str">
        <f>sample_mgmt_az2_secondary_storage_pool_end_ip</f>
        <v>10.12.15.116</v>
      </c>
      <c r="D84" s="327" t="str">
        <f>mgmt_az2_secondary_storage_pool_end_ip</f>
        <v>Value Missing</v>
      </c>
      <c r="E84" s="194"/>
    </row>
    <row r="85" spans="2:5" ht="20" customHeight="1" x14ac:dyDescent="0.2">
      <c r="B85" s="550" t="s">
        <v>815</v>
      </c>
      <c r="C85" s="551"/>
      <c r="D85" s="551"/>
      <c r="E85" s="552"/>
    </row>
    <row r="86" spans="2:5" ht="20" customHeight="1" x14ac:dyDescent="0.2">
      <c r="B86" s="30" t="s">
        <v>85</v>
      </c>
      <c r="C86" s="103" t="str">
        <f>sample_mgmt_az2_host_overlay_vlan</f>
        <v>1214</v>
      </c>
      <c r="D86" s="10" t="str">
        <f>mgmt_az2_host_overlay_vlan</f>
        <v>Value Missing</v>
      </c>
      <c r="E86" s="194"/>
    </row>
    <row r="87" spans="2:5" ht="20" customHeight="1" x14ac:dyDescent="0.2">
      <c r="B87" s="30" t="s">
        <v>182</v>
      </c>
      <c r="C87" s="103" t="str">
        <f>sample_mgmt_az2_host_overlay_gateway_ip</f>
        <v>10.12.14.1</v>
      </c>
      <c r="D87" s="10" t="str">
        <f>mgmt_az2_host_overlay_gateway_ip</f>
        <v>Value Missing</v>
      </c>
      <c r="E87" s="194"/>
    </row>
    <row r="88" spans="2:5" ht="20" customHeight="1" x14ac:dyDescent="0.2">
      <c r="B88" s="30" t="s">
        <v>157</v>
      </c>
      <c r="C88" s="103">
        <f>sample_mgmt_az2_host_overlay_mtu</f>
        <v>9000</v>
      </c>
      <c r="D88" s="10" t="str">
        <f>mgmt_az2_host_overlay_mtu</f>
        <v>Value Missing</v>
      </c>
      <c r="E88" s="194"/>
    </row>
    <row r="89" spans="2:5" ht="20" customHeight="1" x14ac:dyDescent="0.2">
      <c r="B89" s="30" t="s">
        <v>183</v>
      </c>
      <c r="C89" s="103" t="str">
        <f>sample_mgmt_az2_host_overlay_cidr</f>
        <v>10.12.14.0/24</v>
      </c>
      <c r="D89" s="10" t="str">
        <f>mgmt_az2_host_overlay_cidr</f>
        <v>Value Missing</v>
      </c>
      <c r="E89" s="194"/>
    </row>
    <row r="90" spans="2:5" ht="20" customHeight="1" x14ac:dyDescent="0.2">
      <c r="B90" s="30" t="s">
        <v>248</v>
      </c>
      <c r="C90" s="103" t="str">
        <f>sample_mgmt_az2_host_overlay_pool_start_ip</f>
        <v>10.12.14.101</v>
      </c>
      <c r="D90" s="10" t="str">
        <f>mgmt_az2_host_overlay_pool_start_ip</f>
        <v>Value Missing</v>
      </c>
      <c r="E90" s="194"/>
    </row>
    <row r="91" spans="2:5" ht="20" customHeight="1" x14ac:dyDescent="0.2">
      <c r="B91" s="30" t="s">
        <v>249</v>
      </c>
      <c r="C91" s="103" t="str">
        <f>sample_mgmt_az2_host_overlay_pool_end_ip</f>
        <v>10.12.14.132</v>
      </c>
      <c r="D91" s="10" t="str">
        <f>mgmt_az2_host_overlay_pool_end_ip</f>
        <v>Value Missing</v>
      </c>
      <c r="E91" s="194"/>
    </row>
    <row r="92" spans="2:5" ht="20" customHeight="1" x14ac:dyDescent="0.2">
      <c r="B92" s="424" t="s">
        <v>2901</v>
      </c>
      <c r="C92" s="425"/>
      <c r="D92" s="425"/>
      <c r="E92" s="426"/>
    </row>
    <row r="93" spans="2:5" ht="20" customHeight="1" x14ac:dyDescent="0.2">
      <c r="B93" s="216" t="str">
        <f>mgmt_witness_fqdn</f>
        <v>Value Missing</v>
      </c>
      <c r="C93" s="215" t="str">
        <f>sample_mgmt_witness_ip</f>
        <v>10.21.10.218</v>
      </c>
      <c r="D93" s="216" t="str">
        <f>mgmt_witness_mgmt_ip</f>
        <v>Value Missing</v>
      </c>
      <c r="E93" s="181" t="s">
        <v>271</v>
      </c>
    </row>
    <row r="94" spans="2:5" ht="20" customHeight="1" x14ac:dyDescent="0.2">
      <c r="B94" s="216" t="str">
        <f t="array" ref="B94">mgmt_witness_vcenter_fqdn</f>
        <v>Value Missing</v>
      </c>
      <c r="C94" s="215" t="str">
        <f>sample_mgmt_witness_zone_vc_ip</f>
        <v>10.21.10.70</v>
      </c>
      <c r="D94" s="216" t="str">
        <f>mgmt_witness_zone_vc_ip</f>
        <v>Value Missing</v>
      </c>
      <c r="E94" s="181" t="s">
        <v>267</v>
      </c>
    </row>
    <row r="95" spans="2:5" ht="20" customHeight="1" x14ac:dyDescent="0.2">
      <c r="B95" s="544" t="s">
        <v>2905</v>
      </c>
      <c r="C95" s="545"/>
      <c r="D95" s="545"/>
      <c r="E95" s="546"/>
    </row>
    <row r="96" spans="2:5" ht="20" customHeight="1" x14ac:dyDescent="0.2">
      <c r="B96" s="216" t="str">
        <f t="array" ref="B96:B111">mgmt_az2_host_fqdns</f>
        <v>Value Missing</v>
      </c>
      <c r="C96" s="162" t="str">
        <f>CONCATENATE(prefix_mgmt_az2_cidr,"11.101")</f>
        <v>10.12.11.101</v>
      </c>
      <c r="D96" s="216" t="str">
        <f>mgmt_az2_host1_mgmt_ip</f>
        <v>Value Missing</v>
      </c>
      <c r="E96" s="181"/>
    </row>
    <row r="97" spans="2:5" ht="20" customHeight="1" x14ac:dyDescent="0.2">
      <c r="B97" s="216" t="str">
        <v>Value Missing</v>
      </c>
      <c r="C97" s="162" t="str">
        <f>CONCATENATE(prefix_mgmt_az2_cidr,"11.102")</f>
        <v>10.12.11.102</v>
      </c>
      <c r="D97" s="216" t="str">
        <f>mgmt_az2_host2_mgmt_ip</f>
        <v>Value Missing</v>
      </c>
      <c r="E97" s="181"/>
    </row>
    <row r="98" spans="2:5" ht="20" customHeight="1" x14ac:dyDescent="0.2">
      <c r="B98" s="216" t="str">
        <v>Value Missing</v>
      </c>
      <c r="C98" s="162" t="str">
        <f>CONCATENATE(prefix_mgmt_az2_cidr,"11.103")</f>
        <v>10.12.11.103</v>
      </c>
      <c r="D98" s="216" t="str">
        <f>mgmt_az2_host3_mgmt_ip</f>
        <v>Value Missing</v>
      </c>
      <c r="E98" s="181"/>
    </row>
    <row r="99" spans="2:5" ht="20" customHeight="1" x14ac:dyDescent="0.2">
      <c r="B99" s="216" t="str">
        <v>Value Missing</v>
      </c>
      <c r="C99" s="162" t="str">
        <f>CONCATENATE(prefix_mgmt_az2_cidr,"11.104")</f>
        <v>10.12.11.104</v>
      </c>
      <c r="D99" s="216" t="str">
        <f>mgmt_az2_host4_mgmt_ip</f>
        <v>Value Missing</v>
      </c>
      <c r="E99" s="181"/>
    </row>
    <row r="100" spans="2:5" ht="20" customHeight="1" x14ac:dyDescent="0.2">
      <c r="B100" s="216" t="str">
        <v>Value Missing</v>
      </c>
      <c r="C100" s="162" t="str">
        <f>CONCATENATE(prefix_mgmt_az2_cidr,"11.105")</f>
        <v>10.12.11.105</v>
      </c>
      <c r="D100" s="216" t="str">
        <f>mgmt_az2_host5_mgmt_ip</f>
        <v>Value Missing</v>
      </c>
      <c r="E100" s="181"/>
    </row>
    <row r="101" spans="2:5" ht="20" customHeight="1" x14ac:dyDescent="0.2">
      <c r="B101" s="216" t="str">
        <v>Value Missing</v>
      </c>
      <c r="C101" s="162" t="str">
        <f>CONCATENATE(prefix_mgmt_az2_cidr,"11.106")</f>
        <v>10.12.11.106</v>
      </c>
      <c r="D101" s="216" t="str">
        <f>mgmt_az2_host6_mgmt_ip</f>
        <v>Value Missing</v>
      </c>
      <c r="E101" s="181"/>
    </row>
    <row r="102" spans="2:5" ht="20" customHeight="1" x14ac:dyDescent="0.2">
      <c r="B102" s="216" t="str">
        <v>Value Missing</v>
      </c>
      <c r="C102" s="162" t="str">
        <f>CONCATENATE(prefix_mgmt_az2_cidr,"11.107")</f>
        <v>10.12.11.107</v>
      </c>
      <c r="D102" s="216" t="str">
        <f>mgmt_az2_host7_mgmt_ip</f>
        <v>Value Missing</v>
      </c>
      <c r="E102" s="181"/>
    </row>
    <row r="103" spans="2:5" ht="20" customHeight="1" x14ac:dyDescent="0.2">
      <c r="B103" s="216" t="str">
        <v>Value Missing</v>
      </c>
      <c r="C103" s="162" t="str">
        <f>CONCATENATE(prefix_mgmt_az2_cidr,"11.108")</f>
        <v>10.12.11.108</v>
      </c>
      <c r="D103" s="216" t="str">
        <f>mgmt_az2_host8_mgmt_ip</f>
        <v>Value Missing</v>
      </c>
      <c r="E103" s="181"/>
    </row>
    <row r="104" spans="2:5" ht="20" customHeight="1" x14ac:dyDescent="0.2">
      <c r="B104" s="216" t="str">
        <v>Value Missing</v>
      </c>
      <c r="C104" s="162" t="str">
        <f>CONCATENATE(prefix_mgmt_az2_cidr,"11.109")</f>
        <v>10.12.11.109</v>
      </c>
      <c r="D104" s="216" t="str">
        <f>mgmt_az2_host9_mgmt_ip</f>
        <v>Value Missing</v>
      </c>
      <c r="E104" s="181"/>
    </row>
    <row r="105" spans="2:5" ht="20" customHeight="1" x14ac:dyDescent="0.2">
      <c r="B105" s="216" t="str">
        <v>Value Missing</v>
      </c>
      <c r="C105" s="162" t="str">
        <f>CONCATENATE(prefix_mgmt_az2_cidr,"11.110")</f>
        <v>10.12.11.110</v>
      </c>
      <c r="D105" s="216" t="str">
        <f>mgmt_az2_host10_mgmt_ip</f>
        <v>Value Missing</v>
      </c>
      <c r="E105" s="181"/>
    </row>
    <row r="106" spans="2:5" ht="20" customHeight="1" x14ac:dyDescent="0.2">
      <c r="B106" s="216" t="str">
        <v>Value Missing</v>
      </c>
      <c r="C106" s="162" t="str">
        <f>CONCATENATE(prefix_mgmt_az2_cidr,"11.111")</f>
        <v>10.12.11.111</v>
      </c>
      <c r="D106" s="216" t="str">
        <f>mgmt_az2_host11_mgmt_ip</f>
        <v>Value Missing</v>
      </c>
      <c r="E106" s="181"/>
    </row>
    <row r="107" spans="2:5" ht="20" customHeight="1" x14ac:dyDescent="0.2">
      <c r="B107" s="216" t="str">
        <v>Value Missing</v>
      </c>
      <c r="C107" s="162" t="str">
        <f>CONCATENATE(prefix_mgmt_az2_cidr,"11.112")</f>
        <v>10.12.11.112</v>
      </c>
      <c r="D107" s="216" t="str">
        <f>mgmt_az2_host12_mgmt_ip</f>
        <v>Value Missing</v>
      </c>
      <c r="E107" s="181"/>
    </row>
    <row r="108" spans="2:5" ht="20" customHeight="1" x14ac:dyDescent="0.2">
      <c r="B108" s="216" t="str">
        <v>Value Missing</v>
      </c>
      <c r="C108" s="162" t="str">
        <f>CONCATENATE(prefix_mgmt_az2_cidr,"11.113")</f>
        <v>10.12.11.113</v>
      </c>
      <c r="D108" s="216" t="str">
        <f>mgmt_az2_host13_mgmt_ip</f>
        <v>Value Missing</v>
      </c>
      <c r="E108" s="181"/>
    </row>
    <row r="109" spans="2:5" ht="20" customHeight="1" x14ac:dyDescent="0.2">
      <c r="B109" s="216" t="str">
        <v>Value Missing</v>
      </c>
      <c r="C109" s="162" t="str">
        <f>CONCATENATE(prefix_mgmt_az2_cidr,"11.114")</f>
        <v>10.12.11.114</v>
      </c>
      <c r="D109" s="216" t="str">
        <f>mgmt_az2_host14_mgmt_ip</f>
        <v>Value Missing</v>
      </c>
      <c r="E109" s="181"/>
    </row>
    <row r="110" spans="2:5" ht="20" customHeight="1" x14ac:dyDescent="0.2">
      <c r="B110" s="216" t="str">
        <v>Value Missing</v>
      </c>
      <c r="C110" s="162" t="str">
        <f>CONCATENATE(prefix_mgmt_az2_cidr,"11.115")</f>
        <v>10.12.11.115</v>
      </c>
      <c r="D110" s="216" t="str">
        <f>mgmt_az2_host15_mgmt_ip</f>
        <v>Value Missing</v>
      </c>
      <c r="E110" s="181"/>
    </row>
    <row r="111" spans="2:5" ht="20" customHeight="1" x14ac:dyDescent="0.2">
      <c r="B111" s="216" t="str">
        <v>Value Missing</v>
      </c>
      <c r="C111" s="162" t="str">
        <f>CONCATENATE(prefix_mgmt_az2_cidr,"11.116")</f>
        <v>10.12.11.116</v>
      </c>
      <c r="D111" s="216" t="str">
        <f>mgmt_az2_host16_mgmt_ip</f>
        <v>Value Missing</v>
      </c>
      <c r="E111" s="181"/>
    </row>
    <row r="112" spans="2:5" ht="20" customHeight="1" x14ac:dyDescent="0.2">
      <c r="B112" s="583" t="s">
        <v>2897</v>
      </c>
      <c r="C112" s="583"/>
      <c r="D112" s="583"/>
      <c r="E112" s="583"/>
    </row>
    <row r="113" spans="2:5" ht="20" customHeight="1" x14ac:dyDescent="0.2">
      <c r="B113" s="4" t="s">
        <v>1029</v>
      </c>
      <c r="C113" s="103" t="str">
        <f>sample_mgmt_en_asn</f>
        <v>65101</v>
      </c>
      <c r="D113" s="8" t="str">
        <f>mgmt_en_asn</f>
        <v>Value Missing</v>
      </c>
      <c r="E113" s="42"/>
    </row>
    <row r="114" spans="2:5" ht="20" customHeight="1" x14ac:dyDescent="0.2">
      <c r="B114" s="4" t="s">
        <v>165</v>
      </c>
      <c r="C114" s="103" t="str">
        <f>sample_mgmt_az2_tor1_peer_ip</f>
        <v>10.11.17.11</v>
      </c>
      <c r="D114" s="8" t="str">
        <f>mgmt_az1_tor1_peer_ip</f>
        <v>Value Missing</v>
      </c>
      <c r="E114" s="42"/>
    </row>
    <row r="115" spans="2:5" ht="20" customHeight="1" x14ac:dyDescent="0.2">
      <c r="B115" s="4" t="s">
        <v>166</v>
      </c>
      <c r="C115" s="103" t="str">
        <f>sample_mgmt_az2_tor1_peer_asn</f>
        <v>65121</v>
      </c>
      <c r="D115" s="8" t="str">
        <f>mgmt_az1_tor1_peer_asn</f>
        <v>Value Missing</v>
      </c>
      <c r="E115" s="42"/>
    </row>
    <row r="116" spans="2:5" ht="20" customHeight="1" x14ac:dyDescent="0.2">
      <c r="B116" s="4" t="s">
        <v>167</v>
      </c>
      <c r="C116" s="103" t="str">
        <f>sample_mgmt_az2_tor1_peer_bgp_password</f>
        <v>VMw@re1!</v>
      </c>
      <c r="D116" s="8" t="str">
        <f>mgmt_az1_tor1_peer_bgp_password</f>
        <v>Value Missing</v>
      </c>
      <c r="E116" s="42"/>
    </row>
    <row r="117" spans="2:5" ht="20" customHeight="1" x14ac:dyDescent="0.2">
      <c r="B117" s="4" t="s">
        <v>168</v>
      </c>
      <c r="C117" s="103" t="str">
        <f>sample_mgmt_az2_tor2_peer_ip</f>
        <v>10.11.18.11</v>
      </c>
      <c r="D117" s="8" t="str">
        <f>mgmt_az1_tor2_peer_ip</f>
        <v>Value Missing</v>
      </c>
      <c r="E117" s="42"/>
    </row>
    <row r="118" spans="2:5" ht="20" customHeight="1" x14ac:dyDescent="0.2">
      <c r="B118" s="4" t="s">
        <v>169</v>
      </c>
      <c r="C118" s="103" t="str">
        <f>sample_mgmt_az2_tor2_peer_asn</f>
        <v>65121</v>
      </c>
      <c r="D118" s="8" t="str">
        <f>mgmt_az1_tor2_peer_asn</f>
        <v>Value Missing</v>
      </c>
      <c r="E118" s="42"/>
    </row>
    <row r="119" spans="2:5" ht="20" customHeight="1" x14ac:dyDescent="0.2">
      <c r="B119" s="4" t="s">
        <v>170</v>
      </c>
      <c r="C119" s="103" t="str">
        <f>sample_mgmt_az2_tor2_peer_bgp_password</f>
        <v>VMw@re1!</v>
      </c>
      <c r="D119" s="8" t="str">
        <f>mgmt_az1_tor2_peer_bgp_password</f>
        <v>Value Missing</v>
      </c>
      <c r="E119" s="42"/>
    </row>
    <row r="121" spans="2:5" ht="34" customHeight="1" x14ac:dyDescent="0.2">
      <c r="B121" s="427" t="s">
        <v>7</v>
      </c>
      <c r="C121" s="428"/>
      <c r="D121" s="428"/>
      <c r="E121" s="429"/>
    </row>
    <row r="122" spans="2:5" ht="20" customHeight="1" x14ac:dyDescent="0.2">
      <c r="B122" s="63" t="s">
        <v>18</v>
      </c>
      <c r="C122" s="63" t="s">
        <v>19</v>
      </c>
      <c r="D122" s="63" t="s">
        <v>20</v>
      </c>
      <c r="E122" s="63" t="s">
        <v>21</v>
      </c>
    </row>
    <row r="123" spans="2:5" ht="20" customHeight="1" x14ac:dyDescent="0.2">
      <c r="B123" s="424" t="s">
        <v>810</v>
      </c>
      <c r="C123" s="425"/>
      <c r="D123" s="425"/>
      <c r="E123" s="426"/>
    </row>
    <row r="124" spans="2:5" ht="20" customHeight="1" x14ac:dyDescent="0.2">
      <c r="B124" s="4" t="s">
        <v>85</v>
      </c>
      <c r="C124" s="109" t="str">
        <f>sample_mgmt_az1_mgmt_vm_vlan</f>
        <v>1110</v>
      </c>
      <c r="D124" s="8" t="str">
        <f>mgmt_az1_mgmt_vm_vlan</f>
        <v>Value Missing</v>
      </c>
      <c r="E124" s="43" t="s">
        <v>2906</v>
      </c>
    </row>
    <row r="125" spans="2:5" ht="20" customHeight="1" x14ac:dyDescent="0.2">
      <c r="B125" s="4" t="s">
        <v>182</v>
      </c>
      <c r="C125" s="103" t="str">
        <f>sample_mgmt_az1_mgmt_vm_gateway_cidr</f>
        <v>10.11.10.1/24</v>
      </c>
      <c r="D125" s="8" t="str">
        <f>mgmt_az1_mgmt_vm_gateway_ip</f>
        <v>Value Missing</v>
      </c>
      <c r="E125" s="43"/>
    </row>
    <row r="126" spans="2:5" ht="20" customHeight="1" x14ac:dyDescent="0.2">
      <c r="B126" s="4" t="s">
        <v>157</v>
      </c>
      <c r="C126" s="103">
        <f>sample_mgmt_az1_mgmt_vm_mtu</f>
        <v>1500</v>
      </c>
      <c r="D126" s="8" t="str">
        <f>mgmt_az1_mgmt_vm_mtu</f>
        <v>Value Missing</v>
      </c>
      <c r="E126" s="43"/>
    </row>
    <row r="127" spans="2:5" ht="20" customHeight="1" x14ac:dyDescent="0.2">
      <c r="B127" s="424" t="s">
        <v>2907</v>
      </c>
      <c r="C127" s="425"/>
      <c r="D127" s="425"/>
      <c r="E127" s="426"/>
    </row>
    <row r="128" spans="2:5" ht="20" customHeight="1" x14ac:dyDescent="0.2">
      <c r="B128" s="4" t="s">
        <v>85</v>
      </c>
      <c r="C128" s="65" t="str">
        <f>sample_mgmt_az1_rtep_overlay_vlan</f>
        <v>1120</v>
      </c>
      <c r="D128" s="8" t="str">
        <f>mgmt_az1_rtep_overlay_vlan</f>
        <v>Value Missing</v>
      </c>
      <c r="E128" s="8"/>
    </row>
    <row r="129" spans="2:5" ht="20" customHeight="1" x14ac:dyDescent="0.2">
      <c r="B129" s="4" t="s">
        <v>182</v>
      </c>
      <c r="C129" s="65" t="str">
        <f>sample_mgmt_az1_rtep_overlay_gateway_ip</f>
        <v>10.11.20.1</v>
      </c>
      <c r="D129" s="8" t="str">
        <f>mgmt_az1_rtep_overlay_gateway_ip</f>
        <v>Value Missing</v>
      </c>
      <c r="E129" s="8"/>
    </row>
    <row r="130" spans="2:5" ht="20" customHeight="1" x14ac:dyDescent="0.2">
      <c r="B130" s="4" t="s">
        <v>183</v>
      </c>
      <c r="C130" s="65" t="str">
        <f>sample_mgmt_az1_rtep_overlay_cidr</f>
        <v>10.11.20.0/24</v>
      </c>
      <c r="D130" s="8" t="str">
        <f>mgmt_az1_rtep_overlay_cidr</f>
        <v>Value Missing</v>
      </c>
      <c r="E130" s="8"/>
    </row>
    <row r="131" spans="2:5" ht="20" customHeight="1" x14ac:dyDescent="0.2">
      <c r="B131" s="424" t="s">
        <v>2898</v>
      </c>
      <c r="C131" s="425"/>
      <c r="D131" s="425"/>
      <c r="E131" s="426"/>
    </row>
    <row r="132" spans="2:5" ht="20" customHeight="1" x14ac:dyDescent="0.2">
      <c r="B132" s="4" t="str">
        <f>mgmt_nsxt_global_mgra_fqdn</f>
        <v>Value Missing</v>
      </c>
      <c r="C132" s="65" t="str">
        <f>sample_mgmt_nsxt_gm_vip_ip</f>
        <v>10.11.10.81</v>
      </c>
      <c r="D132" s="8" t="str">
        <f>mgmt_nsxt_gm_vip_ip</f>
        <v>Value Missing</v>
      </c>
      <c r="E132" s="8"/>
    </row>
    <row r="133" spans="2:5" ht="20" customHeight="1" x14ac:dyDescent="0.2">
      <c r="B133" s="4" t="str">
        <f>mgmt_nsxt_global_mgra_fqdn</f>
        <v>Value Missing</v>
      </c>
      <c r="C133" s="65" t="str">
        <f>sample_mgmt_nsxt_global_mgra_ip</f>
        <v>10.11.10.82</v>
      </c>
      <c r="D133" s="8" t="str">
        <f>mgmt_nsxt_global_mgra_ip</f>
        <v>Value Missing</v>
      </c>
      <c r="E133" s="8"/>
    </row>
    <row r="134" spans="2:5" ht="20" customHeight="1" x14ac:dyDescent="0.2">
      <c r="B134" s="4" t="str">
        <f>mgmt_nsxt_global_mgrb_fqdn</f>
        <v>Value Missing</v>
      </c>
      <c r="C134" s="65" t="str">
        <f>sample_mgmt_nsxt_global_mgrb_ip</f>
        <v>10.11.10.83</v>
      </c>
      <c r="D134" s="8" t="str">
        <f>mgmt_nsxt_global_mgrb_ip</f>
        <v>Value Missing</v>
      </c>
      <c r="E134" s="8"/>
    </row>
    <row r="135" spans="2:5" ht="20" customHeight="1" x14ac:dyDescent="0.2">
      <c r="B135" s="4" t="str">
        <f>mgmt_nsxt_global_mgrc_fqdn</f>
        <v>Value Missing</v>
      </c>
      <c r="C135" s="65" t="str">
        <f>sample_mgmt_nsxt_global_mgrc_ip</f>
        <v>10.11.10.84</v>
      </c>
      <c r="D135" s="8" t="str">
        <f>mgmt_nsxt_global_mgrc_ip</f>
        <v>Value Missing</v>
      </c>
      <c r="E135" s="8"/>
    </row>
    <row r="136" spans="2:5" ht="20" customHeight="1" x14ac:dyDescent="0.2">
      <c r="B136" s="40" t="str">
        <f>sample_mgmt_az1_en1_hostname</f>
        <v>sfo-m01-en1</v>
      </c>
      <c r="C136" s="103" t="str">
        <f>sample_mgmt_az1_en1_mgmt_cidr</f>
        <v>10.11.10.75/24</v>
      </c>
      <c r="D136" s="8" t="str">
        <f>mgmt_az1_en1_mgmt_cidr</f>
        <v>Value Missing</v>
      </c>
      <c r="E136" s="8"/>
    </row>
    <row r="137" spans="2:5" ht="20" customHeight="1" x14ac:dyDescent="0.2">
      <c r="B137" s="120" t="s">
        <v>2354</v>
      </c>
      <c r="C137" s="103" t="str">
        <f>sample_mgmt_az1_en1_uplink01_interface_cidr</f>
        <v>10.11.17.2/24</v>
      </c>
      <c r="D137" s="8" t="str">
        <f>mgmt_az1_en1_uplink01_interface_cidr</f>
        <v>Value Missing</v>
      </c>
      <c r="E137" s="8" t="s">
        <v>153</v>
      </c>
    </row>
    <row r="138" spans="2:5" ht="20" customHeight="1" x14ac:dyDescent="0.2">
      <c r="B138" s="120" t="s">
        <v>2354</v>
      </c>
      <c r="C138" s="103" t="str">
        <f>sample_mgmt_az1_en1_uplink02_interface_cidr</f>
        <v>10.11.18.2/24</v>
      </c>
      <c r="D138" s="8" t="str">
        <f>mgmt_az1_en1_uplink02_interface_cidr</f>
        <v>Value Missing</v>
      </c>
      <c r="E138" s="8" t="s">
        <v>863</v>
      </c>
    </row>
    <row r="139" spans="2:5" ht="20" customHeight="1" x14ac:dyDescent="0.2">
      <c r="B139" s="213" t="s">
        <v>2354</v>
      </c>
      <c r="C139" s="103" t="str">
        <f>sample_mgmt_az1_en1_edge_overlay_interface_ip_1_ip</f>
        <v>10.11.19.2</v>
      </c>
      <c r="D139" s="8" t="str">
        <f>mgmt_az1_en1_edge_overlay_interface_ip_1_ip</f>
        <v>Value Missing</v>
      </c>
      <c r="E139" s="8" t="s">
        <v>851</v>
      </c>
    </row>
    <row r="140" spans="2:5" ht="20" customHeight="1" x14ac:dyDescent="0.2">
      <c r="B140" s="214" t="s">
        <v>2354</v>
      </c>
      <c r="C140" s="103" t="str">
        <f>sample_mgmt_az1_en1_edge_overlay_interface_ip_2_ip</f>
        <v>10.11.19.3</v>
      </c>
      <c r="D140" s="8" t="str">
        <f>mgmt_az1_en1_edge_overlay_interface_ip_2_ip</f>
        <v>Value Missing</v>
      </c>
      <c r="E140" s="8" t="s">
        <v>2899</v>
      </c>
    </row>
    <row r="141" spans="2:5" ht="20" customHeight="1" x14ac:dyDescent="0.2">
      <c r="B141" s="40" t="str">
        <f>sample_mgmt_az1_en2_hostname</f>
        <v>sfo-m01-en2</v>
      </c>
      <c r="C141" s="103" t="str">
        <f>sample_mgmt_az1_en2_mgmt_cidr</f>
        <v>10.11.10.76/24</v>
      </c>
      <c r="D141" s="8" t="str">
        <f>mgmt_az1_en2_mgmt_cidr</f>
        <v>Value Missing</v>
      </c>
      <c r="E141" s="8"/>
    </row>
    <row r="142" spans="2:5" ht="20" customHeight="1" x14ac:dyDescent="0.2">
      <c r="B142" s="120" t="s">
        <v>2354</v>
      </c>
      <c r="C142" s="103" t="str">
        <f>sample_mgmt_az1_en2_uplink01_interface_cidr</f>
        <v>10.11.17.3/24</v>
      </c>
      <c r="D142" s="8" t="str">
        <f>mgmt_az1_en2_uplink01_interface_cidr</f>
        <v>Value Missing</v>
      </c>
      <c r="E142" s="8" t="s">
        <v>164</v>
      </c>
    </row>
    <row r="143" spans="2:5" ht="20" customHeight="1" x14ac:dyDescent="0.2">
      <c r="B143" s="120" t="s">
        <v>2354</v>
      </c>
      <c r="C143" s="103" t="str">
        <f>sample_mgmt_az1_en2_uplink02_interface_cidr</f>
        <v>10.11.18.3/24</v>
      </c>
      <c r="D143" s="8" t="str">
        <f>mgmt_az1_en2_uplink02_interface_cidr</f>
        <v>Value Missing</v>
      </c>
      <c r="E143" s="8" t="s">
        <v>162</v>
      </c>
    </row>
    <row r="144" spans="2:5" ht="20" customHeight="1" x14ac:dyDescent="0.2">
      <c r="B144" s="213" t="s">
        <v>2354</v>
      </c>
      <c r="C144" s="103" t="str">
        <f>sample_mgmt_az1_en2_edge_overlay_interface_ip_1_ip</f>
        <v>10.11.19.4</v>
      </c>
      <c r="D144" s="8" t="str">
        <f>mgmt_az1_en2_edge_overlay_interface_ip_1_ip</f>
        <v>Value Missing</v>
      </c>
      <c r="E144" s="8" t="s">
        <v>858</v>
      </c>
    </row>
    <row r="145" spans="2:5" ht="20" customHeight="1" x14ac:dyDescent="0.2">
      <c r="B145" s="214" t="s">
        <v>2354</v>
      </c>
      <c r="C145" s="103" t="str">
        <f>sample_mgmt_az1_en2_edge_overlay_interface_ip_2_ip</f>
        <v>10.11.19.5</v>
      </c>
      <c r="D145" s="8" t="str">
        <f>mgmt_az1_en2_edge_overlay_interface_ip_2_ip</f>
        <v>Value Missing</v>
      </c>
      <c r="E145" s="8" t="s">
        <v>860</v>
      </c>
    </row>
  </sheetData>
  <sheetProtection algorithmName="SHA-512" hashValue="hEX652R3cULCIhoZh25mBnCdR0XqUMhfsGLT5zMvtwM2FpSpjBQ6She5dNob2ih+X3b3PUVXQe9fWAqk4Gf+Ug==" saltValue="KQFxIPQOGz+qG8IkAUYH8w==" spinCount="100000" sheet="1" objects="1" scenarios="1"/>
  <mergeCells count="26">
    <mergeCell ref="B131:E131"/>
    <mergeCell ref="B57:E57"/>
    <mergeCell ref="B59:E59"/>
    <mergeCell ref="B112:E112"/>
    <mergeCell ref="B121:E121"/>
    <mergeCell ref="B127:E127"/>
    <mergeCell ref="B123:E123"/>
    <mergeCell ref="B71:E71"/>
    <mergeCell ref="B78:E78"/>
    <mergeCell ref="B85:E85"/>
    <mergeCell ref="B92:E92"/>
    <mergeCell ref="B95:E95"/>
    <mergeCell ref="B2:E2"/>
    <mergeCell ref="B3:E3"/>
    <mergeCell ref="B64:E64"/>
    <mergeCell ref="B51:E51"/>
    <mergeCell ref="B17:E17"/>
    <mergeCell ref="B25:E25"/>
    <mergeCell ref="B21:E21"/>
    <mergeCell ref="B47:E47"/>
    <mergeCell ref="B45:E45"/>
    <mergeCell ref="B9:E9"/>
    <mergeCell ref="B13:E13"/>
    <mergeCell ref="B7:E7"/>
    <mergeCell ref="B6:E6"/>
    <mergeCell ref="B33:E33"/>
  </mergeCells>
  <conditionalFormatting sqref="B93:B94">
    <cfRule type="expression" dxfId="268" priority="2" stopIfTrue="1">
      <formula>mgmt_stretched_cluster_result="Excluded"</formula>
    </cfRule>
    <cfRule type="containsBlanks" dxfId="267" priority="3">
      <formula>LEN(TRIM(B93))=0</formula>
    </cfRule>
    <cfRule type="notContainsBlanks" dxfId="265" priority="5" stopIfTrue="1">
      <formula>LEN(TRIM(B93))&gt;0</formula>
    </cfRule>
  </conditionalFormatting>
  <conditionalFormatting sqref="B96:B111">
    <cfRule type="expression" dxfId="264" priority="6" stopIfTrue="1">
      <formula>mgmt_stretched_cluster_result="Excluded"</formula>
    </cfRule>
    <cfRule type="containsBlanks" dxfId="263" priority="7">
      <formula>LEN(TRIM(B96))=0</formula>
    </cfRule>
    <cfRule type="notContainsBlanks" dxfId="261" priority="9" stopIfTrue="1">
      <formula>LEN(TRIM(B96))&gt;0</formula>
    </cfRule>
  </conditionalFormatting>
  <conditionalFormatting sqref="D10:D12 D14:D16 D22:D24">
    <cfRule type="expression" dxfId="260" priority="54">
      <formula>OR((mgmt_domain_result="Excluded"),(mgmt_vns_result="Excluded"))</formula>
    </cfRule>
    <cfRule type="containsBlanks" dxfId="259" priority="55">
      <formula>LEN(TRIM(D10))=0</formula>
    </cfRule>
  </conditionalFormatting>
  <conditionalFormatting sqref="D10:D12 D14:D16">
    <cfRule type="notContainsBlanks" dxfId="257" priority="84">
      <formula>LEN(TRIM(D10))&gt;0</formula>
    </cfRule>
  </conditionalFormatting>
  <conditionalFormatting sqref="D18:D20">
    <cfRule type="expression" dxfId="256" priority="61">
      <formula>OR((mgmt_domain_result="Excluded"),(mgmt_vns_result="Excluded"))</formula>
    </cfRule>
    <cfRule type="containsBlanks" dxfId="255" priority="62">
      <formula>LEN(TRIM(D18))=0</formula>
    </cfRule>
  </conditionalFormatting>
  <conditionalFormatting sqref="D18:D24">
    <cfRule type="notContainsBlanks" dxfId="253" priority="82">
      <formula>LEN(TRIM(D18))&gt;0</formula>
    </cfRule>
  </conditionalFormatting>
  <conditionalFormatting sqref="D21 D8:D9">
    <cfRule type="expression" dxfId="252" priority="80">
      <formula>mgmt_domain_existing_vcenter_chosen="Selected"</formula>
    </cfRule>
  </conditionalFormatting>
  <conditionalFormatting sqref="D21">
    <cfRule type="expression" dxfId="251" priority="79">
      <formula>input_mgmt_principal_storage_chosen="VMFS on Fibre Channel (FC)"</formula>
    </cfRule>
    <cfRule type="containsBlanks" dxfId="249" priority="83">
      <formula>LEN(TRIM(D21))=0</formula>
    </cfRule>
  </conditionalFormatting>
  <conditionalFormatting sqref="D26:D32">
    <cfRule type="expression" dxfId="248" priority="71">
      <formula>mgmt_vns_chosen&lt;&gt;"Centralized Connectivity"</formula>
    </cfRule>
    <cfRule type="expression" dxfId="247" priority="72">
      <formula>OR((mgmt_domain_result="Excluded"),(mgmt_vns_result="Excluded"))</formula>
    </cfRule>
    <cfRule type="containsBlanks" dxfId="245" priority="74">
      <formula>LEN(TRIM(D26))=0</formula>
    </cfRule>
    <cfRule type="notContainsBlanks" dxfId="244" priority="86">
      <formula>LEN(TRIM(D26))&gt;0</formula>
    </cfRule>
  </conditionalFormatting>
  <conditionalFormatting sqref="D34:D43">
    <cfRule type="expression" dxfId="243" priority="67">
      <formula>OR((mgmt_domain_result="Excluded"),(mgmt_vns_result="Excluded"))</formula>
    </cfRule>
    <cfRule type="containsBlanks" dxfId="242" priority="68">
      <formula>LEN(TRIM(D34))=0</formula>
    </cfRule>
    <cfRule type="notContainsBlanks" dxfId="240" priority="70">
      <formula>LEN(TRIM(D34))&gt;0</formula>
    </cfRule>
  </conditionalFormatting>
  <conditionalFormatting sqref="D46:D47">
    <cfRule type="expression" dxfId="239" priority="50">
      <formula>mgmt_domain_existing_vcenter_chosen="Selected"</formula>
    </cfRule>
  </conditionalFormatting>
  <conditionalFormatting sqref="D48:D50 D52:D55">
    <cfRule type="expression" dxfId="238" priority="46">
      <formula>mgmt_avi_loadbalancer_result="Excluded"</formula>
    </cfRule>
  </conditionalFormatting>
  <conditionalFormatting sqref="D48:D50">
    <cfRule type="containsBlanks" dxfId="237" priority="47">
      <formula>LEN(TRIM(D48))=0</formula>
    </cfRule>
    <cfRule type="notContainsBlanks" dxfId="235" priority="49">
      <formula>LEN(TRIM(D48))&gt;0</formula>
    </cfRule>
  </conditionalFormatting>
  <conditionalFormatting sqref="D52:D55">
    <cfRule type="containsBlanks" dxfId="234" priority="51">
      <formula>LEN(TRIM(D52))=0</formula>
    </cfRule>
    <cfRule type="notContainsBlanks" dxfId="232" priority="53">
      <formula>LEN(TRIM(D52))&gt;0</formula>
    </cfRule>
  </conditionalFormatting>
  <conditionalFormatting sqref="D58:D59">
    <cfRule type="expression" dxfId="231" priority="45">
      <formula>mgmt_domain_existing_vcenter_chosen="Selected"</formula>
    </cfRule>
  </conditionalFormatting>
  <conditionalFormatting sqref="D60:D63 D93:D94 D96:D111">
    <cfRule type="expression" dxfId="230" priority="36" stopIfTrue="1">
      <formula>mgmt_stretched_cluster_result="Excluded"</formula>
    </cfRule>
    <cfRule type="containsBlanks" dxfId="229" priority="37">
      <formula>LEN(TRIM(D60))=0</formula>
    </cfRule>
    <cfRule type="notContainsBlanks" dxfId="228" priority="39" stopIfTrue="1">
      <formula>LEN(TRIM(D60))&gt;0</formula>
    </cfRule>
  </conditionalFormatting>
  <conditionalFormatting sqref="D65:D70">
    <cfRule type="expression" dxfId="227" priority="22" stopIfTrue="1">
      <formula>mgmt_stretched_cluster_result="Excluded"</formula>
    </cfRule>
    <cfRule type="containsBlanks" dxfId="226" priority="23">
      <formula>LEN(TRIM(D65))=0</formula>
    </cfRule>
    <cfRule type="notContainsBlanks" dxfId="224" priority="25" stopIfTrue="1">
      <formula>LEN(TRIM(D65))&gt;0</formula>
    </cfRule>
  </conditionalFormatting>
  <conditionalFormatting sqref="D72:D77">
    <cfRule type="expression" dxfId="223" priority="18" stopIfTrue="1">
      <formula>mgmt_stretched_cluster_result="Excluded"</formula>
    </cfRule>
    <cfRule type="containsBlanks" dxfId="222" priority="19">
      <formula>LEN(TRIM(D72))=0</formula>
    </cfRule>
    <cfRule type="notContainsBlanks" dxfId="220" priority="21" stopIfTrue="1">
      <formula>LEN(TRIM(D72))&gt;0</formula>
    </cfRule>
  </conditionalFormatting>
  <conditionalFormatting sqref="D79:D84">
    <cfRule type="expression" dxfId="219" priority="1">
      <formula>mgmt_principal_storage_chosen&lt;&gt;"NFSv3"</formula>
    </cfRule>
  </conditionalFormatting>
  <conditionalFormatting sqref="D86:D91">
    <cfRule type="expression" dxfId="218" priority="14" stopIfTrue="1">
      <formula>mgmt_stretched_cluster_result="Excluded"</formula>
    </cfRule>
    <cfRule type="containsBlanks" dxfId="217" priority="15">
      <formula>LEN(TRIM(D86))=0</formula>
    </cfRule>
    <cfRule type="notContainsBlanks" dxfId="215" priority="17" stopIfTrue="1">
      <formula>LEN(TRIM(D86))&gt;0</formula>
    </cfRule>
  </conditionalFormatting>
  <conditionalFormatting sqref="D113:D119">
    <cfRule type="expression" dxfId="213" priority="38">
      <formula>mgmt_vns_chosen&lt;&gt;"Overlay-Backed"</formula>
    </cfRule>
    <cfRule type="expression" dxfId="212" priority="40">
      <formula>OR((mgmt_domain_result="Excluded"),(mgmt_vns_result="Excluded"))</formula>
    </cfRule>
    <cfRule type="containsBlanks" dxfId="211" priority="42">
      <formula>LEN(TRIM(D113))=0</formula>
    </cfRule>
    <cfRule type="notContainsBlanks" dxfId="210" priority="43">
      <formula>LEN(TRIM(D113))&gt;0</formula>
    </cfRule>
  </conditionalFormatting>
  <conditionalFormatting sqref="D122:D123">
    <cfRule type="expression" dxfId="208" priority="30">
      <formula>mgmt_domain_existing_vcenter_chosen="Selected"</formula>
    </cfRule>
  </conditionalFormatting>
  <conditionalFormatting sqref="D124:D126">
    <cfRule type="expression" dxfId="207" priority="26">
      <formula>mgmt_avi_loadbalancer_result="Excluded"</formula>
    </cfRule>
    <cfRule type="containsBlanks" dxfId="206" priority="27">
      <formula>LEN(TRIM(D124))=0</formula>
    </cfRule>
    <cfRule type="notContainsBlanks" dxfId="204" priority="29">
      <formula>LEN(TRIM(D124))&gt;0</formula>
    </cfRule>
  </conditionalFormatting>
  <conditionalFormatting sqref="D127">
    <cfRule type="expression" dxfId="203" priority="35">
      <formula>mgmt_domain_existing_vcenter_chosen="Selected"</formula>
    </cfRule>
  </conditionalFormatting>
  <conditionalFormatting sqref="D128:D130">
    <cfRule type="expression" dxfId="202" priority="10">
      <formula>mgmt_avi_loadbalancer_result="Excluded"</formula>
    </cfRule>
    <cfRule type="containsBlanks" dxfId="201" priority="11">
      <formula>LEN(TRIM(D128))=0</formula>
    </cfRule>
    <cfRule type="notContainsBlanks" dxfId="199" priority="13">
      <formula>LEN(TRIM(D128))&gt;0</formula>
    </cfRule>
  </conditionalFormatting>
  <conditionalFormatting sqref="D132:D145">
    <cfRule type="expression" dxfId="198" priority="31">
      <formula>OR((mgmt_domain_result="Excluded"),(mgmt_vns_result="Excluded"))</formula>
    </cfRule>
    <cfRule type="containsBlanks" dxfId="197" priority="32">
      <formula>LEN(TRIM(D132))=0</formula>
    </cfRule>
    <cfRule type="notContainsBlanks" dxfId="195" priority="34">
      <formula>LEN(TRIM(D132))&gt;0</formula>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4" stopIfTrue="1" operator="containsText" id="{5332AF51-4EB9-D944-827C-6C26B9375CB4}">
            <xm:f>NOT(ISERROR(SEARCH("Value Missing",B93)))</xm:f>
            <xm:f>"Value Missing"</xm:f>
            <x14:dxf>
              <font>
                <color theme="1"/>
              </font>
              <fill>
                <patternFill>
                  <bgColor rgb="FFFFBE29"/>
                </patternFill>
              </fill>
            </x14:dxf>
          </x14:cfRule>
          <xm:sqref>B93:B94</xm:sqref>
        </x14:conditionalFormatting>
        <x14:conditionalFormatting xmlns:xm="http://schemas.microsoft.com/office/excel/2006/main">
          <x14:cfRule type="containsText" priority="8" stopIfTrue="1" operator="containsText" id="{6F12DB5D-E0A9-454B-A486-C5017B91CD9E}">
            <xm:f>NOT(ISERROR(SEARCH("Value Missing",B96)))</xm:f>
            <xm:f>"Value Missing"</xm:f>
            <x14:dxf>
              <font>
                <color theme="1"/>
              </font>
              <fill>
                <patternFill>
                  <bgColor rgb="FFFFBE29"/>
                </patternFill>
              </fill>
            </x14:dxf>
          </x14:cfRule>
          <xm:sqref>B96:B111</xm:sqref>
        </x14:conditionalFormatting>
        <x14:conditionalFormatting xmlns:xm="http://schemas.microsoft.com/office/excel/2006/main">
          <x14:cfRule type="containsText" priority="56" operator="containsText" id="{0BACB2E9-1795-A042-8238-B4388C39E7AA}">
            <xm:f>NOT(ISERROR(SEARCH("Value Missing",D10)))</xm:f>
            <xm:f>"Value Missing"</xm:f>
            <x14:dxf>
              <font>
                <color theme="1"/>
              </font>
              <fill>
                <patternFill>
                  <bgColor rgb="FFFFBE29"/>
                </patternFill>
              </fill>
            </x14:dxf>
          </x14:cfRule>
          <xm:sqref>D10:D12 D14:D16 D22:D24</xm:sqref>
        </x14:conditionalFormatting>
        <x14:conditionalFormatting xmlns:xm="http://schemas.microsoft.com/office/excel/2006/main">
          <x14:cfRule type="containsText" priority="63" operator="containsText" id="{79F169C9-1172-984F-8F9F-1EBED5A03215}">
            <xm:f>NOT(ISERROR(SEARCH("Value Missing",D18)))</xm:f>
            <xm:f>"Value Missing"</xm:f>
            <x14:dxf>
              <font>
                <color theme="1"/>
              </font>
              <fill>
                <patternFill>
                  <bgColor rgb="FFFFBE29"/>
                </patternFill>
              </fill>
            </x14:dxf>
          </x14:cfRule>
          <xm:sqref>D18:D20</xm:sqref>
        </x14:conditionalFormatting>
        <x14:conditionalFormatting xmlns:xm="http://schemas.microsoft.com/office/excel/2006/main">
          <x14:cfRule type="containsText" priority="81" stopIfTrue="1" operator="containsText" id="{DD02FDDE-7EF3-D947-9541-B9C59C9D9B36}">
            <xm:f>NOT(ISERROR(SEARCH("Value Missing",D21)))</xm:f>
            <xm:f>"Value Missing"</xm:f>
            <x14:dxf>
              <font>
                <color rgb="FF0E223A"/>
              </font>
              <fill>
                <patternFill>
                  <bgColor rgb="FFFFBE29"/>
                </patternFill>
              </fill>
            </x14:dxf>
          </x14:cfRule>
          <xm:sqref>D21</xm:sqref>
        </x14:conditionalFormatting>
        <x14:conditionalFormatting xmlns:xm="http://schemas.microsoft.com/office/excel/2006/main">
          <x14:cfRule type="containsText" priority="73" operator="containsText" id="{A63EF1E4-6E52-114B-AAE8-13A520C9936D}">
            <xm:f>NOT(ISERROR(SEARCH("Value Missing",D26)))</xm:f>
            <xm:f>"Value Missing"</xm:f>
            <x14:dxf>
              <font>
                <color theme="1"/>
              </font>
              <fill>
                <patternFill>
                  <bgColor rgb="FFFFBE29"/>
                </patternFill>
              </fill>
            </x14:dxf>
          </x14:cfRule>
          <xm:sqref>D26:D32</xm:sqref>
        </x14:conditionalFormatting>
        <x14:conditionalFormatting xmlns:xm="http://schemas.microsoft.com/office/excel/2006/main">
          <x14:cfRule type="containsText" priority="69" operator="containsText" id="{1663532D-294C-CB4C-B41A-F924FBAB7090}">
            <xm:f>NOT(ISERROR(SEARCH("Value Missing",D34)))</xm:f>
            <xm:f>"Value Missing"</xm:f>
            <x14:dxf>
              <font>
                <color theme="1"/>
              </font>
              <fill>
                <patternFill>
                  <bgColor rgb="FFFFBE29"/>
                </patternFill>
              </fill>
            </x14:dxf>
          </x14:cfRule>
          <xm:sqref>D34:D43</xm:sqref>
        </x14:conditionalFormatting>
        <x14:conditionalFormatting xmlns:xm="http://schemas.microsoft.com/office/excel/2006/main">
          <x14:cfRule type="containsText" priority="48" operator="containsText" id="{59A10F34-52E1-2D40-AEA2-A11B56421DE3}">
            <xm:f>NOT(ISERROR(SEARCH("Value Missing",D48)))</xm:f>
            <xm:f>"Value Missing"</xm:f>
            <x14:dxf>
              <font>
                <color theme="1"/>
              </font>
              <fill>
                <patternFill>
                  <bgColor rgb="FFFFBE29"/>
                </patternFill>
              </fill>
            </x14:dxf>
          </x14:cfRule>
          <xm:sqref>D48:D50</xm:sqref>
        </x14:conditionalFormatting>
        <x14:conditionalFormatting xmlns:xm="http://schemas.microsoft.com/office/excel/2006/main">
          <x14:cfRule type="containsText" priority="52" operator="containsText" id="{B011AF18-DC27-9B45-BEA8-FB410A93DD8E}">
            <xm:f>NOT(ISERROR(SEARCH("Value Missing",D52)))</xm:f>
            <xm:f>"Value Missing"</xm:f>
            <x14:dxf>
              <font>
                <color theme="1"/>
              </font>
              <fill>
                <patternFill>
                  <bgColor rgb="FFFFBE29"/>
                </patternFill>
              </fill>
            </x14:dxf>
          </x14:cfRule>
          <xm:sqref>D52:D55</xm:sqref>
        </x14:conditionalFormatting>
        <x14:conditionalFormatting xmlns:xm="http://schemas.microsoft.com/office/excel/2006/main">
          <x14:cfRule type="containsText" priority="24" stopIfTrue="1" operator="containsText" id="{C16AD4A5-7146-8546-88CE-DCF4A43945A3}">
            <xm:f>NOT(ISERROR(SEARCH("Value Missing",D65)))</xm:f>
            <xm:f>"Value Missing"</xm:f>
            <x14:dxf>
              <font>
                <color theme="1"/>
              </font>
              <fill>
                <patternFill>
                  <bgColor rgb="FFFFBE29"/>
                </patternFill>
              </fill>
            </x14:dxf>
          </x14:cfRule>
          <xm:sqref>D65:D70</xm:sqref>
        </x14:conditionalFormatting>
        <x14:conditionalFormatting xmlns:xm="http://schemas.microsoft.com/office/excel/2006/main">
          <x14:cfRule type="containsText" priority="20" stopIfTrue="1" operator="containsText" id="{4A17EEEC-C710-F945-B9F5-1B25E7BFCD7C}">
            <xm:f>NOT(ISERROR(SEARCH("Value Missing",D72)))</xm:f>
            <xm:f>"Value Missing"</xm:f>
            <x14:dxf>
              <font>
                <color theme="1"/>
              </font>
              <fill>
                <patternFill>
                  <bgColor rgb="FFFFBE29"/>
                </patternFill>
              </fill>
            </x14:dxf>
          </x14:cfRule>
          <xm:sqref>D72:D77</xm:sqref>
        </x14:conditionalFormatting>
        <x14:conditionalFormatting xmlns:xm="http://schemas.microsoft.com/office/excel/2006/main">
          <x14:cfRule type="containsText" priority="16" stopIfTrue="1" operator="containsText" id="{096F47E6-5F8D-694F-A137-DADCBC45FD18}">
            <xm:f>NOT(ISERROR(SEARCH("Value Missing",D86)))</xm:f>
            <xm:f>"Value Missing"</xm:f>
            <x14:dxf>
              <font>
                <color theme="1"/>
              </font>
              <fill>
                <patternFill>
                  <bgColor rgb="FFFFBE29"/>
                </patternFill>
              </fill>
            </x14:dxf>
          </x14:cfRule>
          <xm:sqref>D86:D91</xm:sqref>
        </x14:conditionalFormatting>
        <x14:conditionalFormatting xmlns:xm="http://schemas.microsoft.com/office/excel/2006/main">
          <x14:cfRule type="containsText" priority="41" stopIfTrue="1" operator="containsText" id="{2BEACADF-F6E6-874B-8004-073C384B0E26}">
            <xm:f>NOT(ISERROR(SEARCH("Value Missing",D60)))</xm:f>
            <xm:f>"Value Missing"</xm:f>
            <x14:dxf>
              <font>
                <color theme="1"/>
              </font>
              <fill>
                <patternFill>
                  <bgColor rgb="FFFFBE29"/>
                </patternFill>
              </fill>
            </x14:dxf>
          </x14:cfRule>
          <xm:sqref>D113:D119 D60:D63 D93:D94 D96:D111</xm:sqref>
        </x14:conditionalFormatting>
        <x14:conditionalFormatting xmlns:xm="http://schemas.microsoft.com/office/excel/2006/main">
          <x14:cfRule type="containsText" priority="44" operator="containsText" id="{2992D1B3-A8B1-7C44-98C5-75E07A3AEA22}">
            <xm:f>NOT(ISERROR(SEARCH("Value Missing",D113)))</xm:f>
            <xm:f>"Value Missing"</xm:f>
            <x14:dxf>
              <font>
                <color theme="1"/>
              </font>
              <fill>
                <patternFill>
                  <bgColor rgb="FFFFBE29"/>
                </patternFill>
              </fill>
            </x14:dxf>
          </x14:cfRule>
          <xm:sqref>D113:D119</xm:sqref>
        </x14:conditionalFormatting>
        <x14:conditionalFormatting xmlns:xm="http://schemas.microsoft.com/office/excel/2006/main">
          <x14:cfRule type="containsText" priority="28" operator="containsText" id="{9454E179-569A-7A41-9E83-FA9A8C9DF310}">
            <xm:f>NOT(ISERROR(SEARCH("Value Missing",D124)))</xm:f>
            <xm:f>"Value Missing"</xm:f>
            <x14:dxf>
              <font>
                <color theme="1"/>
              </font>
              <fill>
                <patternFill>
                  <bgColor rgb="FFFFBE29"/>
                </patternFill>
              </fill>
            </x14:dxf>
          </x14:cfRule>
          <xm:sqref>D124:D126</xm:sqref>
        </x14:conditionalFormatting>
        <x14:conditionalFormatting xmlns:xm="http://schemas.microsoft.com/office/excel/2006/main">
          <x14:cfRule type="containsText" priority="12" operator="containsText" id="{EA074F36-CE07-E14B-8C09-3FE943F4657A}">
            <xm:f>NOT(ISERROR(SEARCH("Value Missing",D128)))</xm:f>
            <xm:f>"Value Missing"</xm:f>
            <x14:dxf>
              <font>
                <color theme="1"/>
              </font>
              <fill>
                <patternFill>
                  <bgColor rgb="FFFFBE29"/>
                </patternFill>
              </fill>
            </x14:dxf>
          </x14:cfRule>
          <xm:sqref>D128:D130</xm:sqref>
        </x14:conditionalFormatting>
        <x14:conditionalFormatting xmlns:xm="http://schemas.microsoft.com/office/excel/2006/main">
          <x14:cfRule type="containsText" priority="33" operator="containsText" id="{434F7923-6B80-C34E-8FB8-B27C9ECED7D0}">
            <xm:f>NOT(ISERROR(SEARCH("Value Missing",D132)))</xm:f>
            <xm:f>"Value Missing"</xm:f>
            <x14:dxf>
              <font>
                <color theme="1"/>
              </font>
              <fill>
                <patternFill>
                  <bgColor rgb="FFFFBE29"/>
                </patternFill>
              </fill>
            </x14:dxf>
          </x14:cfRule>
          <xm:sqref>D132:D145</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90795-3E77-9C43-AF5A-A17717ED4688}">
  <sheetPr codeName="Sheet12"/>
  <dimension ref="A1:F124"/>
  <sheetViews>
    <sheetView showGridLines="0" workbookViewId="0">
      <pane ySplit="4" topLeftCell="A5" activePane="bottomLeft" state="frozen"/>
      <selection pane="bottomLeft"/>
    </sheetView>
  </sheetViews>
  <sheetFormatPr baseColWidth="10" defaultRowHeight="16" x14ac:dyDescent="0.2"/>
  <cols>
    <col min="1" max="1" width="2.83203125" customWidth="1"/>
    <col min="2" max="4" width="75.83203125" customWidth="1"/>
    <col min="5" max="5" width="100.83203125" customWidth="1"/>
  </cols>
  <sheetData>
    <row r="1" spans="1:6" x14ac:dyDescent="0.2">
      <c r="A1" s="148"/>
      <c r="B1" s="148"/>
      <c r="C1" s="148"/>
      <c r="D1" s="148"/>
      <c r="E1" s="148"/>
      <c r="F1" s="148"/>
    </row>
    <row r="2" spans="1:6" ht="54" customHeight="1" x14ac:dyDescent="0.2">
      <c r="A2" s="294"/>
      <c r="B2" s="663" t="s">
        <v>2908</v>
      </c>
      <c r="C2" s="664"/>
      <c r="D2" s="664"/>
      <c r="E2" s="665"/>
      <c r="F2" s="148"/>
    </row>
    <row r="3" spans="1:6" x14ac:dyDescent="0.2">
      <c r="A3" s="295"/>
      <c r="B3" s="550" t="s">
        <v>1</v>
      </c>
      <c r="C3" s="551"/>
      <c r="D3" s="551"/>
      <c r="E3" s="662"/>
      <c r="F3" s="296"/>
    </row>
    <row r="4" spans="1:6" x14ac:dyDescent="0.2">
      <c r="A4" s="148"/>
      <c r="B4" s="148"/>
      <c r="C4" s="148"/>
      <c r="D4" s="148"/>
      <c r="E4" s="148"/>
      <c r="F4" s="148"/>
    </row>
    <row r="5" spans="1:6" x14ac:dyDescent="0.2">
      <c r="A5" s="148"/>
      <c r="B5" s="148"/>
      <c r="C5" s="148"/>
      <c r="D5" s="148"/>
      <c r="E5" s="148"/>
      <c r="F5" s="148"/>
    </row>
    <row r="6" spans="1:6" s="9" customFormat="1" ht="34" customHeight="1" x14ac:dyDescent="0.2">
      <c r="B6" s="427" t="s">
        <v>3674</v>
      </c>
      <c r="C6" s="428"/>
      <c r="D6" s="428"/>
      <c r="E6" s="429"/>
    </row>
    <row r="7" spans="1:6" s="9" customFormat="1" ht="20" customHeight="1" x14ac:dyDescent="0.2">
      <c r="B7" s="421" t="s">
        <v>2909</v>
      </c>
      <c r="C7" s="422"/>
      <c r="D7" s="422"/>
      <c r="E7" s="423"/>
    </row>
    <row r="8" spans="1:6" s="9" customFormat="1" ht="20" customHeight="1" x14ac:dyDescent="0.2">
      <c r="B8" s="63" t="s">
        <v>18</v>
      </c>
      <c r="C8" s="63" t="s">
        <v>19</v>
      </c>
      <c r="D8" s="63" t="s">
        <v>20</v>
      </c>
      <c r="E8" s="63" t="s">
        <v>21</v>
      </c>
    </row>
    <row r="9" spans="1:6" s="9" customFormat="1" ht="20" customHeight="1" x14ac:dyDescent="0.2">
      <c r="B9" s="424" t="s">
        <v>810</v>
      </c>
      <c r="C9" s="425"/>
      <c r="D9" s="425"/>
      <c r="E9" s="426"/>
    </row>
    <row r="10" spans="1:6" s="9" customFormat="1" ht="20" customHeight="1" x14ac:dyDescent="0.2">
      <c r="B10" s="156" t="s">
        <v>85</v>
      </c>
      <c r="C10" s="103" t="str">
        <f>IF(wld_dpg_separation_result="Included",CONCATENATE(prefix_wld_az1_vlan,"11"),CONCATENATE(prefix_wld_az1_vlan,"10"))</f>
        <v>1310</v>
      </c>
      <c r="D10" s="8" t="str">
        <f>wld_az1_mgmt_vm_vlan</f>
        <v>Value Missing</v>
      </c>
      <c r="E10" s="43"/>
    </row>
    <row r="11" spans="1:6" s="9" customFormat="1" ht="20" customHeight="1" x14ac:dyDescent="0.2">
      <c r="B11" s="156" t="s">
        <v>182</v>
      </c>
      <c r="C11" s="103" t="str">
        <f>IF(wld_dpg_separation_result="Included",CONCATENATE(prefix_wld_az1_cidr,"11.1/24"),CONCATENATE(prefix_wld_az1_cidr,"10.1/24"))</f>
        <v>10.13.10.1/24</v>
      </c>
      <c r="D11" s="8" t="str">
        <f>wld_az1_mgmt_vm_gateway_cidr</f>
        <v>Value Missing</v>
      </c>
      <c r="E11" s="43"/>
    </row>
    <row r="12" spans="1:6" s="9" customFormat="1" ht="20" customHeight="1" x14ac:dyDescent="0.2">
      <c r="B12" s="4" t="s">
        <v>157</v>
      </c>
      <c r="C12" s="103">
        <v>1500</v>
      </c>
      <c r="D12" s="8" t="str">
        <f>wld_az1_mgmt_vm_mtu</f>
        <v>Value Missing</v>
      </c>
      <c r="E12" s="43"/>
    </row>
    <row r="13" spans="1:6" s="9" customFormat="1" ht="20" customHeight="1" x14ac:dyDescent="0.2">
      <c r="B13" s="424" t="s">
        <v>179</v>
      </c>
      <c r="C13" s="425"/>
      <c r="D13" s="425"/>
      <c r="E13" s="426"/>
    </row>
    <row r="14" spans="1:6" s="9" customFormat="1" ht="20" customHeight="1" x14ac:dyDescent="0.2">
      <c r="B14" s="4" t="s">
        <v>85</v>
      </c>
      <c r="C14" s="103" t="str">
        <f>sample_wld_az1_uplink01_vlan</f>
        <v>1317</v>
      </c>
      <c r="D14" s="8" t="str">
        <f>wld_az1_uplink01_vlan</f>
        <v>Value Missing</v>
      </c>
      <c r="E14" s="42"/>
    </row>
    <row r="15" spans="1:6" s="9" customFormat="1" ht="20" customHeight="1" x14ac:dyDescent="0.2">
      <c r="B15" s="4" t="s">
        <v>182</v>
      </c>
      <c r="C15" s="103" t="str">
        <f>sample_wld_az1_uplink01_gateway_ip</f>
        <v>10.13.17.1</v>
      </c>
      <c r="D15" s="8" t="str">
        <f>wld_az1_uplink01_gateway_ip</f>
        <v>Value Missing</v>
      </c>
      <c r="E15" s="42"/>
    </row>
    <row r="16" spans="1:6" s="9" customFormat="1" ht="20" customHeight="1" x14ac:dyDescent="0.2">
      <c r="B16" s="4" t="s">
        <v>157</v>
      </c>
      <c r="C16" s="103">
        <f>sample_wld_az1_uplink01_mtu</f>
        <v>9000</v>
      </c>
      <c r="D16" s="8" t="str">
        <f>wld_az1_uplink01_mtu</f>
        <v>Value Missing</v>
      </c>
      <c r="E16" s="42"/>
    </row>
    <row r="17" spans="2:5" s="9" customFormat="1" ht="20" customHeight="1" x14ac:dyDescent="0.2">
      <c r="B17" s="424" t="s">
        <v>184</v>
      </c>
      <c r="C17" s="425"/>
      <c r="D17" s="425"/>
      <c r="E17" s="426"/>
    </row>
    <row r="18" spans="2:5" s="9" customFormat="1" ht="20" customHeight="1" x14ac:dyDescent="0.2">
      <c r="B18" s="4" t="s">
        <v>85</v>
      </c>
      <c r="C18" s="103" t="str">
        <f>sample_wld_az1_uplink02_vlan</f>
        <v>1318</v>
      </c>
      <c r="D18" s="8" t="str">
        <f>wld_az1_uplink02_vlan</f>
        <v>Value Missing</v>
      </c>
      <c r="E18" s="113"/>
    </row>
    <row r="19" spans="2:5" s="9" customFormat="1" ht="20" customHeight="1" x14ac:dyDescent="0.2">
      <c r="B19" s="4" t="s">
        <v>182</v>
      </c>
      <c r="C19" s="103" t="str">
        <f>sample_wld_az1_uplink02_gateway_ip</f>
        <v>10.13.18.1</v>
      </c>
      <c r="D19" s="8" t="str">
        <f>wld_az1_uplink02_gateway_ip</f>
        <v>Value Missing</v>
      </c>
      <c r="E19" s="42"/>
    </row>
    <row r="20" spans="2:5" s="9" customFormat="1" ht="20" customHeight="1" x14ac:dyDescent="0.2">
      <c r="B20" s="4" t="s">
        <v>157</v>
      </c>
      <c r="C20" s="103">
        <f>sample_wld_az1_uplink02_mtu</f>
        <v>9000</v>
      </c>
      <c r="D20" s="8" t="str">
        <f>wld_az1_uplink02_mtu</f>
        <v>Value Missing</v>
      </c>
      <c r="E20" s="42"/>
    </row>
    <row r="21" spans="2:5" s="9" customFormat="1" ht="20" customHeight="1" x14ac:dyDescent="0.2">
      <c r="B21" s="424" t="s">
        <v>185</v>
      </c>
      <c r="C21" s="425"/>
      <c r="D21" s="425"/>
      <c r="E21" s="426"/>
    </row>
    <row r="22" spans="2:5" s="9" customFormat="1" ht="20" customHeight="1" x14ac:dyDescent="0.2">
      <c r="B22" s="4" t="s">
        <v>85</v>
      </c>
      <c r="C22" s="103" t="str">
        <f>CONCATENATE(prefix_wld_az1_vlan,"19")</f>
        <v>1319</v>
      </c>
      <c r="D22" s="8" t="str">
        <f>wld_az1_edge_overlay_vlan</f>
        <v>Value Missing</v>
      </c>
      <c r="E22" s="42" t="str">
        <f>IF(AND(mgmt_stretched_cluster_result="Included",mgmt_dpg_reuse_result="Included"),"Stretched L2","")</f>
        <v/>
      </c>
    </row>
    <row r="23" spans="2:5" s="9" customFormat="1" ht="20" customHeight="1" x14ac:dyDescent="0.2">
      <c r="B23" s="4" t="s">
        <v>182</v>
      </c>
      <c r="C23" s="103" t="str">
        <f>sample_wld_az1_edge_overlay_gateway_ip</f>
        <v>10.13.19.1</v>
      </c>
      <c r="D23" s="8" t="str">
        <f>wld_az1_edge_overlay_gateway_ip</f>
        <v>Value Missing</v>
      </c>
      <c r="E23" s="42" t="str">
        <f>IF(AND(mgmt_stretched_cluster_result="Included",mgmt_dpg_reuse_result="Excluded"),"Stretched L2","")</f>
        <v/>
      </c>
    </row>
    <row r="24" spans="2:5" s="9" customFormat="1" ht="20" customHeight="1" x14ac:dyDescent="0.2">
      <c r="B24" s="583" t="s">
        <v>2910</v>
      </c>
      <c r="C24" s="583"/>
      <c r="D24" s="583"/>
      <c r="E24" s="583"/>
    </row>
    <row r="25" spans="2:5" s="9" customFormat="1" ht="20" customHeight="1" x14ac:dyDescent="0.2">
      <c r="B25" s="4" t="s">
        <v>1029</v>
      </c>
      <c r="C25" s="103" t="str">
        <f>sample_wld_en_asn</f>
        <v>65102</v>
      </c>
      <c r="D25" s="8" t="str">
        <f>wld_en_asn</f>
        <v>Value Missing</v>
      </c>
      <c r="E25" s="42"/>
    </row>
    <row r="26" spans="2:5" s="9" customFormat="1" ht="20" customHeight="1" x14ac:dyDescent="0.2">
      <c r="B26" s="4" t="s">
        <v>165</v>
      </c>
      <c r="C26" s="103" t="str">
        <f>sample_wld_az1_tor1_peer_ip</f>
        <v>10.13.17.10</v>
      </c>
      <c r="D26" s="8" t="str">
        <f>wld_az1_tor1_peer_ip</f>
        <v>Value Missing</v>
      </c>
      <c r="E26" s="42"/>
    </row>
    <row r="27" spans="2:5" s="9" customFormat="1" ht="20" customHeight="1" x14ac:dyDescent="0.2">
      <c r="B27" s="4" t="s">
        <v>166</v>
      </c>
      <c r="C27" s="103" t="str">
        <f>sample_wld_az1_tor1_peer_asn</f>
        <v>65131</v>
      </c>
      <c r="D27" s="8" t="str">
        <f>wld_az1_tor1_peer_asn</f>
        <v>Value Missing</v>
      </c>
      <c r="E27" s="42"/>
    </row>
    <row r="28" spans="2:5" s="9" customFormat="1" ht="20" customHeight="1" x14ac:dyDescent="0.2">
      <c r="B28" s="4" t="s">
        <v>167</v>
      </c>
      <c r="C28" s="103" t="str">
        <f>sample_wld_az1_tor1_peer_bgp_password</f>
        <v>VMw@re1!</v>
      </c>
      <c r="D28" s="8" t="str">
        <f>wld_az1_tor1_peer_bgp_password</f>
        <v>Value Missing</v>
      </c>
      <c r="E28" s="42"/>
    </row>
    <row r="29" spans="2:5" s="9" customFormat="1" ht="20" customHeight="1" x14ac:dyDescent="0.2">
      <c r="B29" s="4" t="s">
        <v>168</v>
      </c>
      <c r="C29" s="103" t="str">
        <f>sample_wld_az1_tor2_peer_ip</f>
        <v>10.13.18.10</v>
      </c>
      <c r="D29" s="8" t="str">
        <f>wld_az1_tor2_peer_ip</f>
        <v>Value Missing</v>
      </c>
      <c r="E29" s="42"/>
    </row>
    <row r="30" spans="2:5" s="9" customFormat="1" ht="20" customHeight="1" x14ac:dyDescent="0.2">
      <c r="B30" s="4" t="s">
        <v>169</v>
      </c>
      <c r="C30" s="103" t="str">
        <f>sample_wld_az1_tor2_peer_asn</f>
        <v>65131</v>
      </c>
      <c r="D30" s="8" t="str">
        <f>wld_az1_tor2_peer_asn</f>
        <v>Value Missing</v>
      </c>
      <c r="E30" s="42"/>
    </row>
    <row r="31" spans="2:5" s="9" customFormat="1" ht="20" customHeight="1" x14ac:dyDescent="0.2">
      <c r="B31" s="4" t="s">
        <v>170</v>
      </c>
      <c r="C31" s="103" t="str">
        <f>sample_wld_az1_tor2_peer_bgp_password</f>
        <v>VMw@re1!</v>
      </c>
      <c r="D31" s="8" t="str">
        <f>wld_az1_tor2_peer_bgp_password</f>
        <v>Value Missing</v>
      </c>
      <c r="E31" s="42"/>
    </row>
    <row r="32" spans="2:5" s="9" customFormat="1" ht="20" customHeight="1" x14ac:dyDescent="0.2">
      <c r="B32" s="424" t="s">
        <v>2898</v>
      </c>
      <c r="C32" s="425"/>
      <c r="D32" s="425"/>
      <c r="E32" s="426"/>
    </row>
    <row r="33" spans="2:5" s="9" customFormat="1" ht="20" customHeight="1" x14ac:dyDescent="0.2">
      <c r="B33" s="40" t="str">
        <f>wld_az1_en1_fqdn</f>
        <v>Value Missing</v>
      </c>
      <c r="C33" s="103" t="str">
        <f>sample_wld_az1_en1_mgmt_cidr</f>
        <v>10.13.11.135/24</v>
      </c>
      <c r="D33" s="8" t="str">
        <f>wld_az1_en1_mgmt_cidr</f>
        <v>Value Missing</v>
      </c>
      <c r="E33" s="8"/>
    </row>
    <row r="34" spans="2:5" s="9" customFormat="1" ht="20" customHeight="1" x14ac:dyDescent="0.2">
      <c r="B34" s="120" t="s">
        <v>2354</v>
      </c>
      <c r="C34" s="103" t="str">
        <f>sample_wld_az1_en1_uplink01_interface_cidr</f>
        <v>10.13.17.2/24</v>
      </c>
      <c r="D34" s="8" t="str">
        <f>wld_az1_en1_uplink01_interface_cidr</f>
        <v>Value Missing</v>
      </c>
      <c r="E34" s="8" t="s">
        <v>153</v>
      </c>
    </row>
    <row r="35" spans="2:5" s="9" customFormat="1" ht="20" customHeight="1" x14ac:dyDescent="0.2">
      <c r="B35" s="120" t="s">
        <v>2354</v>
      </c>
      <c r="C35" s="103" t="str">
        <f>sample_wld_az1_en1_uplink02_interface_cidr</f>
        <v>10.13.18.2/24</v>
      </c>
      <c r="D35" s="8" t="str">
        <f>wld_az1_en1_uplink02_interface_cidr</f>
        <v>Value Missing</v>
      </c>
      <c r="E35" s="8" t="s">
        <v>863</v>
      </c>
    </row>
    <row r="36" spans="2:5" s="9" customFormat="1" ht="20" customHeight="1" x14ac:dyDescent="0.2">
      <c r="B36" s="213" t="s">
        <v>2354</v>
      </c>
      <c r="C36" s="103" t="str">
        <f>sample_wld_az1_en1_edge_overlay_interface_ip_1_ip</f>
        <v>10.13.19.2</v>
      </c>
      <c r="D36" s="8" t="str">
        <f>wld_az1_en1_edge_overlay_interface_ip_1_ip</f>
        <v>Value Missing</v>
      </c>
      <c r="E36" s="8" t="s">
        <v>851</v>
      </c>
    </row>
    <row r="37" spans="2:5" s="9" customFormat="1" ht="20" customHeight="1" x14ac:dyDescent="0.2">
      <c r="B37" s="214" t="s">
        <v>2354</v>
      </c>
      <c r="C37" s="103" t="str">
        <f>sample_wld_az1_en1_edge_overlay_interface_ip_2_ip</f>
        <v>10.13.19.3</v>
      </c>
      <c r="D37" s="8" t="str">
        <f>wld_az1_en1_edge_overlay_interface_ip_2_ip</f>
        <v>Value Missing</v>
      </c>
      <c r="E37" s="8" t="s">
        <v>2899</v>
      </c>
    </row>
    <row r="38" spans="2:5" s="9" customFormat="1" ht="20" customHeight="1" x14ac:dyDescent="0.2">
      <c r="B38" s="40" t="str">
        <f>wld_az1_en2_fqdn</f>
        <v>Value Missing</v>
      </c>
      <c r="C38" s="103" t="str">
        <f>sample_wld_az1_en2_mgmt_cidr</f>
        <v>10.13.11.136/24</v>
      </c>
      <c r="D38" s="8" t="str">
        <f>wld_az1_en2_mgmt_cidr</f>
        <v>Value Missing</v>
      </c>
      <c r="E38" s="8"/>
    </row>
    <row r="39" spans="2:5" s="9" customFormat="1" ht="20" customHeight="1" x14ac:dyDescent="0.2">
      <c r="B39" s="120" t="s">
        <v>2354</v>
      </c>
      <c r="C39" s="103" t="str">
        <f>sample_wld_az1_en2_uplink01_interface_cidr</f>
        <v>10.13.17.3/24</v>
      </c>
      <c r="D39" s="8" t="str">
        <f>wld_az1_en2_uplink01_interface_cidr</f>
        <v>Value Missing</v>
      </c>
      <c r="E39" s="8" t="s">
        <v>164</v>
      </c>
    </row>
    <row r="40" spans="2:5" s="9" customFormat="1" ht="20" customHeight="1" x14ac:dyDescent="0.2">
      <c r="B40" s="120" t="s">
        <v>2354</v>
      </c>
      <c r="C40" s="103" t="str">
        <f>sample_wld_az1_en2_uplink02_interface_cidr</f>
        <v>10.13.18.3/24</v>
      </c>
      <c r="D40" s="8" t="str">
        <f>wld_az1_en2_uplink02_interface_cidr</f>
        <v>Value Missing</v>
      </c>
      <c r="E40" s="8" t="s">
        <v>162</v>
      </c>
    </row>
    <row r="41" spans="2:5" s="9" customFormat="1" ht="20" customHeight="1" x14ac:dyDescent="0.2">
      <c r="B41" s="213" t="s">
        <v>2354</v>
      </c>
      <c r="C41" s="103" t="str">
        <f>sample_wld_az1_en2_edge_overlay_interface_ip_1_ip</f>
        <v>10.13.19.4</v>
      </c>
      <c r="D41" s="8" t="str">
        <f>wld_az1_en2_edge_overlay_interface_ip_1_ip</f>
        <v>Value Missing</v>
      </c>
      <c r="E41" s="8" t="s">
        <v>858</v>
      </c>
    </row>
    <row r="42" spans="2:5" s="9" customFormat="1" ht="20" customHeight="1" x14ac:dyDescent="0.2">
      <c r="B42" s="214" t="s">
        <v>2354</v>
      </c>
      <c r="C42" s="103" t="str">
        <f>sample_wld_az1_en2_edge_overlay_interface_ip_2_ip</f>
        <v>10.13.19.5</v>
      </c>
      <c r="D42" s="8" t="str">
        <f>wld_az1_en2_edge_overlay_interface_ip_2_ip</f>
        <v>Value Missing</v>
      </c>
      <c r="E42" s="8" t="s">
        <v>860</v>
      </c>
    </row>
    <row r="43" spans="2:5" s="9" customFormat="1" ht="20" customHeight="1" x14ac:dyDescent="0.2"/>
    <row r="44" spans="2:5" s="9" customFormat="1" ht="34" customHeight="1" x14ac:dyDescent="0.2">
      <c r="B44" s="427" t="s">
        <v>2911</v>
      </c>
      <c r="C44" s="428"/>
      <c r="D44" s="428"/>
      <c r="E44" s="429"/>
    </row>
    <row r="45" spans="2:5" s="9" customFormat="1" ht="20" customHeight="1" x14ac:dyDescent="0.2">
      <c r="B45" s="63" t="s">
        <v>18</v>
      </c>
      <c r="C45" s="63" t="s">
        <v>19</v>
      </c>
      <c r="D45" s="63" t="s">
        <v>20</v>
      </c>
      <c r="E45" s="63" t="s">
        <v>21</v>
      </c>
    </row>
    <row r="46" spans="2:5" s="9" customFormat="1" ht="20" customHeight="1" x14ac:dyDescent="0.2">
      <c r="B46" s="424" t="s">
        <v>810</v>
      </c>
      <c r="C46" s="425"/>
      <c r="D46" s="425"/>
      <c r="E46" s="426"/>
    </row>
    <row r="47" spans="2:5" s="9" customFormat="1" ht="20" customHeight="1" x14ac:dyDescent="0.2">
      <c r="B47" s="4" t="s">
        <v>85</v>
      </c>
      <c r="C47" s="109" t="str">
        <f>sample_wld_az1_mgmt_vm_vlan</f>
        <v>1311</v>
      </c>
      <c r="D47" s="8" t="str">
        <f>wld_az1_mgmt_vm_vlan</f>
        <v>Value Missing</v>
      </c>
      <c r="E47" s="43"/>
    </row>
    <row r="48" spans="2:5" s="9" customFormat="1" ht="20" customHeight="1" x14ac:dyDescent="0.2">
      <c r="B48" s="4" t="s">
        <v>182</v>
      </c>
      <c r="C48" s="103" t="str">
        <f>IF(wld_dpg_separation_result="Included",CONCATENATE(prefix_wld_az1_cidr,"11.1/24"),CONCATENATE(prefix_wld_az1_cidr,"10.1/24"))</f>
        <v>10.13.10.1/24</v>
      </c>
      <c r="D48" s="8" t="str">
        <f>wld_az1_mgmt_vm_gateway_ip</f>
        <v>Value Missing</v>
      </c>
      <c r="E48" s="43"/>
    </row>
    <row r="49" spans="2:5" s="9" customFormat="1" ht="20" customHeight="1" x14ac:dyDescent="0.2">
      <c r="B49" s="4" t="s">
        <v>157</v>
      </c>
      <c r="C49" s="103">
        <f>sample_wld_az1_mgmt_vm_mtu</f>
        <v>1500</v>
      </c>
      <c r="D49" s="8" t="str">
        <f>wld_az1_mgmt_vm_mtu</f>
        <v>Value Missing</v>
      </c>
      <c r="E49" s="43"/>
    </row>
    <row r="50" spans="2:5" s="9" customFormat="1" ht="20" customHeight="1" x14ac:dyDescent="0.2">
      <c r="B50" s="424" t="s">
        <v>2898</v>
      </c>
      <c r="C50" s="425"/>
      <c r="D50" s="425"/>
      <c r="E50" s="426"/>
    </row>
    <row r="51" spans="2:5" s="9" customFormat="1" ht="20" customHeight="1" x14ac:dyDescent="0.2">
      <c r="B51" s="40" t="str">
        <f>sample_wld_avilb_fqdn</f>
        <v>sfo-w01-avilb01.sfo.rainpole.io</v>
      </c>
      <c r="C51" s="103" t="str">
        <f>sample_wld_avilb_ip</f>
        <v>10.11.10.151</v>
      </c>
      <c r="D51" s="8" t="str">
        <f>wld_avilb_ip</f>
        <v>Value Missing</v>
      </c>
      <c r="E51" s="120" t="s">
        <v>202</v>
      </c>
    </row>
    <row r="52" spans="2:5" s="9" customFormat="1" ht="20" customHeight="1" x14ac:dyDescent="0.2">
      <c r="B52" s="120" t="s">
        <v>2354</v>
      </c>
      <c r="C52" s="103" t="str">
        <f>sample_wld_avilb_mgra_ip</f>
        <v>10.11.10.152</v>
      </c>
      <c r="D52" s="8" t="str">
        <f>wld_avilb_mgra_ip</f>
        <v>Value Missing</v>
      </c>
      <c r="E52" s="120" t="s">
        <v>196</v>
      </c>
    </row>
    <row r="53" spans="2:5" s="9" customFormat="1" ht="20" customHeight="1" x14ac:dyDescent="0.2">
      <c r="B53" s="120" t="s">
        <v>2354</v>
      </c>
      <c r="C53" s="103" t="str">
        <f>sample_wld_avilb_mgrb_ip</f>
        <v>10.11.10.153</v>
      </c>
      <c r="D53" s="8" t="str">
        <f>wld_avilb_mgrb_ip</f>
        <v>Value Missing</v>
      </c>
      <c r="E53" s="120" t="s">
        <v>198</v>
      </c>
    </row>
    <row r="54" spans="2:5" s="9" customFormat="1" ht="20" customHeight="1" x14ac:dyDescent="0.2">
      <c r="B54" s="120" t="s">
        <v>2354</v>
      </c>
      <c r="C54" s="103" t="str">
        <f>sample_wld_avilb_mgrc_ip</f>
        <v>10.11.10.154</v>
      </c>
      <c r="D54" s="8" t="str">
        <f>wld_avilb_mgrc_ip</f>
        <v>Value Missing</v>
      </c>
      <c r="E54" s="120" t="s">
        <v>200</v>
      </c>
    </row>
    <row r="55" spans="2:5" s="9" customFormat="1" ht="20" customHeight="1" x14ac:dyDescent="0.2"/>
    <row r="56" spans="2:5" s="9" customFormat="1" ht="34" customHeight="1" x14ac:dyDescent="0.2">
      <c r="B56" s="427" t="s">
        <v>6</v>
      </c>
      <c r="C56" s="428"/>
      <c r="D56" s="428"/>
      <c r="E56" s="429"/>
    </row>
    <row r="57" spans="2:5" s="9" customFormat="1" ht="20" customHeight="1" x14ac:dyDescent="0.2">
      <c r="B57" s="63" t="s">
        <v>18</v>
      </c>
      <c r="C57" s="63" t="s">
        <v>19</v>
      </c>
      <c r="D57" s="63" t="s">
        <v>20</v>
      </c>
      <c r="E57" s="63" t="s">
        <v>21</v>
      </c>
    </row>
    <row r="58" spans="2:5" s="9" customFormat="1" ht="20" customHeight="1" x14ac:dyDescent="0.2">
      <c r="B58" s="424" t="s">
        <v>2903</v>
      </c>
      <c r="C58" s="425"/>
      <c r="D58" s="425"/>
      <c r="E58" s="426"/>
    </row>
    <row r="59" spans="2:5" s="9" customFormat="1" ht="20" customHeight="1" x14ac:dyDescent="0.2">
      <c r="B59" s="4" t="s">
        <v>85</v>
      </c>
      <c r="C59" s="103" t="str">
        <f>IF(mgmt_dpg_reuse_result="Included",CONCATENATE(prefix_wld_witness_vlan,"10"),CONCATENATE(prefix_wld_witness_vlan,"11"))</f>
        <v>2110</v>
      </c>
      <c r="D59" s="308" t="str">
        <f>wld_witnessaz_mgmt_vlan</f>
        <v>Value Missing</v>
      </c>
      <c r="E59" s="42"/>
    </row>
    <row r="60" spans="2:5" s="9" customFormat="1" ht="20" customHeight="1" x14ac:dyDescent="0.2">
      <c r="B60" s="4" t="s">
        <v>182</v>
      </c>
      <c r="C60" s="65" t="str">
        <f>sample_wld_witnessaz_mgmt_gateway_ip</f>
        <v>10.21.10.1</v>
      </c>
      <c r="D60" s="308" t="str">
        <f>wld_witnessaz_mgmt_gateway_ip</f>
        <v>Value Missing</v>
      </c>
      <c r="E60" s="42"/>
    </row>
    <row r="61" spans="2:5" s="9" customFormat="1" ht="20" customHeight="1" x14ac:dyDescent="0.2">
      <c r="B61" s="4" t="s">
        <v>183</v>
      </c>
      <c r="C61" s="103" t="str">
        <f>IF(mgmt_dpg_reuse_result="Included",CONCATENATE(prefix_wld_witness_cidr,"10.0/24"),CONCATENATE(prefix_wld_witness_cidr,"11.0/24"))</f>
        <v>10.21.10.0/24</v>
      </c>
      <c r="D61" s="308" t="str">
        <f>wld_witnessaz_mgmt_cidr</f>
        <v>Value Missing</v>
      </c>
      <c r="E61" s="42"/>
    </row>
    <row r="62" spans="2:5" s="9" customFormat="1" ht="20" customHeight="1" x14ac:dyDescent="0.2">
      <c r="B62" s="4" t="s">
        <v>157</v>
      </c>
      <c r="C62" s="65">
        <f>sample_wld_witnessaz_mgmt_mtu</f>
        <v>1500</v>
      </c>
      <c r="D62" s="308" t="str">
        <f>wld_witnessaz_mgmt_mtu</f>
        <v>Value Missing</v>
      </c>
      <c r="E62" s="42"/>
    </row>
    <row r="63" spans="2:5" s="9" customFormat="1" ht="20" customHeight="1" x14ac:dyDescent="0.2">
      <c r="B63" s="550" t="s">
        <v>244</v>
      </c>
      <c r="C63" s="551"/>
      <c r="D63" s="551"/>
      <c r="E63" s="662"/>
    </row>
    <row r="64" spans="2:5" s="9" customFormat="1" ht="20" customHeight="1" x14ac:dyDescent="0.2">
      <c r="B64" s="30" t="s">
        <v>85</v>
      </c>
      <c r="C64" s="103" t="str">
        <f>sample_wld_az2_vmotion_vlan</f>
        <v>1412</v>
      </c>
      <c r="D64" s="308" t="str">
        <f>wld_az2_vmotion_vlan</f>
        <v>Value Missing</v>
      </c>
      <c r="E64" s="243"/>
    </row>
    <row r="65" spans="2:5" s="9" customFormat="1" ht="20" customHeight="1" x14ac:dyDescent="0.2">
      <c r="B65" s="30" t="s">
        <v>182</v>
      </c>
      <c r="C65" s="103" t="str">
        <f>sample_wld_az2_vmotion_gateway_ip</f>
        <v>10.14.12.1</v>
      </c>
      <c r="D65" s="308" t="str">
        <f>wld_az2_vmotion_gateway_ip</f>
        <v>Value Missing</v>
      </c>
      <c r="E65" s="194"/>
    </row>
    <row r="66" spans="2:5" s="9" customFormat="1" ht="20" customHeight="1" x14ac:dyDescent="0.2">
      <c r="B66" s="30" t="s">
        <v>157</v>
      </c>
      <c r="C66" s="103">
        <f>sample_wld_az2_vmotion_mtu</f>
        <v>9000</v>
      </c>
      <c r="D66" s="308" t="str">
        <f>wld_az2_vmotion_mtu</f>
        <v>Value Missing</v>
      </c>
      <c r="E66" s="194"/>
    </row>
    <row r="67" spans="2:5" s="9" customFormat="1" ht="20" customHeight="1" x14ac:dyDescent="0.2">
      <c r="B67" s="30" t="s">
        <v>248</v>
      </c>
      <c r="C67" s="103" t="str">
        <f>sample_wld_az2_vmotion_pool_end_ip</f>
        <v>10.14.12.116</v>
      </c>
      <c r="D67" s="308" t="str">
        <f>wld_az2_vmotion_pool_end_ip</f>
        <v>Value Missing</v>
      </c>
      <c r="E67" s="194"/>
    </row>
    <row r="68" spans="2:5" s="9" customFormat="1" ht="20" customHeight="1" x14ac:dyDescent="0.2">
      <c r="B68" s="30" t="s">
        <v>249</v>
      </c>
      <c r="C68" s="103" t="str">
        <f>sample_wld_az2_vmotion_pool_start_ip</f>
        <v>10.14.12.101</v>
      </c>
      <c r="D68" s="308" t="str">
        <f>wld_az2_vmotion_pool_start_ip</f>
        <v>Value Missing</v>
      </c>
      <c r="E68" s="194"/>
    </row>
    <row r="69" spans="2:5" s="9" customFormat="1" ht="20" customHeight="1" x14ac:dyDescent="0.2">
      <c r="B69" s="550" t="s">
        <v>250</v>
      </c>
      <c r="C69" s="551"/>
      <c r="D69" s="551"/>
      <c r="E69" s="552"/>
    </row>
    <row r="70" spans="2:5" s="9" customFormat="1" ht="20" customHeight="1" x14ac:dyDescent="0.2">
      <c r="B70" s="30" t="s">
        <v>85</v>
      </c>
      <c r="C70" s="103" t="str">
        <f>sample_wld_az2_principal_storage_vlan</f>
        <v>1413</v>
      </c>
      <c r="D70" s="10" t="str">
        <f>wld_az2_principal_storage_vlan</f>
        <v>Value Missing</v>
      </c>
      <c r="E70" s="194"/>
    </row>
    <row r="71" spans="2:5" s="9" customFormat="1" ht="20" customHeight="1" x14ac:dyDescent="0.2">
      <c r="B71" s="30" t="s">
        <v>182</v>
      </c>
      <c r="C71" s="103" t="str">
        <f>sample_wld_az2_principal_storage_gateway_ip</f>
        <v>10.14.13.1</v>
      </c>
      <c r="D71" s="10" t="str">
        <f>wld_az2_principal_storage_gateway_ip</f>
        <v>Value Missing</v>
      </c>
      <c r="E71" s="194"/>
    </row>
    <row r="72" spans="2:5" s="9" customFormat="1" ht="20" customHeight="1" x14ac:dyDescent="0.2">
      <c r="B72" s="30" t="s">
        <v>157</v>
      </c>
      <c r="C72" s="103">
        <f>sample_wld_az2_principal_storage_mtu</f>
        <v>9000</v>
      </c>
      <c r="D72" s="10" t="str">
        <f>wld_az2_principal_storage_mtu</f>
        <v>Value Missing</v>
      </c>
      <c r="E72" s="194"/>
    </row>
    <row r="73" spans="2:5" s="9" customFormat="1" ht="20" customHeight="1" x14ac:dyDescent="0.2">
      <c r="B73" s="30" t="s">
        <v>248</v>
      </c>
      <c r="C73" s="103" t="str">
        <f>sample_mgmt_az2_vsan_pool_start_ip</f>
        <v>10.12.13.101</v>
      </c>
      <c r="D73" s="10" t="str">
        <f>wld_az2_principal_storage_pool_start_ip</f>
        <v>Value Missing</v>
      </c>
      <c r="E73" s="194"/>
    </row>
    <row r="74" spans="2:5" s="9" customFormat="1" ht="20" customHeight="1" x14ac:dyDescent="0.2">
      <c r="B74" s="30" t="s">
        <v>249</v>
      </c>
      <c r="C74" s="103" t="str">
        <f>sample_mgmt_az2_vsan_pool_end_ip</f>
        <v>10.12.13.116</v>
      </c>
      <c r="D74" s="10" t="str">
        <f>wld_az2_principal_storage_pool_end_ip</f>
        <v>Value Missing</v>
      </c>
      <c r="E74" s="194"/>
    </row>
    <row r="75" spans="2:5" s="9" customFormat="1" ht="20" customHeight="1" x14ac:dyDescent="0.2">
      <c r="B75" s="550" t="s">
        <v>251</v>
      </c>
      <c r="C75" s="551"/>
      <c r="D75" s="551"/>
      <c r="E75" s="552"/>
    </row>
    <row r="76" spans="2:5" s="9" customFormat="1" ht="20" customHeight="1" x14ac:dyDescent="0.2">
      <c r="B76" s="30" t="s">
        <v>85</v>
      </c>
      <c r="C76" s="166" t="str">
        <f>sample_wld_az2_secondary_storage_vlan</f>
        <v>1415</v>
      </c>
      <c r="D76" s="10" t="str">
        <f>wld_az2_secondary_storage_vlan</f>
        <v>Value Missing</v>
      </c>
      <c r="E76" s="194"/>
    </row>
    <row r="77" spans="2:5" s="9" customFormat="1" ht="20" customHeight="1" x14ac:dyDescent="0.2">
      <c r="B77" s="30" t="s">
        <v>182</v>
      </c>
      <c r="C77" s="166" t="str">
        <f>sample_wld_az2_secondary_storage_gateway_ip</f>
        <v>10.14.15.1</v>
      </c>
      <c r="D77" s="10" t="str">
        <f>wld_az2_secondary_storage_gateway_ip</f>
        <v>Value Missing</v>
      </c>
      <c r="E77" s="194"/>
    </row>
    <row r="78" spans="2:5" s="9" customFormat="1" ht="20" customHeight="1" x14ac:dyDescent="0.2">
      <c r="B78" s="30" t="s">
        <v>157</v>
      </c>
      <c r="C78" s="166">
        <f>sample_wld_az2_secondary_storage_mtu</f>
        <v>9000</v>
      </c>
      <c r="D78" s="10" t="str">
        <f>wld_az2_secondary_storage_mtu</f>
        <v>Value Missing</v>
      </c>
      <c r="E78" s="194"/>
    </row>
    <row r="79" spans="2:5" s="9" customFormat="1" ht="20" customHeight="1" x14ac:dyDescent="0.2">
      <c r="B79" s="30" t="s">
        <v>248</v>
      </c>
      <c r="C79" s="166" t="str">
        <f>sample_wld_az2_secondary_storage_pool_start_ip</f>
        <v>10.14.15.101</v>
      </c>
      <c r="D79" s="10" t="str">
        <f>wld_az2_secondary_storage_pool_start_ip</f>
        <v>Value Missing</v>
      </c>
      <c r="E79" s="194"/>
    </row>
    <row r="80" spans="2:5" s="9" customFormat="1" ht="20" customHeight="1" x14ac:dyDescent="0.2">
      <c r="B80" s="30" t="s">
        <v>249</v>
      </c>
      <c r="C80" s="166" t="str">
        <f>sample_wld_az2_secondary_storage_pool_end_ip</f>
        <v>10.14.15.116</v>
      </c>
      <c r="D80" s="10" t="str">
        <f>wld_az2_secondary_storage_pool_end_ip</f>
        <v>Value Missing</v>
      </c>
      <c r="E80" s="194"/>
    </row>
    <row r="81" spans="2:5" s="9" customFormat="1" ht="20" customHeight="1" x14ac:dyDescent="0.2">
      <c r="B81" s="424" t="s">
        <v>2912</v>
      </c>
      <c r="C81" s="425"/>
      <c r="D81" s="425"/>
      <c r="E81" s="426"/>
    </row>
    <row r="82" spans="2:5" s="9" customFormat="1" ht="20" customHeight="1" x14ac:dyDescent="0.2">
      <c r="B82" s="4" t="s">
        <v>85</v>
      </c>
      <c r="C82" s="65" t="str">
        <f>sample_wld_az2_host_overlay_vlan</f>
        <v>1414</v>
      </c>
      <c r="D82" s="308" t="str">
        <f>wld_az2_host_overlay_vlan</f>
        <v>Value Missing</v>
      </c>
      <c r="E82" s="80"/>
    </row>
    <row r="83" spans="2:5" s="9" customFormat="1" ht="20" customHeight="1" x14ac:dyDescent="0.2">
      <c r="B83" s="4" t="s">
        <v>182</v>
      </c>
      <c r="C83" s="103" t="str">
        <f>sample_wld_az2_host_overlay_gateway_ip</f>
        <v>10.14.14.1</v>
      </c>
      <c r="D83" s="308" t="str">
        <f>wld_az2_host_overlay_gateway_ip</f>
        <v>Value Missing</v>
      </c>
      <c r="E83" s="80"/>
    </row>
    <row r="84" spans="2:5" s="9" customFormat="1" ht="20" customHeight="1" x14ac:dyDescent="0.2">
      <c r="B84" s="4" t="s">
        <v>157</v>
      </c>
      <c r="C84" s="103">
        <f>sample_wld_az2_host_overlay_mtu</f>
        <v>9000</v>
      </c>
      <c r="D84" s="308" t="str">
        <f>wld_az2_host_overlay_cidr</f>
        <v>Value Missing</v>
      </c>
    </row>
    <row r="85" spans="2:5" s="9" customFormat="1" ht="20" customHeight="1" x14ac:dyDescent="0.2">
      <c r="B85" s="30" t="s">
        <v>248</v>
      </c>
      <c r="C85" s="103" t="str">
        <f>sample_wld_az2_host_overlay_pool_start_ip</f>
        <v>10.14.14.101</v>
      </c>
      <c r="D85" s="10" t="str">
        <f>wld_az2_host_overlay_pool_start_ip</f>
        <v>Value Missing</v>
      </c>
      <c r="E85" s="194"/>
    </row>
    <row r="86" spans="2:5" s="9" customFormat="1" ht="20" customHeight="1" x14ac:dyDescent="0.2">
      <c r="B86" s="30" t="s">
        <v>249</v>
      </c>
      <c r="C86" s="103" t="str">
        <f>sample_wld_az2_host_overlay_pool_end_ip</f>
        <v>10.14.14.132</v>
      </c>
      <c r="D86" s="10" t="str">
        <f>wld_az2_host_overlay_pool_end_ip</f>
        <v>Value Missing</v>
      </c>
      <c r="E86" s="194"/>
    </row>
    <row r="87" spans="2:5" s="9" customFormat="1" ht="20" customHeight="1" x14ac:dyDescent="0.2">
      <c r="B87" s="424" t="s">
        <v>816</v>
      </c>
      <c r="C87" s="425"/>
      <c r="D87" s="425"/>
      <c r="E87" s="426"/>
    </row>
    <row r="88" spans="2:5" s="9" customFormat="1" ht="20" customHeight="1" x14ac:dyDescent="0.2">
      <c r="B88" s="10" t="str">
        <f>mgmt_witness_hostname</f>
        <v>Value Missing</v>
      </c>
      <c r="C88" s="215" t="str">
        <f>sample_wld_witness_ip</f>
        <v>10.21.10.219</v>
      </c>
      <c r="D88" s="216" t="str">
        <f>wld_witness_mgmt_ip</f>
        <v>Value Missing</v>
      </c>
      <c r="E88" s="181" t="s">
        <v>271</v>
      </c>
    </row>
    <row r="89" spans="2:5" s="9" customFormat="1" ht="20" customHeight="1" x14ac:dyDescent="0.2">
      <c r="B89" s="10" t="str">
        <f>wld_witness_zone_vc_hostname</f>
        <v>Value Missing</v>
      </c>
      <c r="C89" s="215" t="str">
        <f>sample_wld_witness_zone_vc_ip</f>
        <v>10.21.10.70</v>
      </c>
      <c r="D89" s="216" t="str">
        <f>wld_witness_zone_vc_ip</f>
        <v>Value Missing</v>
      </c>
      <c r="E89" s="181" t="s">
        <v>267</v>
      </c>
    </row>
    <row r="90" spans="2:5" s="9" customFormat="1" ht="20" customHeight="1" x14ac:dyDescent="0.2">
      <c r="B90" s="583" t="s">
        <v>2910</v>
      </c>
      <c r="C90" s="583"/>
      <c r="D90" s="583"/>
      <c r="E90" s="583"/>
    </row>
    <row r="91" spans="2:5" s="9" customFormat="1" ht="20" customHeight="1" x14ac:dyDescent="0.2">
      <c r="B91" s="4" t="s">
        <v>1029</v>
      </c>
      <c r="C91" s="103" t="str">
        <f>sample_wld_en_asn</f>
        <v>65102</v>
      </c>
      <c r="D91" s="216" t="str">
        <f>wld_en_asn</f>
        <v>Value Missing</v>
      </c>
      <c r="E91" s="42"/>
    </row>
    <row r="92" spans="2:5" s="9" customFormat="1" ht="20" customHeight="1" x14ac:dyDescent="0.2">
      <c r="B92" s="4" t="s">
        <v>165</v>
      </c>
      <c r="C92" s="103" t="str">
        <f>sample_wld_az2_tor1_peer_ip</f>
        <v>10.13.17.11</v>
      </c>
      <c r="D92" s="216" t="str">
        <f>wld_az1_tor1_peer_ip</f>
        <v>Value Missing</v>
      </c>
      <c r="E92" s="42"/>
    </row>
    <row r="93" spans="2:5" s="9" customFormat="1" ht="20" customHeight="1" x14ac:dyDescent="0.2">
      <c r="B93" s="4" t="s">
        <v>166</v>
      </c>
      <c r="C93" s="103" t="str">
        <f>sample_wld_az2_tor1_peer_asn</f>
        <v>65141</v>
      </c>
      <c r="D93" s="216" t="str">
        <f>wld_az1_tor1_peer_asn</f>
        <v>Value Missing</v>
      </c>
      <c r="E93" s="42"/>
    </row>
    <row r="94" spans="2:5" s="9" customFormat="1" ht="20" customHeight="1" x14ac:dyDescent="0.2">
      <c r="B94" s="4" t="s">
        <v>167</v>
      </c>
      <c r="C94" s="103" t="str">
        <f>sample_wld_az2_tor1_peer_bgp_password</f>
        <v>VMw@re1!</v>
      </c>
      <c r="D94" s="216" t="str">
        <f>wld_az1_tor1_peer_bgp_password</f>
        <v>Value Missing</v>
      </c>
      <c r="E94" s="42"/>
    </row>
    <row r="95" spans="2:5" s="9" customFormat="1" ht="20" customHeight="1" x14ac:dyDescent="0.2">
      <c r="B95" s="4" t="s">
        <v>168</v>
      </c>
      <c r="C95" s="103" t="str">
        <f>sample_wld_az2_tor2_peer_ip</f>
        <v>10.13.18.11</v>
      </c>
      <c r="D95" s="216" t="str">
        <f>wld_az1_tor2_peer_ip</f>
        <v>Value Missing</v>
      </c>
      <c r="E95" s="42"/>
    </row>
    <row r="96" spans="2:5" s="9" customFormat="1" ht="20" customHeight="1" x14ac:dyDescent="0.2">
      <c r="B96" s="4" t="s">
        <v>169</v>
      </c>
      <c r="C96" s="103" t="str">
        <f>sample_wld_az2_tor2_peer_asn</f>
        <v>65141</v>
      </c>
      <c r="D96" s="216" t="str">
        <f>wld_az1_tor2_peer_asn</f>
        <v>Value Missing</v>
      </c>
      <c r="E96" s="42"/>
    </row>
    <row r="97" spans="2:5" s="9" customFormat="1" ht="20" customHeight="1" x14ac:dyDescent="0.2">
      <c r="B97" s="4" t="s">
        <v>170</v>
      </c>
      <c r="C97" s="103" t="str">
        <f>sample_wld_az2_tor2_peer_bgp_password</f>
        <v>VMw@re1!</v>
      </c>
      <c r="D97" s="216" t="str">
        <f>wld_az1_tor2_peer_bgp_password</f>
        <v>Value Missing</v>
      </c>
      <c r="E97" s="42"/>
    </row>
    <row r="98" spans="2:5" s="9" customFormat="1" ht="20" customHeight="1" x14ac:dyDescent="0.2"/>
    <row r="99" spans="2:5" s="9" customFormat="1" ht="34" customHeight="1" x14ac:dyDescent="0.2">
      <c r="B99" s="427" t="s">
        <v>838</v>
      </c>
      <c r="C99" s="428"/>
      <c r="D99" s="428"/>
      <c r="E99" s="429"/>
    </row>
    <row r="100" spans="2:5" s="9" customFormat="1" ht="20" customHeight="1" x14ac:dyDescent="0.2">
      <c r="B100" s="63" t="s">
        <v>18</v>
      </c>
      <c r="C100" s="63" t="s">
        <v>19</v>
      </c>
      <c r="D100" s="63" t="s">
        <v>20</v>
      </c>
      <c r="E100" s="63" t="s">
        <v>21</v>
      </c>
    </row>
    <row r="101" spans="2:5" s="9" customFormat="1" ht="20" customHeight="1" x14ac:dyDescent="0.2">
      <c r="B101" s="424" t="s">
        <v>810</v>
      </c>
      <c r="C101" s="425"/>
      <c r="D101" s="425"/>
      <c r="E101" s="426"/>
    </row>
    <row r="102" spans="2:5" s="9" customFormat="1" ht="20" customHeight="1" x14ac:dyDescent="0.2">
      <c r="B102" s="4" t="s">
        <v>85</v>
      </c>
      <c r="C102" s="109" t="str">
        <f>sample_mgmt_az1_mgmt_vm_vlan</f>
        <v>1110</v>
      </c>
      <c r="D102" s="8" t="str">
        <f>mgmt_az1_mgmt_vm_vlan</f>
        <v>Value Missing</v>
      </c>
      <c r="E102" s="43"/>
    </row>
    <row r="103" spans="2:5" s="9" customFormat="1" ht="20" customHeight="1" x14ac:dyDescent="0.2">
      <c r="B103" s="4" t="s">
        <v>182</v>
      </c>
      <c r="C103" s="103" t="str">
        <f>sample_mgmt_az1_mgmt_vm_gateway_cidr</f>
        <v>10.11.10.1/24</v>
      </c>
      <c r="D103" s="8" t="str">
        <f>mgmt_az1_mgmt_vm_gateway_ip</f>
        <v>Value Missing</v>
      </c>
      <c r="E103" s="43"/>
    </row>
    <row r="104" spans="2:5" s="9" customFormat="1" ht="20" customHeight="1" x14ac:dyDescent="0.2">
      <c r="B104" s="4" t="s">
        <v>157</v>
      </c>
      <c r="C104" s="103">
        <v>1500</v>
      </c>
      <c r="D104" s="8" t="str">
        <f>wld_witnessaz_mgmt_mtu</f>
        <v>Value Missing</v>
      </c>
      <c r="E104" s="43"/>
    </row>
    <row r="105" spans="2:5" s="9" customFormat="1" ht="20" customHeight="1" x14ac:dyDescent="0.2">
      <c r="B105" s="424" t="s">
        <v>2907</v>
      </c>
      <c r="C105" s="425"/>
      <c r="D105" s="425"/>
      <c r="E105" s="426"/>
    </row>
    <row r="106" spans="2:5" s="9" customFormat="1" ht="20" customHeight="1" x14ac:dyDescent="0.2">
      <c r="B106" s="4" t="s">
        <v>85</v>
      </c>
      <c r="C106" s="65" t="str">
        <f>sample_wld_az1_rtep_overlay_vlan</f>
        <v>1320</v>
      </c>
      <c r="D106" s="8" t="str">
        <f>wld_az1_rtep_overlay_vlan</f>
        <v>Value Missing</v>
      </c>
      <c r="E106" s="8"/>
    </row>
    <row r="107" spans="2:5" s="9" customFormat="1" ht="20" customHeight="1" x14ac:dyDescent="0.2">
      <c r="B107" s="4" t="s">
        <v>182</v>
      </c>
      <c r="C107" s="65" t="str">
        <f>sample_wld_az1_rtep_overlay_gateway_ip</f>
        <v>10.13.20.1</v>
      </c>
      <c r="D107" s="8" t="str">
        <f>wld_az1_rtep_overlay_gateway_ip</f>
        <v>Value Missing</v>
      </c>
      <c r="E107" s="8"/>
    </row>
    <row r="108" spans="2:5" s="9" customFormat="1" ht="20" customHeight="1" x14ac:dyDescent="0.2">
      <c r="B108" s="4" t="s">
        <v>183</v>
      </c>
      <c r="C108" s="65" t="str">
        <f>sample_wld_az1_rtep_overlay_cidr</f>
        <v>10.13.20.0/24</v>
      </c>
      <c r="D108" s="8" t="str">
        <f>wld_az1_rtep_overlay_cidr</f>
        <v>Value Missing</v>
      </c>
      <c r="E108" s="8"/>
    </row>
    <row r="109" spans="2:5" s="9" customFormat="1" ht="20" customHeight="1" x14ac:dyDescent="0.2">
      <c r="B109" s="424" t="s">
        <v>2898</v>
      </c>
      <c r="C109" s="425"/>
      <c r="D109" s="425"/>
      <c r="E109" s="426"/>
    </row>
    <row r="110" spans="2:5" s="9" customFormat="1" ht="20" customHeight="1" x14ac:dyDescent="0.2">
      <c r="B110" s="4" t="str">
        <f>wld_nsxt_global_mgra_fqdn</f>
        <v>Value Missing</v>
      </c>
      <c r="C110" s="65" t="str">
        <f>sample_wld_nsxt_gm_vip_ip</f>
        <v>10.11.10.141</v>
      </c>
      <c r="D110" s="8" t="str">
        <f>wld_nsxt_gm_vip_ip</f>
        <v>Value Missing</v>
      </c>
      <c r="E110" s="8"/>
    </row>
    <row r="111" spans="2:5" s="9" customFormat="1" ht="20" customHeight="1" x14ac:dyDescent="0.2">
      <c r="B111" s="4" t="str">
        <f>wld_nsxt_global_mgra_fqdn</f>
        <v>Value Missing</v>
      </c>
      <c r="C111" s="65" t="str">
        <f>sample_wld_nsxt_global_mgra_ip</f>
        <v>10.11.10.142</v>
      </c>
      <c r="D111" s="8" t="str">
        <f>wld_nsxt_global_mgra_ip</f>
        <v>Value Missing</v>
      </c>
      <c r="E111" s="8"/>
    </row>
    <row r="112" spans="2:5" s="9" customFormat="1" ht="20" customHeight="1" x14ac:dyDescent="0.2">
      <c r="B112" s="4" t="str">
        <f>wld_nsxt_global_mgrb_fqdn</f>
        <v>Value Missing</v>
      </c>
      <c r="C112" s="65" t="str">
        <f>sample_wld_nsxt_global_mgrb_ip</f>
        <v>10.11.10.143</v>
      </c>
      <c r="D112" s="8" t="str">
        <f>wld_nsxt_global_mgrb_ip</f>
        <v>Value Missing</v>
      </c>
      <c r="E112" s="8"/>
    </row>
    <row r="113" spans="2:5" s="9" customFormat="1" ht="20" customHeight="1" x14ac:dyDescent="0.2">
      <c r="B113" s="4" t="str">
        <f>wld_nsxt_global_mgrc_fqdn</f>
        <v>Value Missing</v>
      </c>
      <c r="C113" s="65" t="str">
        <f>sample_wld_nsxt_global_mgrc_ip</f>
        <v>10.11.10.144</v>
      </c>
      <c r="D113" s="8" t="str">
        <f>wld_nsxt_global_mgrc_ip</f>
        <v>Value Missing</v>
      </c>
      <c r="E113" s="8"/>
    </row>
    <row r="114" spans="2:5" s="9" customFormat="1" ht="20" customHeight="1" x14ac:dyDescent="0.2">
      <c r="B114" s="40" t="str">
        <f>wld_az1_en1_hostname</f>
        <v>Value Missing</v>
      </c>
      <c r="C114" s="103" t="str">
        <f>sample_wld_az1_en1_mgmt_cidr</f>
        <v>10.13.11.135/24</v>
      </c>
      <c r="D114" s="8" t="str">
        <f>wld_az1_en1_mgmt_cidr</f>
        <v>Value Missing</v>
      </c>
      <c r="E114" s="8"/>
    </row>
    <row r="115" spans="2:5" s="9" customFormat="1" ht="20" customHeight="1" x14ac:dyDescent="0.2">
      <c r="B115" s="120" t="s">
        <v>2354</v>
      </c>
      <c r="C115" s="103" t="str">
        <f>sample_wld_az1_en1_uplink01_interface_cidr</f>
        <v>10.13.17.2/24</v>
      </c>
      <c r="D115" s="8" t="str">
        <f>wld_az1_en1_uplink01_interface_cidr</f>
        <v>Value Missing</v>
      </c>
      <c r="E115" s="8" t="s">
        <v>153</v>
      </c>
    </row>
    <row r="116" spans="2:5" s="9" customFormat="1" ht="20" customHeight="1" x14ac:dyDescent="0.2">
      <c r="B116" s="120" t="s">
        <v>2354</v>
      </c>
      <c r="C116" s="103" t="str">
        <f>sample_wld_az1_en1_uplink02_interface_cidr</f>
        <v>10.13.18.2/24</v>
      </c>
      <c r="D116" s="8" t="str">
        <f>wld_az1_en1_uplink02_interface_cidr</f>
        <v>Value Missing</v>
      </c>
      <c r="E116" s="8" t="s">
        <v>863</v>
      </c>
    </row>
    <row r="117" spans="2:5" s="9" customFormat="1" ht="20" customHeight="1" x14ac:dyDescent="0.2">
      <c r="B117" s="213" t="s">
        <v>2354</v>
      </c>
      <c r="C117" s="103" t="str">
        <f>sample_wld_az1_en1_edge_overlay_interface_ip_1_ip</f>
        <v>10.13.19.2</v>
      </c>
      <c r="D117" s="8" t="str">
        <f>wld_az1_en1_edge_overlay_interface_ip_1_ip</f>
        <v>Value Missing</v>
      </c>
      <c r="E117" s="8" t="s">
        <v>851</v>
      </c>
    </row>
    <row r="118" spans="2:5" s="9" customFormat="1" ht="20" customHeight="1" x14ac:dyDescent="0.2">
      <c r="B118" s="214" t="s">
        <v>2354</v>
      </c>
      <c r="C118" s="103" t="str">
        <f>sample_wld_az1_en1_edge_overlay_interface_ip_2_ip</f>
        <v>10.13.19.3</v>
      </c>
      <c r="D118" s="8" t="str">
        <f>wld_az1_en1_edge_overlay_interface_ip_2_ip</f>
        <v>Value Missing</v>
      </c>
      <c r="E118" s="8" t="s">
        <v>2899</v>
      </c>
    </row>
    <row r="119" spans="2:5" s="9" customFormat="1" ht="20" customHeight="1" x14ac:dyDescent="0.2">
      <c r="B119" s="40" t="str">
        <f>wld_az1_en2_hostname</f>
        <v>Value Missing</v>
      </c>
      <c r="C119" s="103" t="str">
        <f>sample_wld_az1_en2_mgmt_cidr</f>
        <v>10.13.11.136/24</v>
      </c>
      <c r="D119" s="8" t="str">
        <f>wld_az1_en2_mgmt_cidr</f>
        <v>Value Missing</v>
      </c>
      <c r="E119" s="8"/>
    </row>
    <row r="120" spans="2:5" s="9" customFormat="1" ht="20" customHeight="1" x14ac:dyDescent="0.2">
      <c r="B120" s="120" t="s">
        <v>2354</v>
      </c>
      <c r="C120" s="103" t="str">
        <f>sample_wld_az1_en2_uplink01_interface_cidr</f>
        <v>10.13.17.3/24</v>
      </c>
      <c r="D120" s="8" t="str">
        <f>wld_az1_en2_uplink01_interface_cidr</f>
        <v>Value Missing</v>
      </c>
      <c r="E120" s="8" t="s">
        <v>164</v>
      </c>
    </row>
    <row r="121" spans="2:5" s="9" customFormat="1" ht="20" customHeight="1" x14ac:dyDescent="0.2">
      <c r="B121" s="120" t="s">
        <v>2354</v>
      </c>
      <c r="C121" s="103" t="str">
        <f>sample_wld_az1_en2_uplink02_interface_cidr</f>
        <v>10.13.18.3/24</v>
      </c>
      <c r="D121" s="8" t="str">
        <f>wld_az1_en2_uplink02_interface_cidr</f>
        <v>Value Missing</v>
      </c>
      <c r="E121" s="8" t="s">
        <v>162</v>
      </c>
    </row>
    <row r="122" spans="2:5" s="9" customFormat="1" ht="20" customHeight="1" x14ac:dyDescent="0.2">
      <c r="B122" s="213" t="s">
        <v>2354</v>
      </c>
      <c r="C122" s="103" t="str">
        <f>sample_wld_az1_en2_edge_overlay_interface_ip_1_ip</f>
        <v>10.13.19.4</v>
      </c>
      <c r="D122" s="8" t="str">
        <f>wld_az1_en2_edge_overlay_interface_ip_1_ip</f>
        <v>Value Missing</v>
      </c>
      <c r="E122" s="8" t="s">
        <v>858</v>
      </c>
    </row>
    <row r="123" spans="2:5" s="9" customFormat="1" ht="20" customHeight="1" x14ac:dyDescent="0.2">
      <c r="B123" s="214" t="s">
        <v>2354</v>
      </c>
      <c r="C123" s="103" t="str">
        <f>sample_wld_az1_en2_edge_overlay_interface_ip_2_ip</f>
        <v>10.13.19.5</v>
      </c>
      <c r="D123" s="8" t="str">
        <f>wld_az1_en2_edge_overlay_interface_ip_2_ip</f>
        <v>Value Missing</v>
      </c>
      <c r="E123" s="8" t="s">
        <v>860</v>
      </c>
    </row>
    <row r="124" spans="2:5" s="9" customFormat="1" x14ac:dyDescent="0.2"/>
  </sheetData>
  <sheetProtection algorithmName="SHA-512" hashValue="P9vvK7GilwWgNK0Io1JmlNRizFBqheTSDH781lEDzjdiyfKBto5mZbaGBwC2riQ93FiPVlaGES/KBLphI11OUQ==" saltValue="NfUnHGRGJr4gV1dQeySwKw==" spinCount="100000" sheet="1" objects="1" scenarios="1"/>
  <mergeCells count="25">
    <mergeCell ref="B2:E2"/>
    <mergeCell ref="B3:E3"/>
    <mergeCell ref="B6:E6"/>
    <mergeCell ref="B90:E90"/>
    <mergeCell ref="B99:E99"/>
    <mergeCell ref="B21:E21"/>
    <mergeCell ref="B24:E24"/>
    <mergeCell ref="B7:E7"/>
    <mergeCell ref="B9:E9"/>
    <mergeCell ref="B13:E13"/>
    <mergeCell ref="B17:E17"/>
    <mergeCell ref="B32:E32"/>
    <mergeCell ref="B109:E109"/>
    <mergeCell ref="B44:E44"/>
    <mergeCell ref="B46:E46"/>
    <mergeCell ref="B50:E50"/>
    <mergeCell ref="B56:E56"/>
    <mergeCell ref="B58:E58"/>
    <mergeCell ref="B101:E101"/>
    <mergeCell ref="B87:E87"/>
    <mergeCell ref="B105:E105"/>
    <mergeCell ref="B81:E81"/>
    <mergeCell ref="B63:E63"/>
    <mergeCell ref="B69:E69"/>
    <mergeCell ref="B75:E75"/>
  </mergeCells>
  <conditionalFormatting sqref="D10:D12 D14:D16 D18:D20 D25:D31 D33:D42">
    <cfRule type="expression" dxfId="194" priority="116">
      <formula>OR((wld_domain_result="Excluded"),(wld_bgp_result="Excluded"))</formula>
    </cfRule>
  </conditionalFormatting>
  <conditionalFormatting sqref="D10:D12 D14:D16 D47:D49">
    <cfRule type="containsBlanks" dxfId="193" priority="123">
      <formula>LEN(TRIM(D10))=0</formula>
    </cfRule>
    <cfRule type="notContainsBlanks" dxfId="191" priority="139">
      <formula>LEN(TRIM(D10))&gt;0</formula>
    </cfRule>
  </conditionalFormatting>
  <conditionalFormatting sqref="D18:D20">
    <cfRule type="containsBlanks" dxfId="190" priority="125">
      <formula>LEN(TRIM(D18))=0</formula>
    </cfRule>
  </conditionalFormatting>
  <conditionalFormatting sqref="D18:D23">
    <cfRule type="notContainsBlanks" dxfId="188" priority="137">
      <formula>LEN(TRIM(D18))&gt;0</formula>
    </cfRule>
  </conditionalFormatting>
  <conditionalFormatting sqref="D21 D8:D9">
    <cfRule type="expression" dxfId="187" priority="135">
      <formula>mgmt_domain_existing_vcenter_chosen="Selected"</formula>
    </cfRule>
  </conditionalFormatting>
  <conditionalFormatting sqref="D21">
    <cfRule type="expression" dxfId="186" priority="134">
      <formula>input_mgmt_principal_storage_chosen="VMFS on Fibre Channel (FC)"</formula>
    </cfRule>
    <cfRule type="containsBlanks" dxfId="184" priority="138">
      <formula>LEN(TRIM(D21))=0</formula>
    </cfRule>
  </conditionalFormatting>
  <conditionalFormatting sqref="D22:D23">
    <cfRule type="expression" dxfId="183" priority="2">
      <formula>OR((wld_domain_result="Excluded"),(wld_bgp_result="Excluded"))</formula>
    </cfRule>
    <cfRule type="containsBlanks" dxfId="182" priority="3">
      <formula>LEN(TRIM(D22))=0</formula>
    </cfRule>
  </conditionalFormatting>
  <conditionalFormatting sqref="D25:D31">
    <cfRule type="containsBlanks" dxfId="180" priority="132">
      <formula>LEN(TRIM(D25))=0</formula>
    </cfRule>
    <cfRule type="notContainsBlanks" dxfId="178" priority="141">
      <formula>LEN(TRIM(D25))&gt;0</formula>
    </cfRule>
  </conditionalFormatting>
  <conditionalFormatting sqref="D33:D42">
    <cfRule type="containsBlanks" dxfId="177" priority="129">
      <formula>LEN(TRIM(D33))=0</formula>
    </cfRule>
    <cfRule type="notContainsBlanks" dxfId="175" priority="131">
      <formula>LEN(TRIM(D33))&gt;0</formula>
    </cfRule>
  </conditionalFormatting>
  <conditionalFormatting sqref="D45:D46">
    <cfRule type="expression" dxfId="174" priority="105">
      <formula>mgmt_domain_existing_vcenter_chosen="Selected"</formula>
    </cfRule>
  </conditionalFormatting>
  <conditionalFormatting sqref="D47:D49 D51:D54">
    <cfRule type="expression" dxfId="173" priority="101">
      <formula>wld_avi_loadbalancer_result="Excluded"</formula>
    </cfRule>
  </conditionalFormatting>
  <conditionalFormatting sqref="D51:D54">
    <cfRule type="containsBlanks" dxfId="172" priority="106">
      <formula>LEN(TRIM(D51))=0</formula>
    </cfRule>
    <cfRule type="notContainsBlanks" dxfId="170" priority="108">
      <formula>LEN(TRIM(D51))&gt;0</formula>
    </cfRule>
  </conditionalFormatting>
  <conditionalFormatting sqref="D57:D58">
    <cfRule type="expression" dxfId="169" priority="100">
      <formula>mgmt_domain_existing_vcenter_chosen="Selected"</formula>
    </cfRule>
  </conditionalFormatting>
  <conditionalFormatting sqref="D59:D62 D64:D68">
    <cfRule type="expression" dxfId="168" priority="14">
      <formula>mgmt_domain_deployment_type_chosen="VMware vSphere Foundation"</formula>
    </cfRule>
    <cfRule type="expression" dxfId="167" priority="15" stopIfTrue="1">
      <formula>wld_stretched_cluster_result="Excluded"</formula>
    </cfRule>
    <cfRule type="containsBlanks" dxfId="166" priority="16">
      <formula>LEN(TRIM(D59))=0</formula>
    </cfRule>
    <cfRule type="notContainsBlanks" dxfId="164" priority="18" stopIfTrue="1">
      <formula>LEN(TRIM(D59))&gt;0</formula>
    </cfRule>
  </conditionalFormatting>
  <conditionalFormatting sqref="D70:D74 D82:D84 B88:B89">
    <cfRule type="containsBlanks" dxfId="163" priority="70">
      <formula>LEN(TRIM(B70))=0</formula>
    </cfRule>
    <cfRule type="notContainsBlanks" dxfId="161" priority="72" stopIfTrue="1">
      <formula>LEN(TRIM(B70))&gt;0</formula>
    </cfRule>
  </conditionalFormatting>
  <conditionalFormatting sqref="D76:D80">
    <cfRule type="expression" dxfId="160" priority="1">
      <formula>wld_secondary_storage_result="Excluded"</formula>
    </cfRule>
    <cfRule type="expression" dxfId="159" priority="5" stopIfTrue="1">
      <formula>wld_stretched_cluster_result="Excluded"</formula>
    </cfRule>
    <cfRule type="containsBlanks" dxfId="158" priority="6">
      <formula>LEN(TRIM(D76))=0</formula>
    </cfRule>
    <cfRule type="notContainsBlanks" dxfId="156" priority="8" stopIfTrue="1">
      <formula>LEN(TRIM(D76))&gt;0</formula>
    </cfRule>
  </conditionalFormatting>
  <conditionalFormatting sqref="D81">
    <cfRule type="expression" dxfId="155" priority="66">
      <formula>mgmt_domain_existing_vcenter_chosen="Selected"</formula>
    </cfRule>
  </conditionalFormatting>
  <conditionalFormatting sqref="D82:D84 D70:D74 B88:B89">
    <cfRule type="expression" dxfId="154" priority="69" stopIfTrue="1">
      <formula>wld_stretched_cluster_result="Excluded"</formula>
    </cfRule>
  </conditionalFormatting>
  <conditionalFormatting sqref="D82:D84">
    <cfRule type="expression" dxfId="153" priority="58">
      <formula>mgmt_domain_deployment_type_chosen="VMware vSphere Foundation"</formula>
    </cfRule>
  </conditionalFormatting>
  <conditionalFormatting sqref="D85:D86">
    <cfRule type="expression" dxfId="152" priority="46" stopIfTrue="1">
      <formula>wld_stretched_cluster_result="Excluded"</formula>
    </cfRule>
    <cfRule type="containsBlanks" dxfId="151" priority="47">
      <formula>LEN(TRIM(D85))=0</formula>
    </cfRule>
    <cfRule type="notContainsBlanks" dxfId="149" priority="49" stopIfTrue="1">
      <formula>LEN(TRIM(D85))&gt;0</formula>
    </cfRule>
  </conditionalFormatting>
  <conditionalFormatting sqref="D88:D89">
    <cfRule type="expression" dxfId="148" priority="96" stopIfTrue="1">
      <formula>wld_stretched_cluster_result="Excluded"</formula>
    </cfRule>
    <cfRule type="containsBlanks" dxfId="147" priority="97">
      <formula>LEN(TRIM(D88))=0</formula>
    </cfRule>
    <cfRule type="notContainsBlanks" dxfId="145" priority="99" stopIfTrue="1">
      <formula>LEN(TRIM(D88))&gt;0</formula>
    </cfRule>
  </conditionalFormatting>
  <conditionalFormatting sqref="D91:D97">
    <cfRule type="expression" dxfId="144" priority="19" stopIfTrue="1">
      <formula>wld_stretched_cluster_result="Excluded"</formula>
    </cfRule>
    <cfRule type="containsBlanks" dxfId="143" priority="20">
      <formula>LEN(TRIM(D91))=0</formula>
    </cfRule>
    <cfRule type="notContainsBlanks" dxfId="141" priority="22" stopIfTrue="1">
      <formula>LEN(TRIM(D91))&gt;0</formula>
    </cfRule>
  </conditionalFormatting>
  <conditionalFormatting sqref="D100:D101">
    <cfRule type="expression" dxfId="140" priority="92">
      <formula>mgmt_domain_existing_vcenter_chosen="Selected"</formula>
    </cfRule>
  </conditionalFormatting>
  <conditionalFormatting sqref="D102:D104 D106:D108 D110:D123">
    <cfRule type="expression" dxfId="139" priority="68">
      <formula>wld_nsxt_federation_result="Excluded"</formula>
    </cfRule>
    <cfRule type="notContainsBlanks" dxfId="137" priority="94">
      <formula>LEN(TRIM(D102))&gt;0</formula>
    </cfRule>
  </conditionalFormatting>
  <conditionalFormatting sqref="D105">
    <cfRule type="expression" dxfId="136" priority="95">
      <formula>mgmt_domain_existing_vcenter_chosen="Selected"</formula>
    </cfRule>
  </conditionalFormatting>
  <conditionalFormatting sqref="D110:D123 D102:D104 D106:D108">
    <cfRule type="containsBlanks" dxfId="135" priority="91">
      <formula>LEN(TRIM(D102))=0</formula>
    </cfRule>
  </conditionalFormatting>
  <conditionalFormatting sqref="D114:D123">
    <cfRule type="expression" dxfId="134" priority="90">
      <formula>OR((wld_domain_result="Excluded"),(wld_vns_result="Excluded"))</formula>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124" operator="containsText" id="{E5EDB088-127A-FA48-A29E-E371BE0C58AE}">
            <xm:f>NOT(ISERROR(SEARCH("Value Missing",D10)))</xm:f>
            <xm:f>"Value Missing"</xm:f>
            <x14:dxf>
              <font>
                <color theme="1"/>
              </font>
              <fill>
                <patternFill>
                  <bgColor rgb="FFFFBE29"/>
                </patternFill>
              </fill>
            </x14:dxf>
          </x14:cfRule>
          <xm:sqref>D10:D12 D14:D16 D47:D49</xm:sqref>
        </x14:conditionalFormatting>
        <x14:conditionalFormatting xmlns:xm="http://schemas.microsoft.com/office/excel/2006/main">
          <x14:cfRule type="containsText" priority="126" operator="containsText" id="{7EA8EC3C-8EE8-5642-8C97-E653304C54C5}">
            <xm:f>NOT(ISERROR(SEARCH("Value Missing",D18)))</xm:f>
            <xm:f>"Value Missing"</xm:f>
            <x14:dxf>
              <font>
                <color theme="1"/>
              </font>
              <fill>
                <patternFill>
                  <bgColor rgb="FFFFBE29"/>
                </patternFill>
              </fill>
            </x14:dxf>
          </x14:cfRule>
          <xm:sqref>D18:D20</xm:sqref>
        </x14:conditionalFormatting>
        <x14:conditionalFormatting xmlns:xm="http://schemas.microsoft.com/office/excel/2006/main">
          <x14:cfRule type="containsText" priority="136" stopIfTrue="1" operator="containsText" id="{DB0F4BB3-D523-4447-878D-DF8B4A81E554}">
            <xm:f>NOT(ISERROR(SEARCH("Value Missing",D21)))</xm:f>
            <xm:f>"Value Missing"</xm:f>
            <x14:dxf>
              <font>
                <color rgb="FF0E223A"/>
              </font>
              <fill>
                <patternFill>
                  <bgColor rgb="FFFFBE29"/>
                </patternFill>
              </fill>
            </x14:dxf>
          </x14:cfRule>
          <xm:sqref>D21</xm:sqref>
        </x14:conditionalFormatting>
        <x14:conditionalFormatting xmlns:xm="http://schemas.microsoft.com/office/excel/2006/main">
          <x14:cfRule type="containsText" priority="4" operator="containsText" id="{F2A4D477-D319-6342-B8D1-8D1E6F60A54B}">
            <xm:f>NOT(ISERROR(SEARCH("Value Missing",D22)))</xm:f>
            <xm:f>"Value Missing"</xm:f>
            <x14:dxf>
              <font>
                <color theme="1"/>
              </font>
              <fill>
                <patternFill>
                  <bgColor rgb="FFFFBE29"/>
                </patternFill>
              </fill>
            </x14:dxf>
          </x14:cfRule>
          <xm:sqref>D22:D23</xm:sqref>
        </x14:conditionalFormatting>
        <x14:conditionalFormatting xmlns:xm="http://schemas.microsoft.com/office/excel/2006/main">
          <x14:cfRule type="containsText" priority="133" operator="containsText" id="{56C4391B-0BF1-0444-B6AB-C42DA8B5D5EA}">
            <xm:f>NOT(ISERROR(SEARCH("Value Missing",D25)))</xm:f>
            <xm:f>"Value Missing"</xm:f>
            <x14:dxf>
              <font>
                <color theme="1"/>
              </font>
              <fill>
                <patternFill>
                  <bgColor rgb="FFFFBE29"/>
                </patternFill>
              </fill>
            </x14:dxf>
          </x14:cfRule>
          <xm:sqref>D25:D31</xm:sqref>
        </x14:conditionalFormatting>
        <x14:conditionalFormatting xmlns:xm="http://schemas.microsoft.com/office/excel/2006/main">
          <x14:cfRule type="containsText" priority="130" operator="containsText" id="{44A45759-F4F9-D145-946E-23FF84BC6853}">
            <xm:f>NOT(ISERROR(SEARCH("Value Missing",D33)))</xm:f>
            <xm:f>"Value Missing"</xm:f>
            <x14:dxf>
              <font>
                <color theme="1"/>
              </font>
              <fill>
                <patternFill>
                  <bgColor rgb="FFFFBE29"/>
                </patternFill>
              </fill>
            </x14:dxf>
          </x14:cfRule>
          <xm:sqref>D33:D42</xm:sqref>
        </x14:conditionalFormatting>
        <x14:conditionalFormatting xmlns:xm="http://schemas.microsoft.com/office/excel/2006/main">
          <x14:cfRule type="containsText" priority="107" operator="containsText" id="{BC64B5A3-7E55-D04C-9EE5-A7FD1E8BE104}">
            <xm:f>NOT(ISERROR(SEARCH("Value Missing",D51)))</xm:f>
            <xm:f>"Value Missing"</xm:f>
            <x14:dxf>
              <font>
                <color theme="1"/>
              </font>
              <fill>
                <patternFill>
                  <bgColor rgb="FFFFBE29"/>
                </patternFill>
              </fill>
            </x14:dxf>
          </x14:cfRule>
          <xm:sqref>D51:D54</xm:sqref>
        </x14:conditionalFormatting>
        <x14:conditionalFormatting xmlns:xm="http://schemas.microsoft.com/office/excel/2006/main">
          <x14:cfRule type="containsText" priority="17" stopIfTrue="1" operator="containsText" id="{66CDB210-9332-BD43-985C-D86C318F2B67}">
            <xm:f>NOT(ISERROR(SEARCH("Value Missing",D59)))</xm:f>
            <xm:f>"Value Missing"</xm:f>
            <x14:dxf>
              <font>
                <color theme="1"/>
              </font>
              <fill>
                <patternFill>
                  <bgColor rgb="FFFFBE29"/>
                </patternFill>
              </fill>
            </x14:dxf>
          </x14:cfRule>
          <xm:sqref>D59:D62 D64:D68</xm:sqref>
        </x14:conditionalFormatting>
        <x14:conditionalFormatting xmlns:xm="http://schemas.microsoft.com/office/excel/2006/main">
          <x14:cfRule type="containsText" priority="71" stopIfTrue="1" operator="containsText" id="{FE5607DF-0EB2-6744-B779-8E1B8E69A7EF}">
            <xm:f>NOT(ISERROR(SEARCH("Value Missing",B70)))</xm:f>
            <xm:f>"Value Missing"</xm:f>
            <x14:dxf>
              <font>
                <color theme="1"/>
              </font>
              <fill>
                <patternFill>
                  <bgColor rgb="FFFFBE29"/>
                </patternFill>
              </fill>
            </x14:dxf>
          </x14:cfRule>
          <xm:sqref>D70:D74 D82:D84 B88:B89</xm:sqref>
        </x14:conditionalFormatting>
        <x14:conditionalFormatting xmlns:xm="http://schemas.microsoft.com/office/excel/2006/main">
          <x14:cfRule type="containsText" priority="7" stopIfTrue="1" operator="containsText" id="{9AB7BA9A-510F-1949-ABEF-62389D7135D1}">
            <xm:f>NOT(ISERROR(SEARCH("Value Missing",D76)))</xm:f>
            <xm:f>"Value Missing"</xm:f>
            <x14:dxf>
              <font>
                <color theme="1"/>
              </font>
              <fill>
                <patternFill>
                  <bgColor rgb="FFFFBE29"/>
                </patternFill>
              </fill>
            </x14:dxf>
          </x14:cfRule>
          <xm:sqref>D76:D80</xm:sqref>
        </x14:conditionalFormatting>
        <x14:conditionalFormatting xmlns:xm="http://schemas.microsoft.com/office/excel/2006/main">
          <x14:cfRule type="containsText" priority="48" stopIfTrue="1" operator="containsText" id="{ABEE340E-16B7-DE4B-B09E-B60F6355486F}">
            <xm:f>NOT(ISERROR(SEARCH("Value Missing",D85)))</xm:f>
            <xm:f>"Value Missing"</xm:f>
            <x14:dxf>
              <font>
                <color theme="1"/>
              </font>
              <fill>
                <patternFill>
                  <bgColor rgb="FFFFBE29"/>
                </patternFill>
              </fill>
            </x14:dxf>
          </x14:cfRule>
          <xm:sqref>D85:D86</xm:sqref>
        </x14:conditionalFormatting>
        <x14:conditionalFormatting xmlns:xm="http://schemas.microsoft.com/office/excel/2006/main">
          <x14:cfRule type="containsText" priority="98" stopIfTrue="1" operator="containsText" id="{D6D77E41-DD4C-274C-9606-212298DFF473}">
            <xm:f>NOT(ISERROR(SEARCH("Value Missing",D88)))</xm:f>
            <xm:f>"Value Missing"</xm:f>
            <x14:dxf>
              <font>
                <color theme="1"/>
              </font>
              <fill>
                <patternFill>
                  <bgColor rgb="FFFFBE29"/>
                </patternFill>
              </fill>
            </x14:dxf>
          </x14:cfRule>
          <xm:sqref>D88:D89</xm:sqref>
        </x14:conditionalFormatting>
        <x14:conditionalFormatting xmlns:xm="http://schemas.microsoft.com/office/excel/2006/main">
          <x14:cfRule type="containsText" priority="21" stopIfTrue="1" operator="containsText" id="{BB9E7CB7-0730-4C49-9A77-0A67090896A5}">
            <xm:f>NOT(ISERROR(SEARCH("Value Missing",D91)))</xm:f>
            <xm:f>"Value Missing"</xm:f>
            <x14:dxf>
              <font>
                <color theme="1"/>
              </font>
              <fill>
                <patternFill>
                  <bgColor rgb="FFFFBE29"/>
                </patternFill>
              </fill>
            </x14:dxf>
          </x14:cfRule>
          <xm:sqref>D91:D97</xm:sqref>
        </x14:conditionalFormatting>
        <x14:conditionalFormatting xmlns:xm="http://schemas.microsoft.com/office/excel/2006/main">
          <x14:cfRule type="containsText" priority="93" operator="containsText" id="{2D87D5BA-6A9D-DB43-83CB-A355E471219A}">
            <xm:f>NOT(ISERROR(SEARCH("Value Missing",D102)))</xm:f>
            <xm:f>"Value Missing"</xm:f>
            <x14:dxf>
              <font>
                <color theme="1"/>
              </font>
              <fill>
                <patternFill>
                  <bgColor rgb="FFFFBE29"/>
                </patternFill>
              </fill>
            </x14:dxf>
          </x14:cfRule>
          <xm:sqref>D102:D104 D106:D108 D110:D123</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1532-02EC-E34E-B89A-5F794A3A7C51}">
  <sheetPr codeName="Sheet10">
    <tabColor theme="2" tint="-9.9978637043366805E-2"/>
  </sheetPr>
  <dimension ref="B1:I230"/>
  <sheetViews>
    <sheetView showGridLines="0" workbookViewId="0">
      <pane ySplit="4" topLeftCell="A216" activePane="bottomLeft" state="frozen"/>
      <selection pane="bottomLeft" activeCell="E41" sqref="E41"/>
    </sheetView>
  </sheetViews>
  <sheetFormatPr baseColWidth="10" defaultRowHeight="16" x14ac:dyDescent="0.2"/>
  <cols>
    <col min="1" max="1" width="2.83203125" style="9" customWidth="1"/>
    <col min="2" max="2" width="42" style="9" customWidth="1"/>
    <col min="3" max="3" width="35.83203125" style="9" customWidth="1"/>
    <col min="4" max="8" width="20.83203125" style="9" customWidth="1"/>
    <col min="9" max="9" width="2.83203125" style="9" customWidth="1"/>
    <col min="10" max="11" width="35.83203125" style="9" customWidth="1"/>
    <col min="12" max="16" width="20.83203125" style="9" customWidth="1"/>
    <col min="17" max="19" width="10.83203125" style="9" customWidth="1"/>
    <col min="20" max="16384" width="10.83203125" style="9"/>
  </cols>
  <sheetData>
    <row r="1" spans="2:8" ht="15" customHeight="1" x14ac:dyDescent="0.2">
      <c r="B1" s="148"/>
      <c r="C1" s="148"/>
      <c r="D1" s="148"/>
      <c r="E1" s="148"/>
      <c r="F1" s="148"/>
      <c r="G1" s="148"/>
    </row>
    <row r="2" spans="2:8" ht="54" customHeight="1" x14ac:dyDescent="0.2">
      <c r="B2" s="310" t="s">
        <v>2913</v>
      </c>
      <c r="C2" s="310"/>
      <c r="D2" s="310"/>
      <c r="E2" s="310"/>
      <c r="F2" s="310"/>
      <c r="G2" s="310"/>
      <c r="H2" s="310"/>
    </row>
    <row r="3" spans="2:8" ht="15" customHeight="1" x14ac:dyDescent="0.2">
      <c r="B3" s="309" t="s">
        <v>1</v>
      </c>
      <c r="C3" s="309"/>
      <c r="D3" s="309"/>
      <c r="E3" s="309"/>
      <c r="F3" s="309"/>
      <c r="G3" s="309"/>
      <c r="H3" s="309"/>
    </row>
    <row r="4" spans="2:8" x14ac:dyDescent="0.2">
      <c r="B4" s="148"/>
      <c r="C4" s="148"/>
      <c r="D4" s="148"/>
      <c r="E4" s="148"/>
      <c r="F4" s="148"/>
      <c r="G4" s="148"/>
    </row>
    <row r="6" spans="2:8" ht="34" customHeight="1" x14ac:dyDescent="0.2">
      <c r="B6" s="291" t="s">
        <v>2914</v>
      </c>
      <c r="C6" s="291"/>
      <c r="D6" s="291"/>
      <c r="E6" s="291"/>
      <c r="F6" s="291"/>
      <c r="G6" s="291"/>
      <c r="H6" s="291"/>
    </row>
    <row r="8" spans="2:8" ht="34" customHeight="1" x14ac:dyDescent="0.2">
      <c r="B8" s="569" t="s">
        <v>2915</v>
      </c>
      <c r="C8" s="570"/>
      <c r="D8" s="570"/>
      <c r="E8" s="570"/>
      <c r="F8" s="570"/>
      <c r="G8" s="570"/>
      <c r="H8" s="570"/>
    </row>
    <row r="9" spans="2:8" ht="20" customHeight="1" x14ac:dyDescent="0.2">
      <c r="B9" s="513"/>
      <c r="C9" s="514"/>
      <c r="D9" s="514"/>
      <c r="E9" s="514"/>
      <c r="F9" s="514"/>
      <c r="G9" s="514"/>
      <c r="H9" s="514"/>
    </row>
    <row r="10" spans="2:8" ht="20" customHeight="1" x14ac:dyDescent="0.2">
      <c r="B10" s="62" t="s">
        <v>2916</v>
      </c>
      <c r="C10" s="62" t="s">
        <v>2370</v>
      </c>
      <c r="D10" s="161" t="s">
        <v>2917</v>
      </c>
      <c r="E10" s="161" t="s">
        <v>2918</v>
      </c>
      <c r="F10" s="161" t="s">
        <v>245</v>
      </c>
      <c r="G10" s="161" t="s">
        <v>2919</v>
      </c>
      <c r="H10" s="161" t="s">
        <v>2920</v>
      </c>
    </row>
    <row r="11" spans="2:8" ht="20" customHeight="1" x14ac:dyDescent="0.2">
      <c r="B11" s="4" t="s">
        <v>1047</v>
      </c>
      <c r="C11" s="8" t="str">
        <f>mgmt_cl01_az1_mgmt_pg</f>
        <v>Value Missing</v>
      </c>
      <c r="D11" s="8" t="str">
        <f>mgmt_az1_mgmt_vm_vlan</f>
        <v>Value Missing</v>
      </c>
      <c r="E11" s="8" t="str">
        <f>mgmt_az1_mgmt_vm_cidr</f>
        <v>Value Missing</v>
      </c>
      <c r="F11" s="8" t="str">
        <f t="array" ref="F11">mgmt_az1_mgmt_vm_network</f>
        <v>Value Missing</v>
      </c>
      <c r="G11" s="8" t="str">
        <f>mgmt_az1_mgmt_vm_gateway_ip</f>
        <v>Value Missing</v>
      </c>
      <c r="H11" s="8" t="str">
        <f>mgmt_az1_mgmt_vm_mtu</f>
        <v>Value Missing</v>
      </c>
    </row>
    <row r="12" spans="2:8" ht="20" customHeight="1" x14ac:dyDescent="0.2">
      <c r="B12" s="4" t="s">
        <v>2921</v>
      </c>
      <c r="C12" s="8" t="str">
        <f>mgmt_cl01_az1_mgmt_pg</f>
        <v>Value Missing</v>
      </c>
      <c r="D12" s="8" t="str">
        <f>mgmt_az1_mgmt_vlan</f>
        <v>Value Missing</v>
      </c>
      <c r="E12" s="8" t="str">
        <f>mgmt_az1_mgmt_cidr</f>
        <v>Value Missing</v>
      </c>
      <c r="F12" s="8" t="str">
        <f t="array" ref="F12">mgmt_az1_mgmt_network</f>
        <v>Value Missing</v>
      </c>
      <c r="G12" s="8" t="str">
        <f>mgmt_az1_mgmt_gateway_ip</f>
        <v>Value Missing</v>
      </c>
      <c r="H12" s="8" t="str">
        <f>mgmt_az1_mgmt_mtu</f>
        <v>Value Missing</v>
      </c>
    </row>
    <row r="13" spans="2:8" ht="20" customHeight="1" x14ac:dyDescent="0.2">
      <c r="B13" s="4" t="s">
        <v>244</v>
      </c>
      <c r="C13" s="8" t="str">
        <f>mgmt_cl01_az1_vmotion_pg</f>
        <v>Value Missing</v>
      </c>
      <c r="D13" s="8" t="str">
        <f>mgmt_az1_vmotion_vlan</f>
        <v>Value Missing</v>
      </c>
      <c r="E13" s="8" t="str">
        <f>mgmt_az1_vmotion_cidr</f>
        <v>Value Missing</v>
      </c>
      <c r="F13" s="8" t="str">
        <f t="array" ref="F13">mgmt_az1_vmotion_network</f>
        <v>Value Missing</v>
      </c>
      <c r="G13" s="8" t="str">
        <f>mgmt_az1_vmotion_gateway_ip</f>
        <v>Value Missing</v>
      </c>
      <c r="H13" s="8" t="str">
        <f>mgmt_az1_vmotion_mtu</f>
        <v>Value Missing</v>
      </c>
    </row>
    <row r="14" spans="2:8" ht="20" customHeight="1" x14ac:dyDescent="0.2">
      <c r="B14" s="4" t="s">
        <v>250</v>
      </c>
      <c r="C14" s="8" t="str">
        <f>mgmt_cl01_az1_vsan_pg</f>
        <v>Value Missing</v>
      </c>
      <c r="D14" s="8" t="str">
        <f>mgmt_az1_vsan_vlan</f>
        <v>Value Missing</v>
      </c>
      <c r="E14" s="8" t="str">
        <f>mgmt_az1_vsan_cidr</f>
        <v>Value Missing</v>
      </c>
      <c r="F14" s="8" t="str">
        <f t="array" ref="F14">mgmt_az1_vsan_network</f>
        <v>Value Missing</v>
      </c>
      <c r="G14" s="8" t="str">
        <f>mgmt_az1_vsan_gateway_ip</f>
        <v>Value Missing</v>
      </c>
      <c r="H14" s="8" t="str">
        <f>mgmt_az1_vsan_mtu</f>
        <v>Value Missing</v>
      </c>
    </row>
    <row r="15" spans="2:8" ht="20" customHeight="1" x14ac:dyDescent="0.2">
      <c r="B15" s="4" t="s">
        <v>1053</v>
      </c>
      <c r="C15" s="8" t="str">
        <f t="array" ref="C15">mgmt_az1_host_overlay_pg</f>
        <v>N/A</v>
      </c>
      <c r="D15" s="8" t="str">
        <f>mgmt_az1_host_overlay_vlan</f>
        <v>Value Missing</v>
      </c>
      <c r="E15" s="8" t="str">
        <f>mgmt_az1_host_overlay_cidr</f>
        <v>Value Missing</v>
      </c>
      <c r="F15" s="8" t="str">
        <f t="array" ref="F15">mgmt_az1_host_overlay_network</f>
        <v>Value Missing</v>
      </c>
      <c r="G15" s="8" t="str">
        <f>mgmt_az1_host_overlay_gateway_ip</f>
        <v>Value Missing</v>
      </c>
      <c r="H15" s="8" t="str">
        <f>mgmt_az1_host_overlay_mtu</f>
        <v>Value Missing</v>
      </c>
    </row>
    <row r="16" spans="2:8" ht="20" customHeight="1" x14ac:dyDescent="0.2">
      <c r="B16" s="4" t="s">
        <v>1066</v>
      </c>
      <c r="C16" s="8" t="str">
        <f>mgmt_vrms_pg</f>
        <v>Value Missing</v>
      </c>
      <c r="D16" s="8" t="str">
        <f>mgmt_az1_vrms_vlan</f>
        <v>Value Missing</v>
      </c>
      <c r="E16" s="8">
        <f>mgmt_az1_vrms_cidr</f>
        <v>0</v>
      </c>
      <c r="F16" s="8">
        <f t="array" ref="F16">mgmt_az1_vrms_network</f>
        <v>0</v>
      </c>
      <c r="G16" s="8">
        <f>mgmt_az1_vrms_gateway_ip</f>
        <v>0</v>
      </c>
      <c r="H16" s="8" t="str">
        <f>mgmt_az1_vrms_mtu</f>
        <v>Value Missing</v>
      </c>
    </row>
    <row r="17" spans="2:8" ht="20" customHeight="1" x14ac:dyDescent="0.2">
      <c r="B17" s="4" t="s">
        <v>2922</v>
      </c>
      <c r="C17" s="8" t="str">
        <f>mgmt_cl01_az1_uplink01_pg</f>
        <v>Value Missing</v>
      </c>
      <c r="D17" s="8" t="str">
        <f>mgmt_az1_uplink01_vlan</f>
        <v>Value Missing</v>
      </c>
      <c r="E17" s="8" t="str">
        <f>mgmt_az1_uplink01_cidr</f>
        <v>Value Missing</v>
      </c>
      <c r="F17" s="8" t="str">
        <f t="array" ref="F17">mgmt_az1_uplink01_network</f>
        <v>Value Missing</v>
      </c>
      <c r="G17" s="8" t="str">
        <f>mgmt_az1_uplink01_gateway_ip</f>
        <v>Value Missing</v>
      </c>
      <c r="H17" s="8" t="str">
        <f>mgmt_az1_uplink01_mtu</f>
        <v>Value Missing</v>
      </c>
    </row>
    <row r="18" spans="2:8" ht="20" customHeight="1" x14ac:dyDescent="0.2">
      <c r="B18" s="23" t="s">
        <v>2923</v>
      </c>
      <c r="C18" s="8" t="str">
        <f>mgmt_cl01_az1_uplink02_pg</f>
        <v>Value Missing</v>
      </c>
      <c r="D18" s="8" t="str">
        <f>mgmt_az1_uplink02_vlan</f>
        <v>Value Missing</v>
      </c>
      <c r="E18" s="8" t="str">
        <f>mgmt_az1_uplink02_cidr</f>
        <v>Value Missing</v>
      </c>
      <c r="F18" s="8" t="str">
        <f t="array" ref="F18">mgmt_az1_uplink02_network</f>
        <v>Value Missing</v>
      </c>
      <c r="G18" s="8" t="str">
        <f>mgmt_az1_uplink02_gateway_ip</f>
        <v>Value Missing</v>
      </c>
      <c r="H18" s="8" t="str">
        <f>mgmt_az1_uplink02_mtu</f>
        <v>Value Missing</v>
      </c>
    </row>
    <row r="19" spans="2:8" ht="20" customHeight="1" x14ac:dyDescent="0.2">
      <c r="B19" s="23" t="s">
        <v>1062</v>
      </c>
      <c r="C19" s="8" t="str">
        <f>mgmt_az1_edge_overlay_pg</f>
        <v>N/A</v>
      </c>
      <c r="D19" s="8" t="str">
        <f>mgmt_az1_edge_overlay_vlan</f>
        <v>Value Missing</v>
      </c>
      <c r="E19" s="8" t="str">
        <f>mgmt_az1_edge_overlay_cidr</f>
        <v>Value Missing</v>
      </c>
      <c r="F19" s="8" t="str">
        <f>mgmt_az1_edge_overlay_network</f>
        <v>Value Missing</v>
      </c>
      <c r="G19" s="8" t="str">
        <f>mgmt_az1_edge_overlay_gateway_ip</f>
        <v>Value Missing</v>
      </c>
      <c r="H19" s="8" t="str">
        <f>mgmt_az1_edge_overlay_mtu</f>
        <v>Value Missing</v>
      </c>
    </row>
    <row r="20" spans="2:8" ht="20" customHeight="1" x14ac:dyDescent="0.2">
      <c r="B20" s="4" t="s">
        <v>1156</v>
      </c>
      <c r="C20" s="8" t="str">
        <f>mgmt_az1_rtep_overlay_pg</f>
        <v>N/A</v>
      </c>
      <c r="D20" s="8" t="str">
        <f>mgmt_az1_rtep_overlay_vlan</f>
        <v>Value Missing</v>
      </c>
      <c r="E20" s="8" t="str">
        <f>mgmt_az1_rtep_overlay_cidr</f>
        <v>Value Missing</v>
      </c>
      <c r="F20" s="8" t="str">
        <f t="array" ref="F20">mgmt_az1_rtep_overlay_network</f>
        <v>Value Missing</v>
      </c>
      <c r="G20" s="8" t="str">
        <f>mgmt_az1_rtep_overlay_gateway_ip</f>
        <v>Value Missing</v>
      </c>
      <c r="H20" s="8" t="s">
        <v>588</v>
      </c>
    </row>
    <row r="22" spans="2:8" ht="34" customHeight="1" x14ac:dyDescent="0.2">
      <c r="B22" s="569" t="s">
        <v>2924</v>
      </c>
      <c r="C22" s="570"/>
      <c r="D22" s="570"/>
      <c r="E22" s="570"/>
      <c r="F22" s="570"/>
      <c r="G22" s="570"/>
      <c r="H22" s="570"/>
    </row>
    <row r="23" spans="2:8" ht="20" customHeight="1" x14ac:dyDescent="0.2">
      <c r="B23" s="513"/>
      <c r="C23" s="514"/>
      <c r="D23" s="514"/>
      <c r="E23" s="514"/>
      <c r="F23" s="514"/>
      <c r="G23" s="514"/>
      <c r="H23" s="514"/>
    </row>
    <row r="24" spans="2:8" ht="20" customHeight="1" x14ac:dyDescent="0.2">
      <c r="B24" s="62" t="s">
        <v>2916</v>
      </c>
      <c r="C24" s="62" t="s">
        <v>1043</v>
      </c>
    </row>
    <row r="25" spans="2:8" ht="20" customHeight="1" x14ac:dyDescent="0.2">
      <c r="B25" s="4" t="s">
        <v>1029</v>
      </c>
      <c r="C25" s="8" t="str">
        <f>mgmt_en_asn</f>
        <v>Value Missing</v>
      </c>
    </row>
    <row r="26" spans="2:8" ht="20" customHeight="1" x14ac:dyDescent="0.2">
      <c r="B26" s="4" t="s">
        <v>165</v>
      </c>
      <c r="C26" s="8" t="str">
        <f>mgmt_az1_tor1_peer_ip</f>
        <v>Value Missing</v>
      </c>
    </row>
    <row r="27" spans="2:8" ht="20" customHeight="1" x14ac:dyDescent="0.2">
      <c r="B27" s="4" t="s">
        <v>166</v>
      </c>
      <c r="C27" s="8" t="str">
        <f>mgmt_az1_tor1_peer_asn</f>
        <v>Value Missing</v>
      </c>
    </row>
    <row r="28" spans="2:8" ht="20" customHeight="1" x14ac:dyDescent="0.2">
      <c r="B28" s="4" t="s">
        <v>167</v>
      </c>
      <c r="C28" s="8" t="str">
        <f>mgmt_az1_tor1_peer_bgp_password</f>
        <v>Value Missing</v>
      </c>
    </row>
    <row r="29" spans="2:8" ht="20" customHeight="1" x14ac:dyDescent="0.2">
      <c r="B29" s="4" t="s">
        <v>168</v>
      </c>
      <c r="C29" s="8" t="str">
        <f>mgmt_az1_tor2_peer_ip</f>
        <v>Value Missing</v>
      </c>
    </row>
    <row r="30" spans="2:8" ht="20" customHeight="1" x14ac:dyDescent="0.2">
      <c r="B30" s="4" t="s">
        <v>169</v>
      </c>
      <c r="C30" s="8" t="str">
        <f>mgmt_az1_tor2_peer_asn</f>
        <v>Value Missing</v>
      </c>
    </row>
    <row r="31" spans="2:8" ht="20" customHeight="1" x14ac:dyDescent="0.2">
      <c r="B31" s="4" t="s">
        <v>170</v>
      </c>
      <c r="C31" s="8" t="str">
        <f>mgmt_az1_tor2_peer_bgp_password</f>
        <v>Value Missing</v>
      </c>
    </row>
    <row r="33" spans="2:8" ht="34" customHeight="1" x14ac:dyDescent="0.2">
      <c r="B33" s="569" t="s">
        <v>2925</v>
      </c>
      <c r="C33" s="570"/>
      <c r="D33" s="570"/>
      <c r="E33" s="570"/>
      <c r="F33" s="570"/>
      <c r="G33" s="570"/>
      <c r="H33" s="570"/>
    </row>
    <row r="34" spans="2:8" ht="20" customHeight="1" x14ac:dyDescent="0.2">
      <c r="B34" s="513"/>
      <c r="C34" s="514"/>
      <c r="D34" s="514"/>
      <c r="E34" s="514"/>
      <c r="F34" s="514"/>
      <c r="G34" s="514"/>
      <c r="H34" s="514"/>
    </row>
    <row r="35" spans="2:8" ht="20" customHeight="1" x14ac:dyDescent="0.2">
      <c r="B35" s="62" t="s">
        <v>2916</v>
      </c>
      <c r="C35" s="62" t="s">
        <v>2370</v>
      </c>
      <c r="D35" s="161" t="s">
        <v>85</v>
      </c>
      <c r="E35" s="161" t="s">
        <v>2918</v>
      </c>
      <c r="F35" s="161" t="s">
        <v>245</v>
      </c>
      <c r="G35" s="161" t="s">
        <v>182</v>
      </c>
      <c r="H35" s="161" t="s">
        <v>157</v>
      </c>
    </row>
    <row r="36" spans="2:8" ht="20" customHeight="1" x14ac:dyDescent="0.2">
      <c r="B36" s="4" t="s">
        <v>1047</v>
      </c>
      <c r="C36" s="8" t="str">
        <f>IF(mgmt_stretched_cluster_result="Excluded","Not Required",mgmt_cl01_az1_mgmt_vm_pg)</f>
        <v>Not Required</v>
      </c>
      <c r="D36" s="8" t="str">
        <f>IF(mgmt_stretched_cluster_result="Excluded","Not Required",mgmt_az1_mgmt_vm_vlan)</f>
        <v>Not Required</v>
      </c>
      <c r="E36" s="8" t="str">
        <f>IF(mgmt_stretched_cluster_result="Excluded","Not Required",mgmt_az1_mgmt_vm_cidr)</f>
        <v>Not Required</v>
      </c>
      <c r="F36" s="8" t="str">
        <f>IF(mgmt_stretched_cluster_result="Excluded","Not Required",mgmt_az1_mgmt_vm_network)</f>
        <v>Not Required</v>
      </c>
      <c r="G36" s="8" t="str">
        <f>IF(mgmt_stretched_cluster_result="Excluded","Not Required",mgmt_az1_mgmt_vm_gateway_ip)</f>
        <v>Not Required</v>
      </c>
      <c r="H36" s="8" t="str">
        <f>IF(mgmt_stretched_cluster_result="Excluded","Not Required",mgmt_az1_mgmt_vm_mtu)</f>
        <v>Not Required</v>
      </c>
    </row>
    <row r="37" spans="2:8" ht="20" customHeight="1" x14ac:dyDescent="0.2">
      <c r="B37" s="4" t="s">
        <v>2921</v>
      </c>
      <c r="C37" s="8" t="str">
        <f>mgmt_cl01_az2_mgmt_pg</f>
        <v>Value Missing</v>
      </c>
      <c r="D37" s="8" t="str">
        <f>mgmt_az2_mgmt_vlan</f>
        <v>Value Missing</v>
      </c>
      <c r="E37" s="8" t="str">
        <f>mgmt_az2_mgmt_cidr</f>
        <v>Value Missing</v>
      </c>
      <c r="F37" s="8" t="str">
        <f>mgmt_az2_mgmt_network</f>
        <v>Value Missing</v>
      </c>
      <c r="G37" s="8" t="str">
        <f>mgmt_az2_mgmt_gateway_ip</f>
        <v>Value Missing</v>
      </c>
      <c r="H37" s="8" t="str">
        <f>mgmt_az2_mgmt_mtu</f>
        <v>Value Missing</v>
      </c>
    </row>
    <row r="38" spans="2:8" ht="20" customHeight="1" x14ac:dyDescent="0.2">
      <c r="B38" s="4" t="s">
        <v>244</v>
      </c>
      <c r="C38" s="8" t="str">
        <f>mgmt_cl01_az2_vmotion_pg</f>
        <v>Value Missing</v>
      </c>
      <c r="D38" s="8" t="str">
        <f>mgmt_az2_vmotion_vlan</f>
        <v>Value Missing</v>
      </c>
      <c r="E38" s="8" t="str">
        <f>mgmt_az2_vmotion_cidr</f>
        <v>Value Missing</v>
      </c>
      <c r="F38" s="8" t="str">
        <f t="array" ref="F38">mgmt_az2_vmotion_network</f>
        <v>Value Missing</v>
      </c>
      <c r="G38" s="8" t="str">
        <f>mgmt_az2_vmotion_gateway_ip</f>
        <v>Value Missing</v>
      </c>
      <c r="H38" s="8" t="str">
        <f>mgmt_az2_vmotion_mtu</f>
        <v>Value Missing</v>
      </c>
    </row>
    <row r="39" spans="2:8" ht="20" customHeight="1" x14ac:dyDescent="0.2">
      <c r="B39" s="4" t="s">
        <v>250</v>
      </c>
      <c r="C39" s="8" t="str">
        <f>mgmt_cl01_az2_vsan_pg</f>
        <v>Value Missing</v>
      </c>
      <c r="D39" s="8" t="str">
        <f>mgmt_az2_vsan_vlan</f>
        <v>Value Missing</v>
      </c>
      <c r="E39" s="8" t="str">
        <f>mgmt_az2_vsan_cidr</f>
        <v>Value Missing</v>
      </c>
      <c r="F39" s="8" t="str">
        <f>mgmt_az2_vsan_network</f>
        <v>Value Missing</v>
      </c>
      <c r="G39" s="8" t="str">
        <f>mgmt_az2_vsan_gateway_ip</f>
        <v>Value Missing</v>
      </c>
      <c r="H39" s="8" t="str">
        <f>mgmt_az2_vsan_mtu</f>
        <v>Value Missing</v>
      </c>
    </row>
    <row r="40" spans="2:8" ht="20" customHeight="1" x14ac:dyDescent="0.2">
      <c r="B40" s="4" t="s">
        <v>1053</v>
      </c>
      <c r="C40" s="8" t="str">
        <f>mgmt_az2_host_overlay_pg</f>
        <v>N/A</v>
      </c>
      <c r="D40" s="8" t="str">
        <f>mgmt_az2_host_overlay_vlan</f>
        <v>Value Missing</v>
      </c>
      <c r="E40" s="8" t="str">
        <f>mgmt_az2_host_overlay_cidr</f>
        <v>Value Missing</v>
      </c>
      <c r="F40" s="8" t="str">
        <f>mgmt_az2_host_overlay_network</f>
        <v>Value Missing</v>
      </c>
      <c r="G40" s="8" t="str">
        <f>mgmt_az2_host_overlay_gateway_ip</f>
        <v>Value Missing</v>
      </c>
      <c r="H40" s="8" t="str">
        <f>IF(mgmt_stretched_cluster_result="Excluded","Not Required",mgmt_az2_host_overlay_mtu)</f>
        <v>Not Required</v>
      </c>
    </row>
    <row r="41" spans="2:8" ht="20" customHeight="1" x14ac:dyDescent="0.2">
      <c r="B41" s="4" t="s">
        <v>2926</v>
      </c>
      <c r="C41" s="8" t="str">
        <f>mgmt_vrms_pg</f>
        <v>Value Missing</v>
      </c>
      <c r="D41" s="8" t="str">
        <f>mgmt_az2_vrms_vlan</f>
        <v>Value Missing</v>
      </c>
      <c r="E41" s="8">
        <f>mgmt_az2_vrms_cidr</f>
        <v>0</v>
      </c>
      <c r="F41" s="8">
        <f t="array" ref="F41">mgmt_az2_vrms_network</f>
        <v>0</v>
      </c>
      <c r="G41" s="8">
        <f>mgmt_az2_vrms_gateway_ip</f>
        <v>0</v>
      </c>
      <c r="H41" s="8">
        <f>mgmt_az2_vrms_mtu</f>
        <v>0</v>
      </c>
    </row>
    <row r="42" spans="2:8" ht="20" customHeight="1" x14ac:dyDescent="0.2">
      <c r="B42" s="4" t="s">
        <v>2922</v>
      </c>
      <c r="C42" s="8" t="str">
        <f>IF(mgmt_stretched_cluster_result="Excluded","Not Required",mgmt_cl01_az1_uplink01_pg)</f>
        <v>Not Required</v>
      </c>
      <c r="D42" s="8" t="str">
        <f>IF(mgmt_stretched_cluster_result="Excluded","Not Required",mgmt_az2_uplink01_vlan)</f>
        <v>Not Required</v>
      </c>
      <c r="E42" s="8" t="str">
        <f>IF(mgmt_stretched_cluster_result="Excluded","Not Required",mgmt_az2_uplink01_cidr)</f>
        <v>Not Required</v>
      </c>
      <c r="F42" s="8" t="str">
        <f>IF(mgmt_stretched_cluster_result="Excluded","Not Required",mgmt_az2_uplink01_network)</f>
        <v>Not Required</v>
      </c>
      <c r="G42" s="8" t="str">
        <f>IF(mgmt_stretched_cluster_result="Excluded","Not Required",mgmt_az2_uplink01_gateway_ip)</f>
        <v>Not Required</v>
      </c>
      <c r="H42" s="8" t="str">
        <f>IF(mgmt_stretched_cluster_result="Excluded","Not Required",mgmt_az2_uplink01_mtu)</f>
        <v>Not Required</v>
      </c>
    </row>
    <row r="43" spans="2:8" ht="20" customHeight="1" x14ac:dyDescent="0.2">
      <c r="B43" s="23" t="s">
        <v>2923</v>
      </c>
      <c r="C43" s="8" t="str">
        <f>mgmt_cl01_az2_uplink01_pg</f>
        <v>Value Missing</v>
      </c>
      <c r="D43" s="8" t="str">
        <f>mgmt_az2_uplink02_vlan</f>
        <v>Value Missing</v>
      </c>
      <c r="E43" s="8" t="str">
        <f>IF(mgmt_stretched_cluster_result="Excluded","Not Required",mgmt_az2_uplink02_cidr)</f>
        <v>Not Required</v>
      </c>
      <c r="F43" s="8" t="str">
        <f>IF(mgmt_stretched_cluster_result="Excluded","Not Required",mgmt_az2_uplink02_network)</f>
        <v>Not Required</v>
      </c>
      <c r="G43" s="8" t="str">
        <f>IF(mgmt_stretched_cluster_result="Excluded","Not Required",mgmt_az2_uplink02_gateway_ip)</f>
        <v>Not Required</v>
      </c>
      <c r="H43" s="8" t="str">
        <f>IF(mgmt_stretched_cluster_result="Excluded","Not Required",mgmt_az2_uplink02_mtu)</f>
        <v>Not Required</v>
      </c>
    </row>
    <row r="44" spans="2:8" ht="20" customHeight="1" x14ac:dyDescent="0.2">
      <c r="B44" s="23" t="s">
        <v>1062</v>
      </c>
      <c r="C44" s="8" t="str">
        <f t="array" ref="C44">mgmt_az2_edge_overlay_pg</f>
        <v>N/A</v>
      </c>
      <c r="D44" s="8" t="str">
        <f>mgmt_az2_edge_overlay_vlan</f>
        <v>Value Missing</v>
      </c>
      <c r="E44" s="8" t="str">
        <f>IF(mgmt_stretched_cluster_result="Excluded","Not Required",mgmt_az1_edge_overlay_cidr)</f>
        <v>Not Required</v>
      </c>
      <c r="F44" s="8" t="str">
        <f>IF(mgmt_stretched_cluster_result="Excluded","Not Required",mgmt_az1_edge_overlay_network)</f>
        <v>Not Required</v>
      </c>
      <c r="G44" s="8" t="str">
        <f>IF(mgmt_stretched_cluster_result="Excluded","Not Required",mgmt_az1_edge_overlay_gateway_ip)</f>
        <v>Not Required</v>
      </c>
      <c r="H44" s="8" t="str">
        <f>IF(mgmt_stretched_cluster_result="Excluded","Not Required",mgmt_az1_edge_overlay_mtu)</f>
        <v>Not Required</v>
      </c>
    </row>
    <row r="45" spans="2:8" ht="20" customHeight="1" x14ac:dyDescent="0.2">
      <c r="B45" s="4" t="s">
        <v>1156</v>
      </c>
      <c r="C45" s="8" t="str">
        <f>mgmt_az1_rtep_overlay_pg</f>
        <v>N/A</v>
      </c>
      <c r="D45" s="8" t="str">
        <f>mgmt_az1_rtep_overlay_vlan</f>
        <v>Value Missing</v>
      </c>
      <c r="E45" s="8" t="str">
        <f>mgmt_az1_rtep_overlay_cidr</f>
        <v>Value Missing</v>
      </c>
      <c r="F45" s="8" t="str">
        <f>mgmt_az1_rtep_overlay_network</f>
        <v>Value Missing</v>
      </c>
      <c r="G45" s="8" t="str">
        <f>mgmt_az2_rtep_overlay_gateway_ip</f>
        <v>Value Missing</v>
      </c>
      <c r="H45" s="8" t="s">
        <v>588</v>
      </c>
    </row>
    <row r="47" spans="2:8" ht="34" customHeight="1" x14ac:dyDescent="0.2">
      <c r="B47" s="569" t="s">
        <v>2927</v>
      </c>
      <c r="C47" s="570"/>
      <c r="D47" s="570"/>
      <c r="E47" s="570"/>
      <c r="F47" s="570"/>
      <c r="G47" s="570"/>
      <c r="H47" s="570"/>
    </row>
    <row r="48" spans="2:8" ht="20" customHeight="1" x14ac:dyDescent="0.2">
      <c r="B48" s="513"/>
      <c r="C48" s="514"/>
      <c r="D48" s="514"/>
      <c r="E48" s="514"/>
      <c r="F48" s="514"/>
      <c r="G48" s="514"/>
      <c r="H48" s="514"/>
    </row>
    <row r="49" spans="2:8" ht="20" customHeight="1" x14ac:dyDescent="0.2">
      <c r="B49" s="62" t="s">
        <v>2916</v>
      </c>
      <c r="C49" s="62" t="s">
        <v>1043</v>
      </c>
    </row>
    <row r="50" spans="2:8" ht="20" customHeight="1" x14ac:dyDescent="0.2">
      <c r="B50" s="4" t="s">
        <v>1029</v>
      </c>
      <c r="C50" s="8" t="str">
        <f>IF(mgmt_stretched_cluster_result="Excluded","Not Required",mgmt_en_asn)</f>
        <v>Not Required</v>
      </c>
    </row>
    <row r="51" spans="2:8" ht="20" customHeight="1" x14ac:dyDescent="0.2">
      <c r="B51" s="4" t="s">
        <v>165</v>
      </c>
      <c r="C51" s="8" t="str">
        <f>IF(mgmt_stretched_cluster_result="Excluded","Not Required",mgmt_az1_tor1_peer_ip)</f>
        <v>Not Required</v>
      </c>
    </row>
    <row r="52" spans="2:8" ht="20" customHeight="1" x14ac:dyDescent="0.2">
      <c r="B52" s="4" t="s">
        <v>166</v>
      </c>
      <c r="C52" s="8" t="str">
        <f>IF(mgmt_stretched_cluster_result="Excluded","Not Required",mgmt_az1_tor1_peer_asn)</f>
        <v>Not Required</v>
      </c>
    </row>
    <row r="53" spans="2:8" ht="20" customHeight="1" x14ac:dyDescent="0.2">
      <c r="B53" s="4" t="s">
        <v>167</v>
      </c>
      <c r="C53" s="8" t="str">
        <f>IF(mgmt_stretched_cluster_result="Excluded","Not Required",mgmt_az1_tor1_peer_bgp_password)</f>
        <v>Not Required</v>
      </c>
    </row>
    <row r="54" spans="2:8" ht="20" customHeight="1" x14ac:dyDescent="0.2">
      <c r="B54" s="4" t="s">
        <v>168</v>
      </c>
      <c r="C54" s="8" t="str">
        <f>IF(mgmt_stretched_cluster_result="Excluded","Not Required",mgmt_az1_tor2_peer_ip)</f>
        <v>Not Required</v>
      </c>
    </row>
    <row r="55" spans="2:8" ht="20" customHeight="1" x14ac:dyDescent="0.2">
      <c r="B55" s="4" t="s">
        <v>169</v>
      </c>
      <c r="C55" s="8" t="str">
        <f>IF(mgmt_stretched_cluster_result="Excluded","Not Required",mgmt_az1_tor2_peer_asn)</f>
        <v>Not Required</v>
      </c>
    </row>
    <row r="56" spans="2:8" ht="20" customHeight="1" x14ac:dyDescent="0.2">
      <c r="B56" s="4" t="s">
        <v>170</v>
      </c>
      <c r="C56" s="8" t="str">
        <f>IF(mgmt_stretched_cluster_result="Excluded","Not Required",mgmt_az1_tor2_peer_bgp_password)</f>
        <v>Not Required</v>
      </c>
    </row>
    <row r="58" spans="2:8" ht="34" customHeight="1" x14ac:dyDescent="0.2">
      <c r="B58" s="569" t="s">
        <v>2925</v>
      </c>
      <c r="C58" s="570"/>
      <c r="D58" s="570"/>
      <c r="E58" s="570"/>
      <c r="F58" s="570"/>
      <c r="G58" s="570"/>
      <c r="H58" s="570"/>
    </row>
    <row r="59" spans="2:8" ht="20" customHeight="1" x14ac:dyDescent="0.2">
      <c r="B59" s="513"/>
      <c r="C59" s="514"/>
      <c r="D59" s="514"/>
      <c r="E59" s="514"/>
      <c r="F59" s="514"/>
      <c r="G59" s="514"/>
      <c r="H59" s="514"/>
    </row>
    <row r="60" spans="2:8" ht="20" customHeight="1" x14ac:dyDescent="0.2">
      <c r="B60" s="62" t="s">
        <v>2916</v>
      </c>
      <c r="C60" s="62" t="s">
        <v>2370</v>
      </c>
      <c r="D60" s="161" t="s">
        <v>85</v>
      </c>
      <c r="E60" s="161" t="s">
        <v>2918</v>
      </c>
      <c r="F60" s="161" t="s">
        <v>245</v>
      </c>
      <c r="G60" s="161" t="s">
        <v>182</v>
      </c>
      <c r="H60" s="161" t="s">
        <v>157</v>
      </c>
    </row>
    <row r="61" spans="2:8" ht="20" customHeight="1" x14ac:dyDescent="0.2">
      <c r="B61" s="4" t="s">
        <v>1047</v>
      </c>
      <c r="C61" s="8" t="str">
        <f>IF(mgmt_stretched_cluster_result="Excluded","Not Required",mgmt_witness_mgmt_pg)</f>
        <v>Not Required</v>
      </c>
      <c r="D61" s="8" t="str">
        <f>IF(mgmt_stretched_cluster_result="Excluded","Not Required",mgmt_witnessaz_mgmt_vlan)</f>
        <v>Not Required</v>
      </c>
      <c r="E61" s="8" t="str">
        <f>IF(mgmt_stretched_cluster_result="Excluded","Not Required",mgmt_witnessaz_mgmt_cidr)</f>
        <v>Not Required</v>
      </c>
      <c r="F61" s="8" t="str">
        <f>IF(mgmt_stretched_cluster_result="Excluded","Not Required",mgmt_witnessaz_mgmt_cidr)</f>
        <v>Not Required</v>
      </c>
      <c r="G61" s="8" t="str">
        <f>IF(mgmt_stretched_cluster_result="Excluded","Not Required",mgmt_witnessaz_mgmt_gateway_ip)</f>
        <v>Not Required</v>
      </c>
      <c r="H61" s="8" t="str">
        <f>IF(mgmt_stretched_cluster_result="Excluded","Not Required",mgmt_witnessaz_mgmt_mtu)</f>
        <v>Not Required</v>
      </c>
    </row>
    <row r="62" spans="2:8" ht="16" customHeight="1" x14ac:dyDescent="0.2"/>
    <row r="63" spans="2:8" ht="32" customHeight="1" x14ac:dyDescent="0.2">
      <c r="B63" s="569" t="s">
        <v>2928</v>
      </c>
      <c r="C63" s="570"/>
      <c r="D63" s="570"/>
      <c r="E63" s="570"/>
      <c r="F63" s="570"/>
      <c r="G63" s="570"/>
      <c r="H63" s="570"/>
    </row>
    <row r="64" spans="2:8" ht="20" customHeight="1" x14ac:dyDescent="0.2">
      <c r="B64" s="513" t="s">
        <v>2905</v>
      </c>
      <c r="C64" s="514"/>
      <c r="D64" s="514"/>
      <c r="E64" s="514"/>
      <c r="F64" s="514"/>
      <c r="G64" s="514"/>
      <c r="H64" s="514"/>
    </row>
    <row r="65" spans="2:5" ht="20" customHeight="1" x14ac:dyDescent="0.2">
      <c r="B65" s="62" t="s">
        <v>2916</v>
      </c>
      <c r="C65" s="62" t="s">
        <v>39</v>
      </c>
      <c r="D65" s="62" t="s">
        <v>295</v>
      </c>
      <c r="E65" s="161" t="s">
        <v>2929</v>
      </c>
    </row>
    <row r="66" spans="2:5" ht="20" customHeight="1" x14ac:dyDescent="0.2">
      <c r="B66" s="4" t="s">
        <v>208</v>
      </c>
      <c r="C66" s="8" t="str">
        <f>mgmt_az1_host1_fqdn</f>
        <v>Value Missing</v>
      </c>
      <c r="D66" s="8" t="str">
        <f>mgmt_az1_host1_hostname</f>
        <v>Value Missing</v>
      </c>
      <c r="E66" s="8" t="str">
        <f>mgmt_az1_host1_mgmt_ip</f>
        <v>Value Missing</v>
      </c>
    </row>
    <row r="67" spans="2:5" ht="20" customHeight="1" x14ac:dyDescent="0.2">
      <c r="B67" s="4" t="s">
        <v>210</v>
      </c>
      <c r="C67" s="8" t="str">
        <f>mgmt_az1_host2_fqdn</f>
        <v>Value Missing</v>
      </c>
      <c r="D67" s="8" t="str">
        <f>mgmt_az1_host2_hostname</f>
        <v>Value Missing</v>
      </c>
      <c r="E67" s="8" t="str">
        <f>mgmt_az1_host2_mgmt_ip</f>
        <v>Value Missing</v>
      </c>
    </row>
    <row r="68" spans="2:5" ht="20" customHeight="1" x14ac:dyDescent="0.2">
      <c r="B68" s="4" t="s">
        <v>212</v>
      </c>
      <c r="C68" s="8" t="str">
        <f>mgmt_az1_host3_fqdn</f>
        <v>Value Missing</v>
      </c>
      <c r="D68" s="8" t="str">
        <f>mgmt_az1_host3_hostname</f>
        <v>Value Missing</v>
      </c>
      <c r="E68" s="8" t="str">
        <f>mgmt_az1_host3_mgmt_ip</f>
        <v>Value Missing</v>
      </c>
    </row>
    <row r="69" spans="2:5" ht="20" customHeight="1" x14ac:dyDescent="0.2">
      <c r="B69" s="4" t="s">
        <v>214</v>
      </c>
      <c r="C69" s="8" t="str">
        <f>mgmt_az1_host4_fqdn</f>
        <v>Value Missing</v>
      </c>
      <c r="D69" s="8" t="str">
        <f>mgmt_az1_host4_hostname</f>
        <v>Value Missing</v>
      </c>
      <c r="E69" s="8" t="str">
        <f>mgmt_az1_host4_mgmt_ip</f>
        <v>Value Missing</v>
      </c>
    </row>
    <row r="70" spans="2:5" ht="20" customHeight="1" x14ac:dyDescent="0.2">
      <c r="B70" s="4" t="s">
        <v>216</v>
      </c>
      <c r="C70" s="8" t="str">
        <f>mgmt_az1_host5_fqdn</f>
        <v>Value Missing</v>
      </c>
      <c r="D70" s="8" t="str">
        <f>mgmt_az1_host5_hostname</f>
        <v>Value Missing</v>
      </c>
      <c r="E70" s="8" t="str">
        <f>mgmt_az1_host5_mgmt_ip</f>
        <v>Value Missing</v>
      </c>
    </row>
    <row r="71" spans="2:5" ht="20" customHeight="1" x14ac:dyDescent="0.2">
      <c r="B71" s="4" t="s">
        <v>218</v>
      </c>
      <c r="C71" s="8" t="str">
        <f>mgmt_az1_host6_fqdn</f>
        <v>Value Missing</v>
      </c>
      <c r="D71" s="8" t="str">
        <f>mgmt_az1_host6_hostname</f>
        <v>Value Missing</v>
      </c>
      <c r="E71" s="8" t="str">
        <f>mgmt_az1_host6_mgmt_ip</f>
        <v>Value Missing</v>
      </c>
    </row>
    <row r="72" spans="2:5" ht="20" customHeight="1" x14ac:dyDescent="0.2">
      <c r="B72" s="4" t="s">
        <v>220</v>
      </c>
      <c r="C72" s="8" t="str">
        <f>mgmt_az1_host7_fqdn</f>
        <v>Value Missing</v>
      </c>
      <c r="D72" s="8" t="str">
        <f>mgmt_az1_host7_hostname</f>
        <v>Value Missing</v>
      </c>
      <c r="E72" s="8" t="str">
        <f>mgmt_az1_host7_mgmt_ip</f>
        <v>Value Missing</v>
      </c>
    </row>
    <row r="73" spans="2:5" ht="20" customHeight="1" x14ac:dyDescent="0.2">
      <c r="B73" s="4" t="s">
        <v>222</v>
      </c>
      <c r="C73" s="8" t="str">
        <f>mgmt_az1_host8_fqdn</f>
        <v>Value Missing</v>
      </c>
      <c r="D73" s="8" t="str">
        <f>mgmt_az1_host8_hostname</f>
        <v>Value Missing</v>
      </c>
      <c r="E73" s="8" t="str">
        <f>mgmt_az1_host8_mgmt_ip</f>
        <v>Value Missing</v>
      </c>
    </row>
    <row r="74" spans="2:5" ht="20" customHeight="1" x14ac:dyDescent="0.2">
      <c r="B74" s="4" t="s">
        <v>224</v>
      </c>
      <c r="C74" s="8" t="str">
        <f>mgmt_az1_host9_fqdn</f>
        <v>Value Missing</v>
      </c>
      <c r="D74" s="8" t="str">
        <f>mgmt_az1_host9_hostname</f>
        <v>Value Missing</v>
      </c>
      <c r="E74" s="8" t="str">
        <f>mgmt_az1_host9_mgmt_ip</f>
        <v>Value Missing</v>
      </c>
    </row>
    <row r="75" spans="2:5" ht="20" customHeight="1" x14ac:dyDescent="0.2">
      <c r="B75" s="4" t="s">
        <v>226</v>
      </c>
      <c r="C75" s="8" t="str">
        <f>mgmt_az1_host10_fqdn</f>
        <v>Value Missing</v>
      </c>
      <c r="D75" s="8" t="str">
        <f>mgmt_az1_host10_hostname</f>
        <v>Value Missing</v>
      </c>
      <c r="E75" s="8" t="str">
        <f>mgmt_az1_host10_mgmt_ip</f>
        <v>Value Missing</v>
      </c>
    </row>
    <row r="76" spans="2:5" ht="20" customHeight="1" x14ac:dyDescent="0.2">
      <c r="B76" s="4" t="s">
        <v>228</v>
      </c>
      <c r="C76" s="8" t="str">
        <f>mgmt_az1_host11_fqdn</f>
        <v>Value Missing</v>
      </c>
      <c r="D76" s="8" t="str">
        <f>mgmt_az1_host11_hostname</f>
        <v>Value Missing</v>
      </c>
      <c r="E76" s="8" t="str">
        <f>mgmt_az1_host11_mgmt_ip</f>
        <v>Value Missing</v>
      </c>
    </row>
    <row r="77" spans="2:5" ht="20" customHeight="1" x14ac:dyDescent="0.2">
      <c r="B77" s="4" t="s">
        <v>230</v>
      </c>
      <c r="C77" s="8" t="str">
        <f>mgmt_az1_host12_fqdn</f>
        <v>Value Missing</v>
      </c>
      <c r="D77" s="8" t="str">
        <f>mgmt_az1_host12_hostname</f>
        <v>Value Missing</v>
      </c>
      <c r="E77" s="8" t="str">
        <f>mgmt_az1_host12_mgmt_ip</f>
        <v>Value Missing</v>
      </c>
    </row>
    <row r="78" spans="2:5" ht="20" customHeight="1" x14ac:dyDescent="0.2">
      <c r="B78" s="4" t="s">
        <v>232</v>
      </c>
      <c r="C78" s="8" t="str">
        <f>mgmt_az1_host13_fqdn</f>
        <v>Value Missing</v>
      </c>
      <c r="D78" s="8" t="str">
        <f>mgmt_az1_host13_hostname</f>
        <v>Value Missing</v>
      </c>
      <c r="E78" s="8" t="str">
        <f>mgmt_az1_host13_mgmt_ip</f>
        <v>Value Missing</v>
      </c>
    </row>
    <row r="79" spans="2:5" ht="20" customHeight="1" x14ac:dyDescent="0.2">
      <c r="B79" s="4" t="s">
        <v>234</v>
      </c>
      <c r="C79" s="8" t="str">
        <f>mgmt_az1_host14_fqdn</f>
        <v>Value Missing</v>
      </c>
      <c r="D79" s="8" t="str">
        <f>mgmt_az1_host14_hostname</f>
        <v>Value Missing</v>
      </c>
      <c r="E79" s="8" t="str">
        <f>mgmt_az1_host14_mgmt_ip</f>
        <v>Value Missing</v>
      </c>
    </row>
    <row r="80" spans="2:5" ht="20" customHeight="1" x14ac:dyDescent="0.2">
      <c r="B80" s="4" t="s">
        <v>236</v>
      </c>
      <c r="C80" s="8" t="str">
        <f>mgmt_az1_host15_fqdn</f>
        <v>Value Missing</v>
      </c>
      <c r="D80" s="8" t="str">
        <f>mgmt_az1_host15_hostname</f>
        <v>Value Missing</v>
      </c>
      <c r="E80" s="8" t="str">
        <f>mgmt_az1_host15_mgmt_ip</f>
        <v>Value Missing</v>
      </c>
    </row>
    <row r="81" spans="2:8" ht="20" customHeight="1" x14ac:dyDescent="0.2">
      <c r="B81" s="4" t="s">
        <v>238</v>
      </c>
      <c r="C81" s="8" t="str">
        <f>mgmt_az1_host16_fqdn</f>
        <v>Value Missing</v>
      </c>
      <c r="D81" s="8" t="str">
        <f>mgmt_az1_host16_hostname</f>
        <v>Value Missing</v>
      </c>
      <c r="E81" s="8" t="str">
        <f>mgmt_az1_host16_mgmt_ip</f>
        <v>Value Missing</v>
      </c>
    </row>
    <row r="82" spans="2:8" ht="16" customHeight="1" x14ac:dyDescent="0.2"/>
    <row r="83" spans="2:8" ht="34" customHeight="1" x14ac:dyDescent="0.2">
      <c r="B83" s="569" t="s">
        <v>2930</v>
      </c>
      <c r="C83" s="570"/>
      <c r="D83" s="570"/>
      <c r="E83" s="570"/>
      <c r="F83" s="570"/>
      <c r="G83" s="570"/>
      <c r="H83" s="570"/>
    </row>
    <row r="84" spans="2:8" ht="20" customHeight="1" x14ac:dyDescent="0.2">
      <c r="B84" s="513" t="s">
        <v>2682</v>
      </c>
      <c r="C84" s="514"/>
      <c r="D84" s="514"/>
      <c r="E84" s="514"/>
    </row>
    <row r="85" spans="2:8" ht="20" customHeight="1" x14ac:dyDescent="0.2">
      <c r="B85" s="62" t="s">
        <v>2916</v>
      </c>
      <c r="C85" s="62" t="s">
        <v>39</v>
      </c>
      <c r="D85" s="62" t="s">
        <v>295</v>
      </c>
      <c r="E85" s="161" t="s">
        <v>2931</v>
      </c>
    </row>
    <row r="86" spans="2:8" ht="20" customHeight="1" x14ac:dyDescent="0.2">
      <c r="B86" s="4" t="s">
        <v>1420</v>
      </c>
      <c r="C86" s="8" t="str">
        <f>sddc_mgr_fqdn</f>
        <v>Value Missing</v>
      </c>
      <c r="D86" s="8" t="str">
        <f>sddc_mgr_hostname</f>
        <v>Value Missing</v>
      </c>
      <c r="E86" s="8" t="str">
        <f>sddc_mgr_ip</f>
        <v>Value Missing</v>
      </c>
    </row>
    <row r="87" spans="2:8" ht="20" customHeight="1" x14ac:dyDescent="0.2">
      <c r="B87" s="4" t="s">
        <v>713</v>
      </c>
      <c r="C87" s="8" t="str">
        <f>mgmt_vc_fqdn</f>
        <v>Value Missing</v>
      </c>
      <c r="D87" s="8" t="str">
        <f>mgmt_vc_hostname</f>
        <v>Value Missing</v>
      </c>
      <c r="E87" s="8" t="str">
        <f>mgmt_vc_ip</f>
        <v>Value Missing</v>
      </c>
    </row>
    <row r="88" spans="2:8" ht="20" customHeight="1" x14ac:dyDescent="0.2">
      <c r="B88" s="4" t="s">
        <v>2932</v>
      </c>
      <c r="C88" s="8" t="str">
        <f>mgmt_nsxt_vip_fqdn</f>
        <v>Value Missing</v>
      </c>
      <c r="D88" s="8" t="str">
        <f>mgmt_nsxt_hostname</f>
        <v>Value Missing</v>
      </c>
      <c r="E88" s="8" t="str">
        <f>mgmt_nsxt_vip_ip</f>
        <v>Value Missing</v>
      </c>
    </row>
    <row r="89" spans="2:8" ht="20" customHeight="1" x14ac:dyDescent="0.2">
      <c r="B89" s="4" t="s">
        <v>2933</v>
      </c>
      <c r="C89" s="8" t="str">
        <f>mgmt_nsxt_mgra_fqdn</f>
        <v>Value Missing</v>
      </c>
      <c r="D89" s="8" t="str">
        <f>mgmt_nsxt_mgra_hostname</f>
        <v>Value Missing</v>
      </c>
      <c r="E89" s="8" t="str">
        <f>mgmt_nsxt_mgra_ip</f>
        <v>Value Missing</v>
      </c>
    </row>
    <row r="90" spans="2:8" ht="20" customHeight="1" x14ac:dyDescent="0.2">
      <c r="B90" s="4" t="s">
        <v>2934</v>
      </c>
      <c r="C90" s="8" t="str">
        <f>mgmt_nsxt_mgrb_fqdn</f>
        <v>Value Missing</v>
      </c>
      <c r="D90" s="8" t="str">
        <f>mgmt_nsxt_mgrb_hostname</f>
        <v>Value Missing</v>
      </c>
      <c r="E90" s="8" t="str">
        <f>mgmt_nsxt_mgrb_ip</f>
        <v>Value Missing</v>
      </c>
    </row>
    <row r="91" spans="2:8" ht="20" customHeight="1" x14ac:dyDescent="0.2">
      <c r="B91" s="4" t="s">
        <v>2935</v>
      </c>
      <c r="C91" s="8" t="str">
        <f>mgmt_nsxt_mgrc_fqdn</f>
        <v>Value Missing</v>
      </c>
      <c r="D91" s="8" t="str">
        <f>mgmt_nsxt_mgrc_hostname</f>
        <v>Value Missing</v>
      </c>
      <c r="E91" s="8" t="str">
        <f>mgmt_nsxt_mgrc_ip</f>
        <v>Value Missing</v>
      </c>
    </row>
    <row r="92" spans="2:8" ht="20" customHeight="1" x14ac:dyDescent="0.2">
      <c r="B92" s="4" t="s">
        <v>2936</v>
      </c>
      <c r="C92" s="8" t="str">
        <f>mgmt_az1_en1_fqdn</f>
        <v>Value Missing</v>
      </c>
      <c r="D92" s="8" t="str">
        <f>mgmt_az1_en1_hostname</f>
        <v>Value Missing</v>
      </c>
      <c r="E92" s="8" t="str">
        <f>mgmt_az1_en1_mgmt_cidr</f>
        <v>Value Missing</v>
      </c>
    </row>
    <row r="93" spans="2:8" ht="20" customHeight="1" x14ac:dyDescent="0.2">
      <c r="B93" s="4" t="s">
        <v>2937</v>
      </c>
      <c r="C93" s="8" t="str">
        <f>mgmt_az1_en2_fqdn</f>
        <v>Value Missing</v>
      </c>
      <c r="D93" s="8" t="str">
        <f>mgmt_az1_en2_hostname</f>
        <v>Value Missing</v>
      </c>
      <c r="E93" s="8" t="str">
        <f>mgmt_az1_en2_mgmt_cidr</f>
        <v>Value Missing</v>
      </c>
    </row>
    <row r="94" spans="2:8" ht="20" customHeight="1" x14ac:dyDescent="0.2">
      <c r="B94" s="4" t="s">
        <v>2938</v>
      </c>
      <c r="C94" s="8" t="str">
        <f>xreg_vrops_nodea_fqdn</f>
        <v>Value Missing</v>
      </c>
      <c r="D94" s="8" t="str">
        <f>xreg_vrops_nodea_hostname</f>
        <v>Value Missing</v>
      </c>
      <c r="E94" s="8" t="str">
        <f>xreg_vrops_nodea_ip</f>
        <v>Value Missing</v>
      </c>
    </row>
    <row r="95" spans="2:8" ht="20" customHeight="1" x14ac:dyDescent="0.2">
      <c r="B95" s="4" t="s">
        <v>1675</v>
      </c>
      <c r="C95" s="8" t="str">
        <f>xreg_vrops_nodeb_fqdn</f>
        <v>Value Missing</v>
      </c>
      <c r="D95" s="8" t="str">
        <f>xreg_vrops_nodeb_hostname</f>
        <v>Value Missing</v>
      </c>
      <c r="E95" s="8" t="str">
        <f>xreg_vrops_nodeb_ip</f>
        <v>Value Missing</v>
      </c>
    </row>
    <row r="96" spans="2:8" ht="20" customHeight="1" x14ac:dyDescent="0.2">
      <c r="B96" s="4" t="s">
        <v>1679</v>
      </c>
      <c r="C96" s="8" t="str">
        <f>xreg_vrops_nodec_fqdn</f>
        <v>Value Missing</v>
      </c>
      <c r="D96" s="8" t="str">
        <f>xreg_vrops_nodec_hostname</f>
        <v>Value Missing</v>
      </c>
      <c r="E96" s="8" t="str">
        <f>xreg_vrops_nodec_ip</f>
        <v>Value Missing</v>
      </c>
    </row>
    <row r="97" spans="2:8" ht="20" customHeight="1" x14ac:dyDescent="0.2">
      <c r="B97" s="4" t="s">
        <v>2939</v>
      </c>
      <c r="C97" s="8" t="str">
        <f>xreg_vrops_virtual_fqdn</f>
        <v>Value Missing</v>
      </c>
      <c r="D97" s="8" t="str">
        <f>xreg_vrops_virtual_hostname</f>
        <v>Value Missing</v>
      </c>
      <c r="E97" s="8" t="str">
        <f>xreg_vrops_virtual_ip</f>
        <v>Value Missing</v>
      </c>
    </row>
    <row r="98" spans="2:8" ht="20" customHeight="1" x14ac:dyDescent="0.2">
      <c r="B98" s="4" t="s">
        <v>2129</v>
      </c>
      <c r="C98" s="8" t="str">
        <f>xreg_vra_virtual_fqdn</f>
        <v>Value Missing</v>
      </c>
      <c r="D98" s="8" t="str">
        <f>xreg_vra_virtual_hostname</f>
        <v>Value Missing</v>
      </c>
      <c r="E98" s="8" t="str">
        <f>xreg_vra_virtual_ip</f>
        <v>Value Missing</v>
      </c>
    </row>
    <row r="99" spans="2:8" ht="20" customHeight="1" x14ac:dyDescent="0.2">
      <c r="B99" s="4" t="s">
        <v>2940</v>
      </c>
      <c r="C99" s="8" t="s">
        <v>588</v>
      </c>
      <c r="D99" s="8" t="s">
        <v>588</v>
      </c>
      <c r="E99" s="8" t="str">
        <f>xreg_vra_nodea_ip</f>
        <v>Value Missing</v>
      </c>
    </row>
    <row r="100" spans="2:8" ht="20" customHeight="1" x14ac:dyDescent="0.2">
      <c r="B100" s="4" t="s">
        <v>2941</v>
      </c>
      <c r="C100" s="8" t="s">
        <v>588</v>
      </c>
      <c r="D100" s="8" t="s">
        <v>588</v>
      </c>
      <c r="E100" s="8" t="str">
        <f>xreg_vra_nodeb_ip</f>
        <v>Value Missing</v>
      </c>
    </row>
    <row r="101" spans="2:8" ht="20" customHeight="1" x14ac:dyDescent="0.2">
      <c r="B101" s="4" t="s">
        <v>2942</v>
      </c>
      <c r="C101" s="8" t="s">
        <v>588</v>
      </c>
      <c r="D101" s="8" t="s">
        <v>588</v>
      </c>
      <c r="E101" s="8" t="str">
        <f>xreg_vra_nodec_ip</f>
        <v>Value Missing</v>
      </c>
    </row>
    <row r="102" spans="2:8" ht="20" customHeight="1" x14ac:dyDescent="0.2">
      <c r="B102" s="4" t="s">
        <v>2943</v>
      </c>
      <c r="C102" s="8" t="s">
        <v>588</v>
      </c>
      <c r="D102" s="8" t="s">
        <v>588</v>
      </c>
      <c r="E102" s="8" t="str">
        <f>xreg_vra_noded_ip</f>
        <v>Value Missing</v>
      </c>
    </row>
    <row r="103" spans="2:8" ht="20" customHeight="1" x14ac:dyDescent="0.2">
      <c r="B103" s="4" t="s">
        <v>2944</v>
      </c>
      <c r="C103" s="8" t="str">
        <f>flt_vidb_vip_fqdn</f>
        <v>Value Missing</v>
      </c>
      <c r="D103" s="8" t="str">
        <f t="array" ref="D103">flt_vidb_hostname</f>
        <v>Value Missing</v>
      </c>
      <c r="E103" s="8" t="str">
        <f>flt_vidb_vip_ip</f>
        <v>Value Missing</v>
      </c>
    </row>
    <row r="104" spans="2:8" ht="20" customHeight="1" x14ac:dyDescent="0.2">
      <c r="B104" s="4" t="s">
        <v>2945</v>
      </c>
      <c r="C104" s="8" t="s">
        <v>588</v>
      </c>
      <c r="D104" s="8" t="s">
        <v>588</v>
      </c>
      <c r="E104" s="8"/>
    </row>
    <row r="105" spans="2:8" ht="20" customHeight="1" x14ac:dyDescent="0.2">
      <c r="B105" s="4" t="s">
        <v>2946</v>
      </c>
      <c r="C105" s="8" t="s">
        <v>588</v>
      </c>
      <c r="D105" s="8" t="s">
        <v>588</v>
      </c>
      <c r="E105" s="8"/>
    </row>
    <row r="106" spans="2:8" ht="20" customHeight="1" x14ac:dyDescent="0.2">
      <c r="B106" s="4" t="s">
        <v>2947</v>
      </c>
      <c r="C106" s="8" t="s">
        <v>588</v>
      </c>
      <c r="D106" s="8" t="s">
        <v>588</v>
      </c>
      <c r="E106" s="8"/>
    </row>
    <row r="107" spans="2:8" ht="20" customHeight="1" x14ac:dyDescent="0.2">
      <c r="B107" s="4" t="s">
        <v>2948</v>
      </c>
      <c r="C107" s="8" t="s">
        <v>588</v>
      </c>
      <c r="D107" s="8" t="s">
        <v>588</v>
      </c>
      <c r="E107" s="8"/>
    </row>
    <row r="108" spans="2:8" ht="20" customHeight="1" x14ac:dyDescent="0.2">
      <c r="B108" s="4" t="s">
        <v>2949</v>
      </c>
      <c r="C108" s="8" t="s">
        <v>588</v>
      </c>
      <c r="D108" s="8" t="s">
        <v>588</v>
      </c>
      <c r="E108" s="8"/>
    </row>
    <row r="110" spans="2:8" ht="34" customHeight="1" x14ac:dyDescent="0.2">
      <c r="B110" s="569" t="s">
        <v>2950</v>
      </c>
      <c r="C110" s="570"/>
      <c r="D110" s="570"/>
      <c r="E110" s="570"/>
      <c r="F110" s="570"/>
      <c r="G110" s="570"/>
      <c r="H110" s="570"/>
    </row>
    <row r="111" spans="2:8" ht="20" customHeight="1" x14ac:dyDescent="0.2">
      <c r="B111" s="513" t="s">
        <v>2905</v>
      </c>
      <c r="C111" s="514"/>
      <c r="D111" s="514"/>
      <c r="E111" s="514"/>
      <c r="F111" s="514"/>
      <c r="G111" s="514"/>
      <c r="H111" s="514"/>
    </row>
    <row r="112" spans="2:8" ht="20" customHeight="1" x14ac:dyDescent="0.2">
      <c r="B112" s="62" t="s">
        <v>2916</v>
      </c>
      <c r="C112" s="62" t="s">
        <v>39</v>
      </c>
      <c r="D112" s="62" t="s">
        <v>295</v>
      </c>
      <c r="E112" s="161" t="s">
        <v>2929</v>
      </c>
    </row>
    <row r="113" spans="2:5" ht="20" customHeight="1" x14ac:dyDescent="0.2">
      <c r="B113" s="4" t="s">
        <v>208</v>
      </c>
      <c r="C113" s="8" t="str">
        <f>mgmt_az2_host1_fqdn</f>
        <v>Value Missing</v>
      </c>
      <c r="D113" s="8" t="str">
        <f>mgmt_az2_host1_hostname</f>
        <v>Value Missing</v>
      </c>
      <c r="E113" s="8" t="str">
        <f>mgmt_az2_host1_mgmt_ip</f>
        <v>Value Missing</v>
      </c>
    </row>
    <row r="114" spans="2:5" ht="20" customHeight="1" x14ac:dyDescent="0.2">
      <c r="B114" s="4" t="s">
        <v>210</v>
      </c>
      <c r="C114" s="8" t="str">
        <f>mgmt_az2_host2_fqdn</f>
        <v>Value Missing</v>
      </c>
      <c r="D114" s="8" t="str">
        <f>mgmt_az2_host2_hostname</f>
        <v>Value Missing</v>
      </c>
      <c r="E114" s="8" t="str">
        <f>mgmt_az2_host2_mgmt_ip</f>
        <v>Value Missing</v>
      </c>
    </row>
    <row r="115" spans="2:5" ht="20" customHeight="1" x14ac:dyDescent="0.2">
      <c r="B115" s="4" t="s">
        <v>212</v>
      </c>
      <c r="C115" s="8" t="str">
        <f>mgmt_az2_host3_fqdn</f>
        <v>Value Missing</v>
      </c>
      <c r="D115" s="8" t="str">
        <f>mgmt_az2_host3_hostname</f>
        <v>Value Missing</v>
      </c>
      <c r="E115" s="8" t="str">
        <f>mgmt_az2_host3_mgmt_ip</f>
        <v>Value Missing</v>
      </c>
    </row>
    <row r="116" spans="2:5" ht="20" customHeight="1" x14ac:dyDescent="0.2">
      <c r="B116" s="4" t="s">
        <v>214</v>
      </c>
      <c r="C116" s="8" t="str">
        <f>mgmt_az2_host4_fqdn</f>
        <v>Value Missing</v>
      </c>
      <c r="D116" s="8" t="str">
        <f>mgmt_az2_host4_hostname</f>
        <v>Value Missing</v>
      </c>
      <c r="E116" s="8" t="str">
        <f>mgmt_az2_host4_mgmt_ip</f>
        <v>Value Missing</v>
      </c>
    </row>
    <row r="117" spans="2:5" ht="20" customHeight="1" x14ac:dyDescent="0.2">
      <c r="B117" s="4" t="s">
        <v>216</v>
      </c>
      <c r="C117" s="8" t="str">
        <f>mgmt_az2_host5_fqdn</f>
        <v>Value Missing</v>
      </c>
      <c r="D117" s="8" t="str">
        <f>mgmt_az2_host5_hostname</f>
        <v>Value Missing</v>
      </c>
      <c r="E117" s="8" t="str">
        <f>mgmt_az2_host5_mgmt_ip</f>
        <v>Value Missing</v>
      </c>
    </row>
    <row r="118" spans="2:5" ht="20" customHeight="1" x14ac:dyDescent="0.2">
      <c r="B118" s="4" t="s">
        <v>218</v>
      </c>
      <c r="C118" s="8" t="str">
        <f>mgmt_az2_host6_fqdn</f>
        <v>Value Missing</v>
      </c>
      <c r="D118" s="8" t="str">
        <f>mgmt_az2_host6_hostname</f>
        <v>Value Missing</v>
      </c>
      <c r="E118" s="8" t="str">
        <f>mgmt_az2_host6_mgmt_ip</f>
        <v>Value Missing</v>
      </c>
    </row>
    <row r="119" spans="2:5" ht="20" customHeight="1" x14ac:dyDescent="0.2">
      <c r="B119" s="4" t="s">
        <v>220</v>
      </c>
      <c r="C119" s="8" t="str">
        <f>mgmt_az2_host7_fqdn</f>
        <v>Value Missing</v>
      </c>
      <c r="D119" s="8" t="str">
        <f>mgmt_az2_host7_hostname</f>
        <v>Value Missing</v>
      </c>
      <c r="E119" s="8" t="str">
        <f>mgmt_az2_host7_mgmt_ip</f>
        <v>Value Missing</v>
      </c>
    </row>
    <row r="120" spans="2:5" ht="20" customHeight="1" x14ac:dyDescent="0.2">
      <c r="B120" s="4" t="s">
        <v>222</v>
      </c>
      <c r="C120" s="8" t="str">
        <f>mgmt_az2_host8_fqdn</f>
        <v>Value Missing</v>
      </c>
      <c r="D120" s="8" t="str">
        <f>mgmt_az2_host8_hostname</f>
        <v>Value Missing</v>
      </c>
      <c r="E120" s="8" t="str">
        <f>mgmt_az2_host8_mgmt_ip</f>
        <v>Value Missing</v>
      </c>
    </row>
    <row r="121" spans="2:5" ht="20" customHeight="1" x14ac:dyDescent="0.2">
      <c r="B121" s="4" t="s">
        <v>224</v>
      </c>
      <c r="C121" s="8" t="str">
        <f>mgmt_az2_host9_fqdn</f>
        <v>Value Missing</v>
      </c>
      <c r="D121" s="8" t="str">
        <f>mgmt_az2_host9_hostname</f>
        <v>Value Missing</v>
      </c>
      <c r="E121" s="8" t="str">
        <f>mgmt_az2_host9_mgmt_ip</f>
        <v>Value Missing</v>
      </c>
    </row>
    <row r="122" spans="2:5" ht="20" customHeight="1" x14ac:dyDescent="0.2">
      <c r="B122" s="4" t="s">
        <v>226</v>
      </c>
      <c r="C122" s="8" t="str">
        <f>mgmt_az2_host10_fqdn</f>
        <v>Value Missing</v>
      </c>
      <c r="D122" s="8" t="str">
        <f>mgmt_az2_host10_hostname</f>
        <v>Value Missing</v>
      </c>
      <c r="E122" s="8" t="str">
        <f>mgmt_az2_host10_mgmt_ip</f>
        <v>Value Missing</v>
      </c>
    </row>
    <row r="123" spans="2:5" ht="20" customHeight="1" x14ac:dyDescent="0.2">
      <c r="B123" s="4" t="s">
        <v>228</v>
      </c>
      <c r="C123" s="8" t="str">
        <f>mgmt_az2_host11_fqdn</f>
        <v>Value Missing</v>
      </c>
      <c r="D123" s="8" t="str">
        <f>mgmt_az2_host11_hostname</f>
        <v>Value Missing</v>
      </c>
      <c r="E123" s="8" t="str">
        <f>mgmt_az2_host11_mgmt_ip</f>
        <v>Value Missing</v>
      </c>
    </row>
    <row r="124" spans="2:5" ht="20" customHeight="1" x14ac:dyDescent="0.2">
      <c r="B124" s="4" t="s">
        <v>230</v>
      </c>
      <c r="C124" s="8" t="str">
        <f>mgmt_az2_host12_fqdn</f>
        <v>Value Missing</v>
      </c>
      <c r="D124" s="8" t="str">
        <f>mgmt_az2_host12_hostname</f>
        <v>Value Missing</v>
      </c>
      <c r="E124" s="8" t="str">
        <f>mgmt_az2_host12_mgmt_ip</f>
        <v>Value Missing</v>
      </c>
    </row>
    <row r="125" spans="2:5" ht="20" customHeight="1" x14ac:dyDescent="0.2">
      <c r="B125" s="4" t="s">
        <v>232</v>
      </c>
      <c r="C125" s="8" t="str">
        <f>mgmt_az2_host13_fqdn</f>
        <v>Value Missing</v>
      </c>
      <c r="D125" s="8" t="str">
        <f>mgmt_az2_host13_hostname</f>
        <v>Value Missing</v>
      </c>
      <c r="E125" s="8" t="str">
        <f>mgmt_az2_host13_mgmt_ip</f>
        <v>Value Missing</v>
      </c>
    </row>
    <row r="126" spans="2:5" ht="20" customHeight="1" x14ac:dyDescent="0.2">
      <c r="B126" s="4" t="s">
        <v>234</v>
      </c>
      <c r="C126" s="8" t="str">
        <f>mgmt_az2_host14_fqdn</f>
        <v>Value Missing</v>
      </c>
      <c r="D126" s="8" t="str">
        <f>mgmt_az2_host14_hostname</f>
        <v>Value Missing</v>
      </c>
      <c r="E126" s="8" t="str">
        <f>mgmt_az2_host14_mgmt_ip</f>
        <v>Value Missing</v>
      </c>
    </row>
    <row r="127" spans="2:5" ht="20" customHeight="1" x14ac:dyDescent="0.2">
      <c r="B127" s="4" t="s">
        <v>236</v>
      </c>
      <c r="C127" s="8" t="str">
        <f>mgmt_az2_host15_fqdn</f>
        <v>Value Missing</v>
      </c>
      <c r="D127" s="8" t="str">
        <f>mgmt_az2_host15_hostname</f>
        <v>Value Missing</v>
      </c>
      <c r="E127" s="8" t="str">
        <f>mgmt_az2_host15_mgmt_ip</f>
        <v>Value Missing</v>
      </c>
    </row>
    <row r="128" spans="2:5" ht="20" customHeight="1" x14ac:dyDescent="0.2">
      <c r="B128" s="4" t="s">
        <v>238</v>
      </c>
      <c r="C128" s="8" t="str">
        <f>mgmt_az2_host16_fqdn</f>
        <v>Value Missing</v>
      </c>
      <c r="D128" s="8" t="str">
        <f>mgmt_az2_host16_hostname</f>
        <v>Value Missing</v>
      </c>
      <c r="E128" s="8" t="str">
        <f>mgmt_az2_host16_mgmt_ip</f>
        <v>Value Missing</v>
      </c>
    </row>
    <row r="130" spans="2:9" ht="34" customHeight="1" x14ac:dyDescent="0.2">
      <c r="B130" s="666" t="s">
        <v>2951</v>
      </c>
      <c r="C130" s="666"/>
      <c r="D130" s="666"/>
      <c r="E130" s="666"/>
      <c r="F130" s="666"/>
      <c r="G130" s="666"/>
      <c r="H130" s="666"/>
    </row>
    <row r="131" spans="2:9" ht="15" customHeight="1" x14ac:dyDescent="0.2"/>
    <row r="132" spans="2:9" ht="32" customHeight="1" x14ac:dyDescent="0.2">
      <c r="B132" s="569" t="s">
        <v>2952</v>
      </c>
      <c r="C132" s="570"/>
      <c r="D132" s="570"/>
      <c r="E132" s="570"/>
      <c r="F132" s="570"/>
      <c r="G132" s="570"/>
      <c r="H132" s="570"/>
    </row>
    <row r="133" spans="2:9" ht="20" customHeight="1" x14ac:dyDescent="0.2">
      <c r="B133" s="513"/>
      <c r="C133" s="514"/>
      <c r="D133" s="514"/>
      <c r="E133" s="514"/>
      <c r="F133" s="514"/>
      <c r="G133" s="514"/>
      <c r="H133" s="514"/>
    </row>
    <row r="134" spans="2:9" ht="20" customHeight="1" x14ac:dyDescent="0.2">
      <c r="B134" s="62" t="s">
        <v>2916</v>
      </c>
      <c r="C134" s="62" t="s">
        <v>2370</v>
      </c>
      <c r="D134" s="62" t="s">
        <v>2917</v>
      </c>
      <c r="E134" s="62" t="s">
        <v>2918</v>
      </c>
      <c r="F134" s="161" t="s">
        <v>2953</v>
      </c>
      <c r="G134" s="161" t="s">
        <v>2919</v>
      </c>
      <c r="H134" s="161" t="s">
        <v>2920</v>
      </c>
    </row>
    <row r="135" spans="2:9" ht="20" customHeight="1" x14ac:dyDescent="0.2">
      <c r="B135" s="4" t="s">
        <v>1047</v>
      </c>
      <c r="C135" s="8" t="str">
        <f>wld_cl01_az1_mgmt_vm_pg</f>
        <v>Value Missing</v>
      </c>
      <c r="D135" s="8" t="str">
        <f>wld_az1_mgmt_vm_vlan</f>
        <v>Value Missing</v>
      </c>
      <c r="E135" s="8" t="str">
        <f>wld_az1_mgmt_vm_cidr</f>
        <v>Value Missing</v>
      </c>
      <c r="F135" s="8" t="str">
        <f>wld_az1_mgmt_vm_network</f>
        <v>Value Missing</v>
      </c>
      <c r="G135" s="8" t="str">
        <f>wld_az1_mgmt_vm_gateway_ip</f>
        <v>Value Missing</v>
      </c>
      <c r="H135" s="8" t="str">
        <f>wld_az1_mgmt_vm_mtu</f>
        <v>Value Missing</v>
      </c>
    </row>
    <row r="136" spans="2:9" ht="20" customHeight="1" x14ac:dyDescent="0.2">
      <c r="B136" s="4" t="s">
        <v>2921</v>
      </c>
      <c r="C136" s="8" t="str">
        <f>wld_cl01_az1_mgmt_pg</f>
        <v>Value Missing</v>
      </c>
      <c r="D136" s="8" t="str">
        <f>wld_az1_mgmt_vlan</f>
        <v>Value Missing</v>
      </c>
      <c r="E136" s="8" t="str">
        <f>wld_az1_mgmt_cidr</f>
        <v>Value Missing</v>
      </c>
      <c r="F136" s="8" t="str">
        <f>wld_az1_mgmt_network</f>
        <v>Value Missing</v>
      </c>
      <c r="G136" s="8" t="str">
        <f>wld_az1_mgmt_gateway_ip</f>
        <v>Value Missing</v>
      </c>
      <c r="H136" s="8" t="str">
        <f>wld_az1_mgmt_mtu</f>
        <v>Value Missing</v>
      </c>
    </row>
    <row r="137" spans="2:9" ht="20" customHeight="1" x14ac:dyDescent="0.2">
      <c r="B137" s="4" t="s">
        <v>244</v>
      </c>
      <c r="C137" s="8" t="str">
        <f>wld_cl01_az1_vmotion_pg</f>
        <v>Value Missing</v>
      </c>
      <c r="D137" s="8" t="str">
        <f>wld_az1_vmotion_vlan</f>
        <v>Value Missing</v>
      </c>
      <c r="E137" s="8" t="str">
        <f>wld_az1_vmotion_cidr</f>
        <v>Value Missing</v>
      </c>
      <c r="F137" s="8" t="str">
        <f>wld_az1_vmotion_network</f>
        <v>Value Missing</v>
      </c>
      <c r="G137" s="8" t="str">
        <f>wld_az1_vmotion_gateway_ip</f>
        <v>Value Missing</v>
      </c>
      <c r="H137" s="8" t="str">
        <f>wld_az1_vmotion_mtu</f>
        <v>Value Missing</v>
      </c>
    </row>
    <row r="138" spans="2:9" ht="20" customHeight="1" x14ac:dyDescent="0.2">
      <c r="B138" s="4" t="s">
        <v>250</v>
      </c>
      <c r="C138" s="8" t="str">
        <f>wld_cl01_az1_principal_storage_pg</f>
        <v>Value Missing</v>
      </c>
      <c r="D138" s="8" t="str">
        <f>wld_az1_principal_storage_vlan</f>
        <v>Value Missing</v>
      </c>
      <c r="E138" s="8" t="str">
        <f>wld_az1_principal_storage_cidr</f>
        <v>Value Missing</v>
      </c>
      <c r="F138" s="8" t="str">
        <f>wld_az1_principal_storage_network</f>
        <v>Value Missing</v>
      </c>
      <c r="G138" s="8" t="str">
        <f>wld_az1_principal_storage_gateway_ip</f>
        <v>Value Missing</v>
      </c>
      <c r="H138" s="8" t="str">
        <f>wld_az1_principal_storage_mtu</f>
        <v>Value Missing</v>
      </c>
    </row>
    <row r="139" spans="2:9" ht="20" customHeight="1" x14ac:dyDescent="0.2">
      <c r="B139" s="4" t="s">
        <v>1053</v>
      </c>
      <c r="C139" s="8" t="str">
        <f>wld_az1_host_overlay_pg</f>
        <v>N/A</v>
      </c>
      <c r="D139" s="8" t="str">
        <f>wld_az1_host_overlay_vlan</f>
        <v>Value Missing</v>
      </c>
      <c r="E139" s="8" t="str">
        <f>wld_az1_host_overlay_cidr</f>
        <v>Value Missing</v>
      </c>
      <c r="F139" s="8" t="str">
        <f>wld_az1_host_overlay_network</f>
        <v>Value Missing</v>
      </c>
      <c r="G139" s="8" t="str">
        <f>wld_az1_host_overlay_gateway_ip</f>
        <v>Value Missing</v>
      </c>
      <c r="H139" s="8" t="str">
        <f>wld_az1_host_overlay_mtu</f>
        <v>Value Missing</v>
      </c>
    </row>
    <row r="140" spans="2:9" ht="20" customHeight="1" x14ac:dyDescent="0.2">
      <c r="B140" s="4" t="s">
        <v>2926</v>
      </c>
      <c r="C140" s="8" t="str">
        <f>wld_vrms_pg</f>
        <v>Value Missing</v>
      </c>
      <c r="D140" s="8" t="str">
        <f>wld_az1_vrms_vlan</f>
        <v>Value Missing</v>
      </c>
      <c r="E140" s="8" t="str">
        <f>wld_az1_vrms_cidr</f>
        <v>Value Missing</v>
      </c>
      <c r="F140" s="8" t="str">
        <f>wld_az1_vrms_network</f>
        <v>Value Missing</v>
      </c>
      <c r="G140" s="8" t="str">
        <f>wld_az1_vrms_gateway_ip</f>
        <v>Value Missing</v>
      </c>
      <c r="H140" s="8" t="str">
        <f>wld_az1_vrms_mtu</f>
        <v>Value Missing</v>
      </c>
    </row>
    <row r="141" spans="2:9" ht="20" customHeight="1" x14ac:dyDescent="0.2">
      <c r="B141" s="4" t="s">
        <v>2922</v>
      </c>
      <c r="C141" s="8" t="str">
        <f>wld_cl01_az1_uplink01_pg</f>
        <v>Value Missing</v>
      </c>
      <c r="D141" s="8" t="str">
        <f>wld_az1_uplink01_vlan</f>
        <v>Value Missing</v>
      </c>
      <c r="E141" s="8" t="str">
        <f>wld_az1_uplink01_cidr</f>
        <v>Value Missing</v>
      </c>
      <c r="F141" s="8" t="str">
        <f>wld_az1_uplink01_network</f>
        <v>Value Missing</v>
      </c>
      <c r="G141" s="8" t="str">
        <f>wld_az1_uplink01_gateway_ip</f>
        <v>Value Missing</v>
      </c>
      <c r="H141" s="8" t="str">
        <f>wld_az1_uplink01_mtu</f>
        <v>Value Missing</v>
      </c>
    </row>
    <row r="142" spans="2:9" ht="20" customHeight="1" x14ac:dyDescent="0.2">
      <c r="B142" s="23" t="s">
        <v>2923</v>
      </c>
      <c r="C142" s="8" t="str">
        <f>wld_cl01_az1_uplink02_pg</f>
        <v>Value Missing</v>
      </c>
      <c r="D142" s="8" t="str">
        <f>wld_az1_uplink02_vlan</f>
        <v>Value Missing</v>
      </c>
      <c r="E142" s="8" t="str">
        <f>wld_az1_uplink02_cidr</f>
        <v>Value Missing</v>
      </c>
      <c r="F142" s="8" t="str">
        <f>wld_az1_uplink02_network</f>
        <v>Value Missing</v>
      </c>
      <c r="G142" s="8" t="str">
        <f>wld_az1_uplink02_gateway_ip</f>
        <v>Value Missing</v>
      </c>
      <c r="H142" s="8" t="str">
        <f>wld_az1_uplink02_mtu</f>
        <v>Value Missing</v>
      </c>
      <c r="I142" s="57"/>
    </row>
    <row r="143" spans="2:9" ht="20" customHeight="1" x14ac:dyDescent="0.2">
      <c r="B143" s="23" t="s">
        <v>1062</v>
      </c>
      <c r="C143" s="8" t="str">
        <f>wld_az1_edge_overlay_pg</f>
        <v>N/A</v>
      </c>
      <c r="D143" s="8" t="str">
        <f>wld_az1_edge_overlay_vlan</f>
        <v>Value Missing</v>
      </c>
      <c r="E143" s="8" t="str">
        <f>wld_az1_edge_overlay_cidr</f>
        <v>Value Missing</v>
      </c>
      <c r="F143" s="8" t="str">
        <f>wld_az1_edge_overlay_network</f>
        <v>Value Missing</v>
      </c>
      <c r="G143" s="8" t="str">
        <f>wld_az1_edge_overlay_gateway_ip</f>
        <v>Value Missing</v>
      </c>
      <c r="H143" s="8" t="str">
        <f>wld_az1_edge_overlay_mtu</f>
        <v>N/A</v>
      </c>
      <c r="I143" s="57"/>
    </row>
    <row r="144" spans="2:9" ht="20" customHeight="1" x14ac:dyDescent="0.2">
      <c r="B144" s="4" t="s">
        <v>1156</v>
      </c>
      <c r="C144" s="8" t="str">
        <f>wld_az1_rtep_overlay_pg</f>
        <v>N/A</v>
      </c>
      <c r="D144" s="8" t="str">
        <f>wld_az1_rtep_overlay_vlan</f>
        <v>Value Missing</v>
      </c>
      <c r="E144" s="8" t="str">
        <f>wld_az1_rtep_overlay_cidr</f>
        <v>Value Missing</v>
      </c>
      <c r="F144" s="8" t="str">
        <f>wld_az1_rtep_overlay_network</f>
        <v>Value Missing</v>
      </c>
      <c r="G144" s="8" t="str">
        <f>wld_az1_rtep_overlay_gateway_ip</f>
        <v>Value Missing</v>
      </c>
      <c r="H144" s="8">
        <f>wld_az1_rtep_overlay_mtu</f>
        <v>0</v>
      </c>
    </row>
    <row r="146" spans="2:8" ht="34" customHeight="1" x14ac:dyDescent="0.2">
      <c r="B146" s="569" t="s">
        <v>2954</v>
      </c>
      <c r="C146" s="570"/>
      <c r="D146" s="570"/>
      <c r="E146" s="570"/>
      <c r="F146" s="570"/>
      <c r="G146" s="570"/>
      <c r="H146" s="570"/>
    </row>
    <row r="147" spans="2:8" ht="20" customHeight="1" x14ac:dyDescent="0.2">
      <c r="B147" s="513"/>
      <c r="C147" s="514"/>
      <c r="D147" s="514"/>
      <c r="E147" s="514"/>
      <c r="F147" s="514"/>
      <c r="G147" s="514"/>
      <c r="H147" s="514"/>
    </row>
    <row r="148" spans="2:8" ht="20" customHeight="1" x14ac:dyDescent="0.2">
      <c r="B148" s="62" t="s">
        <v>2916</v>
      </c>
      <c r="C148" s="62" t="s">
        <v>1043</v>
      </c>
    </row>
    <row r="149" spans="2:8" ht="20" customHeight="1" x14ac:dyDescent="0.2">
      <c r="B149" s="4" t="s">
        <v>1029</v>
      </c>
      <c r="C149" s="8" t="str">
        <f>wld_en_asn</f>
        <v>Value Missing</v>
      </c>
    </row>
    <row r="150" spans="2:8" ht="20" customHeight="1" x14ac:dyDescent="0.2">
      <c r="B150" s="4" t="s">
        <v>165</v>
      </c>
      <c r="C150" s="8" t="str">
        <f>wld_az1_tor1_peer_ip</f>
        <v>Value Missing</v>
      </c>
    </row>
    <row r="151" spans="2:8" ht="20" customHeight="1" x14ac:dyDescent="0.2">
      <c r="B151" s="4" t="s">
        <v>166</v>
      </c>
      <c r="C151" s="8" t="str">
        <f>wld_az1_tor1_peer_asn</f>
        <v>Value Missing</v>
      </c>
    </row>
    <row r="152" spans="2:8" ht="20" customHeight="1" x14ac:dyDescent="0.2">
      <c r="B152" s="4" t="s">
        <v>167</v>
      </c>
      <c r="C152" s="8" t="str">
        <f>wld_az1_tor1_peer_bgp_password</f>
        <v>Value Missing</v>
      </c>
    </row>
    <row r="153" spans="2:8" ht="20" customHeight="1" x14ac:dyDescent="0.2">
      <c r="B153" s="4" t="s">
        <v>168</v>
      </c>
      <c r="C153" s="8" t="str">
        <f>wld_az1_tor2_peer_ip</f>
        <v>Value Missing</v>
      </c>
    </row>
    <row r="154" spans="2:8" ht="20" customHeight="1" x14ac:dyDescent="0.2">
      <c r="B154" s="4" t="s">
        <v>169</v>
      </c>
      <c r="C154" s="8" t="str">
        <f>wld_az1_tor2_peer_asn</f>
        <v>Value Missing</v>
      </c>
    </row>
    <row r="155" spans="2:8" ht="20" customHeight="1" x14ac:dyDescent="0.2">
      <c r="B155" s="4" t="s">
        <v>170</v>
      </c>
      <c r="C155" s="8" t="str">
        <f>wld_az1_tor2_peer_bgp_password</f>
        <v>Value Missing</v>
      </c>
    </row>
    <row r="157" spans="2:8" ht="34" customHeight="1" x14ac:dyDescent="0.2">
      <c r="B157" s="569" t="s">
        <v>2955</v>
      </c>
      <c r="C157" s="570"/>
      <c r="D157" s="570"/>
      <c r="E157" s="570"/>
      <c r="F157" s="570"/>
      <c r="G157" s="570"/>
      <c r="H157" s="570"/>
    </row>
    <row r="158" spans="2:8" ht="20" customHeight="1" x14ac:dyDescent="0.2">
      <c r="B158" s="513"/>
      <c r="C158" s="514"/>
      <c r="D158" s="514"/>
      <c r="E158" s="514"/>
      <c r="F158" s="514"/>
      <c r="G158" s="514"/>
      <c r="H158" s="514"/>
    </row>
    <row r="159" spans="2:8" ht="20" customHeight="1" x14ac:dyDescent="0.2">
      <c r="B159" s="62" t="s">
        <v>2916</v>
      </c>
      <c r="C159" s="62" t="s">
        <v>2370</v>
      </c>
      <c r="D159" s="62" t="s">
        <v>85</v>
      </c>
      <c r="E159" s="62" t="s">
        <v>1877</v>
      </c>
      <c r="F159" s="161" t="s">
        <v>245</v>
      </c>
      <c r="G159" s="161" t="s">
        <v>182</v>
      </c>
      <c r="H159" s="161" t="s">
        <v>157</v>
      </c>
    </row>
    <row r="160" spans="2:8" ht="20" customHeight="1" x14ac:dyDescent="0.2">
      <c r="B160" s="4" t="s">
        <v>1047</v>
      </c>
      <c r="C160" s="8" t="str">
        <f>IF(wld_stretched_cluster_result="Excluded","Not Required",wld_cl01_az1_mgmt_vm_pg)</f>
        <v>Not Required</v>
      </c>
      <c r="D160" s="8" t="str">
        <f>IF(wld_stretched_cluster_result="Excluded","Not Required",wld_az1_mgmt_vm_vlan)</f>
        <v>Not Required</v>
      </c>
      <c r="E160" s="8" t="str">
        <f>IF(wld_stretched_cluster_result="Excluded","Not Required",wld_az1_mgmt_vm_cidr)</f>
        <v>Not Required</v>
      </c>
      <c r="F160" s="8" t="str">
        <f>IF(wld_stretched_cluster_result="Excluded","Not Required",wld_az1_mgmt_vm_network)</f>
        <v>Not Required</v>
      </c>
      <c r="G160" s="8" t="str">
        <f>IF(wld_stretched_cluster_result="Excluded","Not Required",wld_az1_mgmt_vm_gateway_ip)</f>
        <v>Not Required</v>
      </c>
      <c r="H160" s="8" t="str">
        <f>IF(wld_stretched_cluster_result="Excluded","Not Required",wld_az1_mgmt_vm_mtu)</f>
        <v>Not Required</v>
      </c>
    </row>
    <row r="161" spans="2:8" ht="20" customHeight="1" x14ac:dyDescent="0.2">
      <c r="B161" s="4" t="s">
        <v>2921</v>
      </c>
      <c r="C161" s="8" t="str">
        <f>wld_cl01_az2_mgmt_pg</f>
        <v>Value Missing</v>
      </c>
      <c r="D161" s="8" t="str">
        <f>wld_az2_mgmt_vlan</f>
        <v>Value Missing</v>
      </c>
      <c r="E161" s="8" t="str">
        <f>wld_az2_mgmt_cidr</f>
        <v>Value Missing</v>
      </c>
      <c r="F161" s="8" t="str">
        <f t="array" ref="F161">wld_az2_mgmt_network</f>
        <v>Value Missing</v>
      </c>
      <c r="G161" s="8" t="str">
        <f>wld_az2_mgmt_gateway_ip</f>
        <v>Value Missing</v>
      </c>
      <c r="H161" s="8" t="str">
        <f>wld_az2_mgmt_mtu</f>
        <v>Value Missing</v>
      </c>
    </row>
    <row r="162" spans="2:8" ht="20" customHeight="1" x14ac:dyDescent="0.2">
      <c r="B162" s="4" t="s">
        <v>244</v>
      </c>
      <c r="C162" s="8" t="str">
        <f>wld_cl01_az2_vmotion_pg</f>
        <v>Value Missing</v>
      </c>
      <c r="D162" s="8" t="str">
        <f>wld_az2_vmotion_vlan</f>
        <v>Value Missing</v>
      </c>
      <c r="E162" s="8" t="str">
        <f>wld_az2_vmotion_cidr</f>
        <v>Value Missing</v>
      </c>
      <c r="F162" s="8" t="str">
        <f>wld_az2_vmotion_network</f>
        <v>Value Missing</v>
      </c>
      <c r="G162" s="8" t="str">
        <f>wld_az2_vmotion_gateway_ip</f>
        <v>Value Missing</v>
      </c>
      <c r="H162" s="8" t="str">
        <f>wld_az2_vmotion_mtu</f>
        <v>Value Missing</v>
      </c>
    </row>
    <row r="163" spans="2:8" ht="20" customHeight="1" x14ac:dyDescent="0.2">
      <c r="B163" s="4" t="s">
        <v>250</v>
      </c>
      <c r="C163" s="8" t="str">
        <f>wld_cl01_az2_principal_storage_pg</f>
        <v>Value Missing</v>
      </c>
      <c r="D163" s="8" t="str">
        <f>wld_az2_principal_storage_vlan</f>
        <v>Value Missing</v>
      </c>
      <c r="E163" s="8" t="str">
        <f>wld_az2_principal_storage_cidr</f>
        <v>Value Missing</v>
      </c>
      <c r="F163" s="8" t="str">
        <f>wld_az2_principal_storage_network</f>
        <v>Value Missing</v>
      </c>
      <c r="G163" s="8" t="str">
        <f>wld_az2_principal_storage_gateway_ip</f>
        <v>Value Missing</v>
      </c>
      <c r="H163" s="8" t="str">
        <f>wld_az2_principal_storage_mtu</f>
        <v>Value Missing</v>
      </c>
    </row>
    <row r="164" spans="2:8" ht="20" customHeight="1" x14ac:dyDescent="0.2">
      <c r="B164" s="4" t="s">
        <v>1053</v>
      </c>
      <c r="C164" s="8" t="str">
        <f t="array" ref="C164">wld_az2_host_overlay_pg</f>
        <v>N/A</v>
      </c>
      <c r="D164" s="8" t="str">
        <f>wld_az2_host_overlay_vlan</f>
        <v>Value Missing</v>
      </c>
      <c r="E164" s="8" t="str">
        <f>wld_az2_host_overlay_cidr</f>
        <v>Value Missing</v>
      </c>
      <c r="F164" s="8" t="str">
        <f>wld_az2_host_overlay_network</f>
        <v>Value Missing</v>
      </c>
      <c r="G164" s="8" t="str">
        <f>wld_az2_host_overlay_gateway_ip</f>
        <v>Value Missing</v>
      </c>
      <c r="H164" s="8" t="str">
        <f>wld_az2_host_overlay_mtu</f>
        <v>Value Missing</v>
      </c>
    </row>
    <row r="165" spans="2:8" ht="20" customHeight="1" x14ac:dyDescent="0.2">
      <c r="B165" s="4" t="s">
        <v>2926</v>
      </c>
      <c r="C165" s="8" t="str">
        <f>wld_vrms_pg</f>
        <v>Value Missing</v>
      </c>
      <c r="D165" s="8" t="str">
        <f>wld_az2_vrms_vlan</f>
        <v>Value Missing</v>
      </c>
      <c r="E165" s="8" t="str">
        <f>wld_az2_vrms_cidr</f>
        <v>Value Missing</v>
      </c>
      <c r="F165" s="8" t="str">
        <f>wld_az2_vrms_network</f>
        <v>Value Missing</v>
      </c>
      <c r="G165" s="8" t="str">
        <f>wld_az2_vrms_gateway_ip</f>
        <v>Value Missing</v>
      </c>
      <c r="H165" s="8" t="str">
        <f>wld_az2_vrms_mtu</f>
        <v>Value Missing</v>
      </c>
    </row>
    <row r="166" spans="2:8" ht="20" customHeight="1" x14ac:dyDescent="0.2">
      <c r="B166" s="4" t="s">
        <v>2922</v>
      </c>
      <c r="C166" s="8" t="str">
        <f t="array" ref="C166">wld_cl01_az2_uplink01_pg</f>
        <v>Value Missing</v>
      </c>
      <c r="D166" s="8" t="str">
        <f>wld_az2_uplink01_vlan</f>
        <v>Value Missing</v>
      </c>
      <c r="E166" s="8" t="str">
        <f>wld_az2_uplink01_cidr</f>
        <v>Value Missing</v>
      </c>
      <c r="F166" s="8" t="str">
        <f>wld_az2_uplink02_network</f>
        <v>Value Missing</v>
      </c>
      <c r="G166" s="8" t="str">
        <f>wld_az2_uplink01_gateway_ip</f>
        <v>Value Missing</v>
      </c>
      <c r="H166" s="8" t="str">
        <f>wld_az2_uplink01_mtu</f>
        <v>Value Missing</v>
      </c>
    </row>
    <row r="167" spans="2:8" ht="20" customHeight="1" x14ac:dyDescent="0.2">
      <c r="B167" s="23" t="s">
        <v>2923</v>
      </c>
      <c r="C167" s="8" t="str">
        <f t="array" ref="C167">wld_cl01_az2_uplink02_pg</f>
        <v>Value Missing</v>
      </c>
      <c r="D167" s="8" t="str">
        <f>wld_az2_uplink02_vlan</f>
        <v>Value Missing</v>
      </c>
      <c r="E167" s="8" t="str">
        <f>wld_az2_uplink02_cidr</f>
        <v>Value Missing</v>
      </c>
      <c r="F167" s="8" t="str">
        <f>wld_az2_uplink02_network</f>
        <v>Value Missing</v>
      </c>
      <c r="G167" s="8" t="str">
        <f>wld_az2_uplink02_gateway_ip</f>
        <v>Value Missing</v>
      </c>
      <c r="H167" s="8" t="str">
        <f>wld_az2_uplink02_mtu</f>
        <v>Value Missing</v>
      </c>
    </row>
    <row r="168" spans="2:8" ht="20" customHeight="1" x14ac:dyDescent="0.2">
      <c r="B168" s="23" t="s">
        <v>1062</v>
      </c>
      <c r="C168" s="8" t="str">
        <f t="array" ref="C168">wld_az2_edge_overlay_pg</f>
        <v>N/A</v>
      </c>
      <c r="D168" s="8" t="str">
        <f>wld_az2_edge_overlay_vlan</f>
        <v>Value Missing</v>
      </c>
      <c r="E168" s="8" t="str">
        <f>wld_az2_edge_overlay_cidr</f>
        <v>Value Missing</v>
      </c>
      <c r="F168" s="8" t="str">
        <f>wld_az2_edge_overlay_network</f>
        <v>Value Missing</v>
      </c>
      <c r="G168" s="8" t="str">
        <f>wld_az2_edge_overlay_gateway_ip</f>
        <v>Value Missing</v>
      </c>
      <c r="H168" s="8" t="str">
        <f>wld_az2_edge_overlay_mtu</f>
        <v>N/A</v>
      </c>
    </row>
    <row r="169" spans="2:8" ht="20" customHeight="1" x14ac:dyDescent="0.2">
      <c r="B169" s="4" t="s">
        <v>1156</v>
      </c>
      <c r="C169" s="8" t="str">
        <f>wld_az1_rtep_overlay_pg</f>
        <v>N/A</v>
      </c>
      <c r="D169" s="8" t="str">
        <f>wld_az2_rtep_overlay_vlan</f>
        <v>Value Missing</v>
      </c>
      <c r="E169" s="8" t="str">
        <f>wld_az2_rtep_overlay_cidr</f>
        <v>Value Missing</v>
      </c>
      <c r="F169" s="8" t="str">
        <f>wld_az1_rtep_overlay_network</f>
        <v>Value Missing</v>
      </c>
      <c r="G169" s="8" t="str">
        <f>wld_az2_rtep_overlay_gateway_ip</f>
        <v>Value Missing</v>
      </c>
      <c r="H169" s="8">
        <f>wld_az2_rtep_overlay_mtu</f>
        <v>0</v>
      </c>
    </row>
    <row r="171" spans="2:8" ht="34" customHeight="1" x14ac:dyDescent="0.2">
      <c r="B171" s="569" t="s">
        <v>2956</v>
      </c>
      <c r="C171" s="570"/>
      <c r="D171" s="570"/>
      <c r="E171" s="570"/>
      <c r="F171" s="570"/>
      <c r="G171" s="570"/>
      <c r="H171" s="570"/>
    </row>
    <row r="172" spans="2:8" ht="20" customHeight="1" x14ac:dyDescent="0.2">
      <c r="B172" s="513"/>
      <c r="C172" s="514"/>
      <c r="D172" s="514"/>
      <c r="E172" s="514"/>
      <c r="F172" s="514"/>
      <c r="G172" s="514"/>
      <c r="H172" s="514"/>
    </row>
    <row r="173" spans="2:8" ht="20" customHeight="1" x14ac:dyDescent="0.2">
      <c r="B173" s="62" t="s">
        <v>2916</v>
      </c>
      <c r="C173" s="62" t="s">
        <v>1043</v>
      </c>
    </row>
    <row r="174" spans="2:8" ht="20" customHeight="1" x14ac:dyDescent="0.2">
      <c r="B174" s="4" t="s">
        <v>1029</v>
      </c>
      <c r="C174" s="8" t="str">
        <f>wld_en_asn</f>
        <v>Value Missing</v>
      </c>
    </row>
    <row r="175" spans="2:8" ht="20" customHeight="1" x14ac:dyDescent="0.2">
      <c r="B175" s="4" t="s">
        <v>165</v>
      </c>
      <c r="C175" s="8" t="str">
        <f>wld_az1_tor1_peer_ip</f>
        <v>Value Missing</v>
      </c>
    </row>
    <row r="176" spans="2:8" ht="20" customHeight="1" x14ac:dyDescent="0.2">
      <c r="B176" s="4" t="s">
        <v>166</v>
      </c>
      <c r="C176" s="8" t="str">
        <f>wld_az1_tor1_peer_asn</f>
        <v>Value Missing</v>
      </c>
    </row>
    <row r="177" spans="2:8" ht="20" customHeight="1" x14ac:dyDescent="0.2">
      <c r="B177" s="4" t="s">
        <v>167</v>
      </c>
      <c r="C177" s="8" t="str">
        <f>wld_az1_tor1_peer_bgp_password</f>
        <v>Value Missing</v>
      </c>
    </row>
    <row r="178" spans="2:8" ht="20" customHeight="1" x14ac:dyDescent="0.2">
      <c r="B178" s="4" t="s">
        <v>168</v>
      </c>
      <c r="C178" s="8" t="str">
        <f>wld_az1_tor2_peer_ip</f>
        <v>Value Missing</v>
      </c>
    </row>
    <row r="179" spans="2:8" ht="20" customHeight="1" x14ac:dyDescent="0.2">
      <c r="B179" s="4" t="s">
        <v>169</v>
      </c>
      <c r="C179" s="8" t="str">
        <f>wld_az1_tor2_peer_asn</f>
        <v>Value Missing</v>
      </c>
    </row>
    <row r="180" spans="2:8" ht="20" customHeight="1" x14ac:dyDescent="0.2">
      <c r="B180" s="4" t="s">
        <v>170</v>
      </c>
      <c r="C180" s="8" t="str">
        <f>wld_az1_tor2_peer_bgp_password</f>
        <v>Value Missing</v>
      </c>
    </row>
    <row r="182" spans="2:8" ht="32" customHeight="1" x14ac:dyDescent="0.2">
      <c r="B182" s="569" t="s">
        <v>2957</v>
      </c>
      <c r="C182" s="570"/>
      <c r="D182" s="570"/>
      <c r="E182" s="570"/>
      <c r="F182" s="570"/>
      <c r="G182" s="570"/>
      <c r="H182" s="570"/>
    </row>
    <row r="183" spans="2:8" ht="20" customHeight="1" x14ac:dyDescent="0.2">
      <c r="B183" s="513" t="s">
        <v>2905</v>
      </c>
      <c r="C183" s="514"/>
      <c r="D183" s="514"/>
      <c r="E183" s="514"/>
      <c r="F183" s="514"/>
      <c r="G183" s="514"/>
      <c r="H183" s="514"/>
    </row>
    <row r="184" spans="2:8" ht="20" customHeight="1" x14ac:dyDescent="0.2">
      <c r="B184" s="62" t="s">
        <v>2916</v>
      </c>
      <c r="C184" s="62" t="s">
        <v>39</v>
      </c>
      <c r="D184" s="62" t="s">
        <v>295</v>
      </c>
      <c r="E184" s="161" t="s">
        <v>2929</v>
      </c>
    </row>
    <row r="185" spans="2:8" ht="20" customHeight="1" x14ac:dyDescent="0.2">
      <c r="B185" s="4" t="s">
        <v>208</v>
      </c>
      <c r="C185" s="8" t="str">
        <f>wld_az1_host1_fqdn</f>
        <v>Value Missing</v>
      </c>
      <c r="D185" s="8" t="str">
        <f>wld_az1_host1_hostname</f>
        <v>Value Missing</v>
      </c>
      <c r="E185" s="8" t="str">
        <f>wld_az1_host1_mgmt_ip</f>
        <v>Value Missing</v>
      </c>
    </row>
    <row r="186" spans="2:8" ht="20" customHeight="1" x14ac:dyDescent="0.2">
      <c r="B186" s="4" t="s">
        <v>210</v>
      </c>
      <c r="C186" s="8" t="str">
        <f>wld_az1_host2_fqdn</f>
        <v>Value Missing</v>
      </c>
      <c r="D186" s="8" t="str">
        <f>wld_az1_host2_hostname</f>
        <v>Value Missing</v>
      </c>
      <c r="E186" s="8" t="str">
        <f>wld_az1_host2_mgmt_ip</f>
        <v>Value Missing</v>
      </c>
    </row>
    <row r="187" spans="2:8" ht="20" customHeight="1" x14ac:dyDescent="0.2">
      <c r="B187" s="4" t="s">
        <v>212</v>
      </c>
      <c r="C187" s="8" t="str">
        <f>wld_az1_host3_fqdn</f>
        <v>Value Missing</v>
      </c>
      <c r="D187" s="8" t="str">
        <f>wld_az1_host3_hostname</f>
        <v>Value Missing</v>
      </c>
      <c r="E187" s="8" t="str">
        <f>wld_az1_host3_mgmt_ip</f>
        <v>Value Missing</v>
      </c>
    </row>
    <row r="188" spans="2:8" ht="20" customHeight="1" x14ac:dyDescent="0.2">
      <c r="B188" s="4" t="s">
        <v>214</v>
      </c>
      <c r="C188" s="8" t="str">
        <f>wld_az1_host4_fqdn</f>
        <v>Value Missing</v>
      </c>
      <c r="D188" s="8" t="str">
        <f>wld_az1_host4_hostname</f>
        <v>Value Missing</v>
      </c>
      <c r="E188" s="8" t="str">
        <f>wld_az1_host4_mgmt_ip</f>
        <v>Value Missing</v>
      </c>
    </row>
    <row r="189" spans="2:8" ht="20" customHeight="1" x14ac:dyDescent="0.2">
      <c r="B189" s="4" t="s">
        <v>216</v>
      </c>
      <c r="C189" s="8" t="str">
        <f>wld_az1_host5_fqdn</f>
        <v>Value Missing</v>
      </c>
      <c r="D189" s="8" t="str">
        <f>wld_az1_host5_hostname</f>
        <v>Value Missing</v>
      </c>
      <c r="E189" s="8" t="str">
        <f>wld_az1_host5_mgmt_ip</f>
        <v>Value Missing</v>
      </c>
    </row>
    <row r="190" spans="2:8" ht="20" customHeight="1" x14ac:dyDescent="0.2">
      <c r="B190" s="4" t="s">
        <v>218</v>
      </c>
      <c r="C190" s="8" t="str">
        <f>wld_az1_host6_fqdn</f>
        <v>Value Missing</v>
      </c>
      <c r="D190" s="8" t="str">
        <f>wld_az1_host6_hostname</f>
        <v>Value Missing</v>
      </c>
      <c r="E190" s="8" t="str">
        <f>wld_az1_host6_mgmt_ip</f>
        <v>Value Missing</v>
      </c>
    </row>
    <row r="191" spans="2:8" ht="20" customHeight="1" x14ac:dyDescent="0.2">
      <c r="B191" s="4" t="s">
        <v>220</v>
      </c>
      <c r="C191" s="8" t="str">
        <f>wld_az1_host7_fqdn</f>
        <v>Value Missing</v>
      </c>
      <c r="D191" s="8" t="str">
        <f>wld_az1_host7_hostname</f>
        <v>Value Missing</v>
      </c>
      <c r="E191" s="8" t="str">
        <f>wld_az1_host7_mgmt_ip</f>
        <v>Value Missing</v>
      </c>
    </row>
    <row r="192" spans="2:8" ht="20" customHeight="1" x14ac:dyDescent="0.2">
      <c r="B192" s="4" t="s">
        <v>222</v>
      </c>
      <c r="C192" s="8" t="str">
        <f>wld_az1_host8_fqdn</f>
        <v>Value Missing</v>
      </c>
      <c r="D192" s="8" t="str">
        <f>wld_az1_host8_hostname</f>
        <v>Value Missing</v>
      </c>
      <c r="E192" s="8" t="str">
        <f>wld_az1_host8_mgmt_ip</f>
        <v>Value Missing</v>
      </c>
    </row>
    <row r="193" spans="2:8" ht="20" customHeight="1" x14ac:dyDescent="0.2">
      <c r="B193" s="4" t="s">
        <v>224</v>
      </c>
      <c r="C193" s="8" t="str">
        <f>wld_az1_host9_fqdn</f>
        <v>Value Missing</v>
      </c>
      <c r="D193" s="8" t="str">
        <f>wld_az1_host9_hostname</f>
        <v>Value Missing</v>
      </c>
      <c r="E193" s="8" t="str">
        <f>wld_az1_host9_mgmt_ip</f>
        <v>Value Missing</v>
      </c>
    </row>
    <row r="194" spans="2:8" ht="20" customHeight="1" x14ac:dyDescent="0.2">
      <c r="B194" s="4" t="s">
        <v>226</v>
      </c>
      <c r="C194" s="8" t="str">
        <f>wld_az1_host10_fqdn</f>
        <v>Value Missing</v>
      </c>
      <c r="D194" s="8" t="str">
        <f>wld_az1_host10_hostname</f>
        <v>Value Missing</v>
      </c>
      <c r="E194" s="8" t="str">
        <f>wld_az1_host10_mgmt_ip</f>
        <v>Value Missing</v>
      </c>
    </row>
    <row r="195" spans="2:8" ht="20" customHeight="1" x14ac:dyDescent="0.2">
      <c r="B195" s="4" t="s">
        <v>228</v>
      </c>
      <c r="C195" s="8" t="str">
        <f>wld_az1_host11_fqdn</f>
        <v>Value Missing</v>
      </c>
      <c r="D195" s="8" t="str">
        <f>wld_az1_host11_hostname</f>
        <v>Value Missing</v>
      </c>
      <c r="E195" s="8" t="str">
        <f>wld_az1_host11_mgmt_ip</f>
        <v>Value Missing</v>
      </c>
    </row>
    <row r="196" spans="2:8" ht="20" customHeight="1" x14ac:dyDescent="0.2">
      <c r="B196" s="4" t="s">
        <v>230</v>
      </c>
      <c r="C196" s="8" t="str">
        <f>wld_az1_host12_fqdn</f>
        <v>Value Missing</v>
      </c>
      <c r="D196" s="8" t="str">
        <f>wld_az1_host12_hostname</f>
        <v>Value Missing</v>
      </c>
      <c r="E196" s="8" t="str">
        <f>wld_az1_host12_mgmt_ip</f>
        <v>Value Missing</v>
      </c>
    </row>
    <row r="197" spans="2:8" ht="20" customHeight="1" x14ac:dyDescent="0.2">
      <c r="B197" s="4" t="s">
        <v>232</v>
      </c>
      <c r="C197" s="8" t="str">
        <f>wld_az1_host13_fqdn</f>
        <v>Value Missing</v>
      </c>
      <c r="D197" s="8" t="str">
        <f>wld_az1_host13_hostname</f>
        <v>Value Missing</v>
      </c>
      <c r="E197" s="8" t="str">
        <f>wld_az1_host13_mgmt_ip</f>
        <v>Value Missing</v>
      </c>
    </row>
    <row r="198" spans="2:8" ht="20" customHeight="1" x14ac:dyDescent="0.2">
      <c r="B198" s="4" t="s">
        <v>234</v>
      </c>
      <c r="C198" s="8" t="str">
        <f>wld_az1_host14_fqdn</f>
        <v>Value Missing</v>
      </c>
      <c r="D198" s="8" t="str">
        <f>wld_az1_host14_hostname</f>
        <v>Value Missing</v>
      </c>
      <c r="E198" s="8" t="str">
        <f>wld_az1_host14_mgmt_ip</f>
        <v>Value Missing</v>
      </c>
    </row>
    <row r="199" spans="2:8" ht="20" customHeight="1" x14ac:dyDescent="0.2">
      <c r="B199" s="4" t="s">
        <v>236</v>
      </c>
      <c r="C199" s="8" t="str">
        <f>wld_az1_host15_fqdn</f>
        <v>Value Missing</v>
      </c>
      <c r="D199" s="8" t="str">
        <f>wld_az1_host15_hostname</f>
        <v>Value Missing</v>
      </c>
      <c r="E199" s="8" t="str">
        <f>wld_az1_host15_mgmt_ip</f>
        <v>Value Missing</v>
      </c>
    </row>
    <row r="200" spans="2:8" ht="20" customHeight="1" x14ac:dyDescent="0.2">
      <c r="B200" s="4" t="s">
        <v>238</v>
      </c>
      <c r="C200" s="8" t="str">
        <f>wld_az1_host16_fqdn</f>
        <v>Value Missing</v>
      </c>
      <c r="D200" s="8" t="str">
        <f>wld_az1_host16_hostname</f>
        <v>Value Missing</v>
      </c>
      <c r="E200" s="8" t="str">
        <f>wld_az1_host16_mgmt_ip</f>
        <v>Value Missing</v>
      </c>
    </row>
    <row r="202" spans="2:8" ht="20" customHeight="1" x14ac:dyDescent="0.2">
      <c r="B202" s="513" t="s">
        <v>2682</v>
      </c>
      <c r="C202" s="514"/>
      <c r="D202" s="514"/>
      <c r="E202" s="514"/>
      <c r="F202" s="514"/>
      <c r="G202" s="514"/>
      <c r="H202" s="514"/>
    </row>
    <row r="203" spans="2:8" ht="20" customHeight="1" x14ac:dyDescent="0.2">
      <c r="B203" s="62" t="s">
        <v>2916</v>
      </c>
      <c r="C203" s="62" t="s">
        <v>39</v>
      </c>
      <c r="D203" s="62" t="s">
        <v>295</v>
      </c>
      <c r="E203" s="161" t="s">
        <v>2931</v>
      </c>
    </row>
    <row r="204" spans="2:8" ht="20" customHeight="1" x14ac:dyDescent="0.2">
      <c r="B204" s="4" t="s">
        <v>713</v>
      </c>
      <c r="C204" s="8" t="str">
        <f>wld_vc_fqdn</f>
        <v>Value Missing</v>
      </c>
      <c r="D204" s="8" t="str">
        <f>wld_vc_hostname</f>
        <v>Value Missing</v>
      </c>
      <c r="E204" s="8" t="str">
        <f>wld_vc_ip</f>
        <v>Value Missing</v>
      </c>
    </row>
    <row r="205" spans="2:8" ht="20" customHeight="1" x14ac:dyDescent="0.2">
      <c r="B205" s="4" t="s">
        <v>2932</v>
      </c>
      <c r="C205" s="8" t="str">
        <f>wld_nsxt_vip_fqdn</f>
        <v>Value Missing</v>
      </c>
      <c r="D205" s="8" t="str">
        <f>wld_nsxt_vip_fqdn</f>
        <v>Value Missing</v>
      </c>
      <c r="E205" s="8" t="str">
        <f>wld_nsxt_vip_ip</f>
        <v>Value Missing</v>
      </c>
    </row>
    <row r="206" spans="2:8" ht="20" customHeight="1" x14ac:dyDescent="0.2">
      <c r="B206" s="4" t="s">
        <v>2933</v>
      </c>
      <c r="C206" s="8" t="str">
        <f>wld_nsxt_mgra_fqdn</f>
        <v>Value Missing</v>
      </c>
      <c r="D206" s="8" t="str">
        <f>wld_nsxt_mgra_hostname</f>
        <v>Value Missing</v>
      </c>
      <c r="E206" s="8" t="str">
        <f>wld_nsxt_mgra_ip</f>
        <v>Value Missing</v>
      </c>
    </row>
    <row r="207" spans="2:8" ht="20" customHeight="1" x14ac:dyDescent="0.2">
      <c r="B207" s="4" t="s">
        <v>2934</v>
      </c>
      <c r="C207" s="8" t="str">
        <f>wld_nsxt_mgrb_fqdn</f>
        <v>Value Missing</v>
      </c>
      <c r="D207" s="8" t="str">
        <f>wld_nsxt_mgrb_hostname</f>
        <v>Value Missing</v>
      </c>
      <c r="E207" s="8" t="str">
        <f>wld_nsxt_mgrb_ip</f>
        <v>Value Missing</v>
      </c>
    </row>
    <row r="208" spans="2:8" ht="20" customHeight="1" x14ac:dyDescent="0.2">
      <c r="B208" s="4" t="s">
        <v>2935</v>
      </c>
      <c r="C208" s="8" t="str">
        <f>wld_nsxt_mgrc_fqdn</f>
        <v>Value Missing</v>
      </c>
      <c r="D208" s="8" t="str">
        <f>wld_nsxt_mgrc_hostname</f>
        <v>Value Missing</v>
      </c>
      <c r="E208" s="8" t="str">
        <f>wld_nsxt_mgrc_ip</f>
        <v>Value Missing</v>
      </c>
    </row>
    <row r="209" spans="2:8" ht="20" customHeight="1" x14ac:dyDescent="0.2">
      <c r="B209" s="4" t="s">
        <v>2936</v>
      </c>
      <c r="C209" s="8" t="str">
        <f>wld_az1_en1_fqdn</f>
        <v>Value Missing</v>
      </c>
      <c r="D209" s="8" t="str">
        <f>wld_az1_en1_hostname</f>
        <v>Value Missing</v>
      </c>
      <c r="E209" s="8" t="str">
        <f>wld_az1_en1_mgmt_cidr</f>
        <v>Value Missing</v>
      </c>
    </row>
    <row r="210" spans="2:8" ht="20" customHeight="1" x14ac:dyDescent="0.2">
      <c r="B210" s="4" t="s">
        <v>2937</v>
      </c>
      <c r="C210" s="8" t="str">
        <f>wld_az1_en2_fqdn</f>
        <v>Value Missing</v>
      </c>
      <c r="D210" s="8" t="str">
        <f>wld_az1_en2_hostname</f>
        <v>Value Missing</v>
      </c>
      <c r="E210" s="8" t="str">
        <f>wld_az1_en2_mgmt_cidr</f>
        <v>Value Missing</v>
      </c>
    </row>
    <row r="212" spans="2:8" ht="34" customHeight="1" x14ac:dyDescent="0.2">
      <c r="B212" s="569" t="s">
        <v>2958</v>
      </c>
      <c r="C212" s="570"/>
      <c r="D212" s="570"/>
      <c r="E212" s="570"/>
      <c r="F212" s="570"/>
      <c r="G212" s="570"/>
      <c r="H212" s="570"/>
    </row>
    <row r="213" spans="2:8" ht="20" customHeight="1" x14ac:dyDescent="0.2">
      <c r="B213" s="513" t="s">
        <v>2905</v>
      </c>
      <c r="C213" s="514"/>
      <c r="D213" s="514"/>
      <c r="E213" s="514"/>
      <c r="F213" s="514"/>
      <c r="G213" s="514"/>
      <c r="H213" s="514"/>
    </row>
    <row r="214" spans="2:8" ht="20" customHeight="1" x14ac:dyDescent="0.2">
      <c r="B214" s="62" t="s">
        <v>2916</v>
      </c>
      <c r="C214" s="62" t="s">
        <v>39</v>
      </c>
      <c r="D214" s="62" t="s">
        <v>295</v>
      </c>
      <c r="E214" s="161" t="s">
        <v>2929</v>
      </c>
    </row>
    <row r="215" spans="2:8" ht="20" customHeight="1" x14ac:dyDescent="0.2">
      <c r="B215" s="4" t="s">
        <v>208</v>
      </c>
      <c r="C215" s="8" t="str">
        <f>wld_az2_host1_fqdn</f>
        <v>Value Missing</v>
      </c>
      <c r="D215" s="8" t="str">
        <f>wld_az2_host1_hostname</f>
        <v>Value Missing</v>
      </c>
      <c r="E215" s="8" t="str">
        <f>wld_az2_host1_mgmt_ip</f>
        <v>Value Missing</v>
      </c>
    </row>
    <row r="216" spans="2:8" ht="20" customHeight="1" x14ac:dyDescent="0.2">
      <c r="B216" s="4" t="s">
        <v>210</v>
      </c>
      <c r="C216" s="8" t="str">
        <f>wld_az2_host2_fqdn</f>
        <v>Value Missing</v>
      </c>
      <c r="D216" s="8" t="str">
        <f>wld_az2_host2_hostname</f>
        <v>Value Missing</v>
      </c>
      <c r="E216" s="8" t="str">
        <f>wld_az2_host2_mgmt_ip</f>
        <v>Value Missing</v>
      </c>
    </row>
    <row r="217" spans="2:8" ht="20" customHeight="1" x14ac:dyDescent="0.2">
      <c r="B217" s="4" t="s">
        <v>212</v>
      </c>
      <c r="C217" s="8" t="str">
        <f>wld_az2_host3_fqdn</f>
        <v>Value Missing</v>
      </c>
      <c r="D217" s="8" t="str">
        <f>wld_az2_host3_hostname</f>
        <v>Value Missing</v>
      </c>
      <c r="E217" s="8" t="str">
        <f>wld_az2_host3_mgmt_ip</f>
        <v>Value Missing</v>
      </c>
    </row>
    <row r="218" spans="2:8" ht="20" customHeight="1" x14ac:dyDescent="0.2">
      <c r="B218" s="4" t="s">
        <v>214</v>
      </c>
      <c r="C218" s="8" t="str">
        <f>wld_az2_host4_fqdn</f>
        <v>Value Missing</v>
      </c>
      <c r="D218" s="8" t="str">
        <f>wld_az2_host4_hostname</f>
        <v>Value Missing</v>
      </c>
      <c r="E218" s="8" t="str">
        <f>wld_az2_host4_mgmt_ip</f>
        <v>Value Missing</v>
      </c>
    </row>
    <row r="219" spans="2:8" ht="20" customHeight="1" x14ac:dyDescent="0.2">
      <c r="B219" s="4" t="s">
        <v>216</v>
      </c>
      <c r="C219" s="8" t="str">
        <f>wld_az2_host5_fqdn</f>
        <v>Value Missing</v>
      </c>
      <c r="D219" s="8" t="str">
        <f>wld_az2_host5_hostname</f>
        <v>Value Missing</v>
      </c>
      <c r="E219" s="8" t="str">
        <f>wld_az2_host5_mgmt_ip</f>
        <v>Value Missing</v>
      </c>
    </row>
    <row r="220" spans="2:8" ht="20" customHeight="1" x14ac:dyDescent="0.2">
      <c r="B220" s="4" t="s">
        <v>218</v>
      </c>
      <c r="C220" s="8" t="str">
        <f>wld_az2_host6_fqdn</f>
        <v>Value Missing</v>
      </c>
      <c r="D220" s="8" t="str">
        <f>wld_az2_host6_hostname</f>
        <v>Value Missing</v>
      </c>
      <c r="E220" s="8" t="str">
        <f>wld_az2_host6_mgmt_ip</f>
        <v>Value Missing</v>
      </c>
    </row>
    <row r="221" spans="2:8" ht="20" customHeight="1" x14ac:dyDescent="0.2">
      <c r="B221" s="4" t="s">
        <v>220</v>
      </c>
      <c r="C221" s="8" t="str">
        <f>wld_az2_host7_fqdn</f>
        <v>Value Missing</v>
      </c>
      <c r="D221" s="8" t="str">
        <f>wld_az2_host7_hostname</f>
        <v>Value Missing</v>
      </c>
      <c r="E221" s="8" t="str">
        <f>wld_az2_host7_mgmt_ip</f>
        <v>Value Missing</v>
      </c>
    </row>
    <row r="222" spans="2:8" ht="20" customHeight="1" x14ac:dyDescent="0.2">
      <c r="B222" s="4" t="s">
        <v>222</v>
      </c>
      <c r="C222" s="8" t="str">
        <f>wld_az2_host8_fqdn</f>
        <v>Value Missing</v>
      </c>
      <c r="D222" s="8" t="str">
        <f>wld_az2_host8_hostname</f>
        <v>Value Missing</v>
      </c>
      <c r="E222" s="8" t="str">
        <f>wld_az2_host8_mgmt_ip</f>
        <v>Value Missing</v>
      </c>
    </row>
    <row r="223" spans="2:8" ht="20" customHeight="1" x14ac:dyDescent="0.2">
      <c r="B223" s="4" t="s">
        <v>224</v>
      </c>
      <c r="C223" s="8" t="str">
        <f>wld_az2_host9_fqdn</f>
        <v>Value Missing</v>
      </c>
      <c r="D223" s="8" t="str">
        <f>wld_az2_host9_hostname</f>
        <v>Value Missing</v>
      </c>
      <c r="E223" s="8" t="str">
        <f>wld_az2_host9_mgmt_ip</f>
        <v>Value Missing</v>
      </c>
    </row>
    <row r="224" spans="2:8" ht="20" customHeight="1" x14ac:dyDescent="0.2">
      <c r="B224" s="4" t="s">
        <v>226</v>
      </c>
      <c r="C224" s="8" t="str">
        <f>wld_az2_host10_fqdn</f>
        <v>Value Missing</v>
      </c>
      <c r="D224" s="8" t="str">
        <f>wld_az2_host10_hostname</f>
        <v>Value Missing</v>
      </c>
      <c r="E224" s="8" t="str">
        <f>wld_az2_host10_mgmt_ip</f>
        <v>Value Missing</v>
      </c>
    </row>
    <row r="225" spans="2:5" ht="20" customHeight="1" x14ac:dyDescent="0.2">
      <c r="B225" s="4" t="s">
        <v>228</v>
      </c>
      <c r="C225" s="8" t="str">
        <f>wld_az2_host11_fqdn</f>
        <v>Value Missing</v>
      </c>
      <c r="D225" s="8" t="str">
        <f>wld_az2_host11_hostname</f>
        <v>Value Missing</v>
      </c>
      <c r="E225" s="8" t="str">
        <f>wld_az2_host11_mgmt_ip</f>
        <v>Value Missing</v>
      </c>
    </row>
    <row r="226" spans="2:5" ht="20" customHeight="1" x14ac:dyDescent="0.2">
      <c r="B226" s="4" t="s">
        <v>230</v>
      </c>
      <c r="C226" s="8" t="str">
        <f>wld_az2_host12_fqdn</f>
        <v>Value Missing</v>
      </c>
      <c r="D226" s="8" t="str">
        <f>wld_az2_host12_hostname</f>
        <v>Value Missing</v>
      </c>
      <c r="E226" s="8" t="str">
        <f>wld_az2_host12_mgmt_ip</f>
        <v>Value Missing</v>
      </c>
    </row>
    <row r="227" spans="2:5" ht="20" customHeight="1" x14ac:dyDescent="0.2">
      <c r="B227" s="4" t="s">
        <v>232</v>
      </c>
      <c r="C227" s="8" t="str">
        <f>wld_az2_host13_fqdn</f>
        <v>Value Missing</v>
      </c>
      <c r="D227" s="8" t="str">
        <f>wld_az2_host13_hostname</f>
        <v>Value Missing</v>
      </c>
      <c r="E227" s="8" t="str">
        <f>wld_az2_host13_mgmt_ip</f>
        <v>Value Missing</v>
      </c>
    </row>
    <row r="228" spans="2:5" ht="20" customHeight="1" x14ac:dyDescent="0.2">
      <c r="B228" s="4" t="s">
        <v>234</v>
      </c>
      <c r="C228" s="8" t="str">
        <f>wld_az2_host14_fqdn</f>
        <v>Value Missing</v>
      </c>
      <c r="D228" s="8" t="str">
        <f>wld_az2_host14_hostname</f>
        <v>Value Missing</v>
      </c>
      <c r="E228" s="8" t="str">
        <f>wld_az2_host14_mgmt_ip</f>
        <v>Value Missing</v>
      </c>
    </row>
    <row r="229" spans="2:5" ht="20" customHeight="1" x14ac:dyDescent="0.2">
      <c r="B229" s="4" t="s">
        <v>236</v>
      </c>
      <c r="C229" s="8" t="str">
        <f>wld_az2_host15_fqdn</f>
        <v>Value Missing</v>
      </c>
      <c r="D229" s="8" t="str">
        <f>wld_az2_host15_hostname</f>
        <v>Value Missing</v>
      </c>
      <c r="E229" s="8" t="str">
        <f>wld_az2_host15_mgmt_ip</f>
        <v>Value Missing</v>
      </c>
    </row>
    <row r="230" spans="2:5" ht="20" customHeight="1" x14ac:dyDescent="0.2">
      <c r="B230" s="4" t="s">
        <v>238</v>
      </c>
      <c r="C230" s="8" t="str">
        <f>wld_az2_host16_fqdn</f>
        <v>Value Missing</v>
      </c>
      <c r="D230" s="8" t="str">
        <f>wld_az2_host16_hostname</f>
        <v>Value Missing</v>
      </c>
      <c r="E230" s="8" t="str">
        <f>wld_az2_host16_mgmt_ip</f>
        <v>Value Missing</v>
      </c>
    </row>
  </sheetData>
  <sheetProtection algorithmName="SHA-512" hashValue="EBK0zAAQsi3+iTR9RSlQ5yXmII7QD38qB9WYew70fPKZ1yl1dEM/MON2jvQJMPki6z4PqJX+2OnTYUMEBcygoQ==" saltValue="DUCLkFZdT8aEu187cViYIw==" spinCount="100000" sheet="1" objects="1" scenarios="1"/>
  <mergeCells count="30">
    <mergeCell ref="B64:H64"/>
    <mergeCell ref="B111:H111"/>
    <mergeCell ref="B110:H110"/>
    <mergeCell ref="B212:H212"/>
    <mergeCell ref="B83:H83"/>
    <mergeCell ref="B130:H130"/>
    <mergeCell ref="B182:H182"/>
    <mergeCell ref="B213:H213"/>
    <mergeCell ref="B202:H202"/>
    <mergeCell ref="B84:E84"/>
    <mergeCell ref="B183:H183"/>
    <mergeCell ref="B157:H157"/>
    <mergeCell ref="B158:H158"/>
    <mergeCell ref="B172:H172"/>
    <mergeCell ref="B146:H146"/>
    <mergeCell ref="B147:H147"/>
    <mergeCell ref="B171:H171"/>
    <mergeCell ref="B132:H132"/>
    <mergeCell ref="B133:H133"/>
    <mergeCell ref="B8:H8"/>
    <mergeCell ref="B9:H9"/>
    <mergeCell ref="B22:H22"/>
    <mergeCell ref="B23:H23"/>
    <mergeCell ref="B47:H47"/>
    <mergeCell ref="B58:H58"/>
    <mergeCell ref="B59:H59"/>
    <mergeCell ref="B63:H63"/>
    <mergeCell ref="B33:H33"/>
    <mergeCell ref="B34:H34"/>
    <mergeCell ref="B48:H48"/>
  </mergeCells>
  <phoneticPr fontId="9" type="noConversion"/>
  <conditionalFormatting sqref="C25:C31">
    <cfRule type="expression" dxfId="133" priority="31">
      <formula>mgmt_vns_chosen&lt;&gt;"Centralized Connectivity"</formula>
    </cfRule>
    <cfRule type="expression" dxfId="132" priority="32">
      <formula>OR((mgmt_domain_result="Excluded"),(mgmt_vns_result="Excluded"))</formula>
    </cfRule>
    <cfRule type="containsBlanks" dxfId="130" priority="34">
      <formula>LEN(TRIM(C25))=0</formula>
    </cfRule>
    <cfRule type="notContainsBlanks" dxfId="129" priority="35">
      <formula>LEN(TRIM(C25))&gt;0</formula>
    </cfRule>
  </conditionalFormatting>
  <conditionalFormatting sqref="C50:C56">
    <cfRule type="notContainsBlanks" dxfId="126" priority="24">
      <formula>LEN(TRIM(C50))&gt;0</formula>
    </cfRule>
  </conditionalFormatting>
  <conditionalFormatting sqref="C149:C155">
    <cfRule type="notContainsBlanks" dxfId="122" priority="6">
      <formula>LEN(TRIM(C149))&gt;0</formula>
    </cfRule>
  </conditionalFormatting>
  <conditionalFormatting sqref="C174:C180">
    <cfRule type="notContainsBlanks" dxfId="119" priority="3">
      <formula>LEN(TRIM(C174))&gt;0</formula>
    </cfRule>
  </conditionalFormatting>
  <conditionalFormatting sqref="C86:E108 C204:E210">
    <cfRule type="notContainsBlanks" dxfId="113" priority="81">
      <formula>LEN(TRIM(C86))&gt;0</formula>
    </cfRule>
    <cfRule type="containsBlanks" dxfId="112" priority="82">
      <formula>LEN(TRIM(C86))=0</formula>
    </cfRule>
  </conditionalFormatting>
  <conditionalFormatting sqref="C11:H20 C36:H45 C135:H144 C160:H169">
    <cfRule type="notContainsBlanks" dxfId="102" priority="110">
      <formula>LEN(TRIM(C11))&gt;0</formula>
    </cfRule>
    <cfRule type="containsBlanks" dxfId="101" priority="111">
      <formula>LEN(TRIM(C11))=0</formula>
    </cfRule>
  </conditionalFormatting>
  <conditionalFormatting sqref="C61:H61">
    <cfRule type="notContainsBlanks" dxfId="98" priority="10">
      <formula>LEN(TRIM(C61))&gt;0</formula>
    </cfRule>
    <cfRule type="containsBlanks" dxfId="97" priority="11">
      <formula>LEN(TRIM(C61))=0</formula>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33" operator="containsText" id="{2FFE3604-F9BF-B04B-AC9F-7A822C75374B}">
            <xm:f>NOT(ISERROR(SEARCH("Value Missing",C25)))</xm:f>
            <xm:f>"Value Missing"</xm:f>
            <x14:dxf>
              <font>
                <color theme="1"/>
              </font>
              <fill>
                <patternFill>
                  <bgColor rgb="FFFFBE29"/>
                </patternFill>
              </fill>
            </x14:dxf>
          </x14:cfRule>
          <xm:sqref>C25:C31</xm:sqref>
        </x14:conditionalFormatting>
        <x14:conditionalFormatting xmlns:xm="http://schemas.microsoft.com/office/excel/2006/main">
          <x14:cfRule type="containsText" priority="7" operator="containsText" id="{B02671E1-BCA0-504D-ADF6-B983BA71A0DD}">
            <xm:f>NOT(ISERROR(SEARCH("Not Required",C50)))</xm:f>
            <xm:f>"Not Required"</xm:f>
            <x14:dxf>
              <font>
                <color theme="0"/>
              </font>
              <fill>
                <patternFill>
                  <bgColor rgb="FF505F69"/>
                </patternFill>
              </fill>
            </x14:dxf>
          </x14:cfRule>
          <x14:cfRule type="containsText" priority="20" stopIfTrue="1" operator="containsText" id="{7806C691-691A-1847-9DAF-D5BA15D4CC6E}">
            <xm:f>NOT(ISERROR(SEARCH("Value Missing",C50)))</xm:f>
            <xm:f>"Value Missing"</xm:f>
            <x14:dxf>
              <font>
                <color theme="1"/>
              </font>
              <fill>
                <patternFill>
                  <bgColor rgb="FFFFBE29"/>
                </patternFill>
              </fill>
            </x14:dxf>
          </x14:cfRule>
          <xm:sqref>C50:C56</xm:sqref>
        </x14:conditionalFormatting>
        <x14:conditionalFormatting xmlns:xm="http://schemas.microsoft.com/office/excel/2006/main">
          <x14:cfRule type="containsText" priority="58" operator="containsText" id="{A35C960E-EA48-8642-898E-0A3D09C894C3}">
            <xm:f>NOT(ISERROR(SEARCH("Value Missing",C113)))</xm:f>
            <xm:f>"Value Missing"</xm:f>
            <x14:dxf>
              <font>
                <color theme="1"/>
              </font>
              <fill>
                <patternFill>
                  <bgColor rgb="FFFFBD29"/>
                </patternFill>
              </fill>
            </x14:dxf>
          </x14:cfRule>
          <xm:sqref>C149:C155 C174:C180 C113:E128 C132:E133 C135:E144 C146:E147 C157:E158 C160:E169 C171:E172</xm:sqref>
        </x14:conditionalFormatting>
        <x14:conditionalFormatting xmlns:xm="http://schemas.microsoft.com/office/excel/2006/main">
          <x14:cfRule type="containsText" priority="4" operator="containsText" id="{BE001C28-9B34-0646-BC9B-A4E854AD2567}">
            <xm:f>NOT(ISERROR(SEARCH("Not Required",C149)))</xm:f>
            <xm:f>"Not Required"</xm:f>
            <x14:dxf>
              <font>
                <color theme="0"/>
              </font>
              <fill>
                <patternFill>
                  <bgColor rgb="FF505F69"/>
                </patternFill>
              </fill>
            </x14:dxf>
          </x14:cfRule>
          <x14:cfRule type="containsText" priority="5" stopIfTrue="1" operator="containsText" id="{E93A3172-5505-404F-BA1C-B910953B1F95}">
            <xm:f>NOT(ISERROR(SEARCH("Value Missing",C149)))</xm:f>
            <xm:f>"Value Missing"</xm:f>
            <x14:dxf>
              <font>
                <color theme="1"/>
              </font>
              <fill>
                <patternFill>
                  <bgColor rgb="FFFFBE29"/>
                </patternFill>
              </fill>
            </x14:dxf>
          </x14:cfRule>
          <xm:sqref>C149:C155</xm:sqref>
        </x14:conditionalFormatting>
        <x14:conditionalFormatting xmlns:xm="http://schemas.microsoft.com/office/excel/2006/main">
          <x14:cfRule type="containsText" priority="1" operator="containsText" id="{96C1964B-0A08-E14E-BBC1-015CF0F93365}">
            <xm:f>NOT(ISERROR(SEARCH("Not Required",C174)))</xm:f>
            <xm:f>"Not Required"</xm:f>
            <x14:dxf>
              <font>
                <color theme="0"/>
              </font>
              <fill>
                <patternFill>
                  <bgColor rgb="FF505F69"/>
                </patternFill>
              </fill>
            </x14:dxf>
          </x14:cfRule>
          <x14:cfRule type="containsText" priority="2" stopIfTrue="1" operator="containsText" id="{6941E7B2-F462-124A-B17C-D1DC29906903}">
            <xm:f>NOT(ISERROR(SEARCH("Value Missing",C174)))</xm:f>
            <xm:f>"Value Missing"</xm:f>
            <x14:dxf>
              <font>
                <color theme="1"/>
              </font>
              <fill>
                <patternFill>
                  <bgColor rgb="FFFFBE29"/>
                </patternFill>
              </fill>
            </x14:dxf>
          </x14:cfRule>
          <xm:sqref>C174:C180</xm:sqref>
        </x14:conditionalFormatting>
        <x14:conditionalFormatting xmlns:xm="http://schemas.microsoft.com/office/excel/2006/main">
          <x14:cfRule type="containsText" priority="67" operator="containsText" id="{EDF2FEC1-E916-CB46-94D2-53CDA65CB16B}">
            <xm:f>NOT(ISERROR(SEARCH("Value Missing",C66)))</xm:f>
            <xm:f>"Value Missing"</xm:f>
            <x14:dxf>
              <font>
                <color theme="1"/>
              </font>
              <fill>
                <patternFill>
                  <bgColor rgb="FFFFBD29"/>
                </patternFill>
              </fill>
            </x14:dxf>
          </x14:cfRule>
          <x14:cfRule type="containsText" priority="68" operator="containsText" id="{79426EED-1EB3-8B48-8A54-66E7511F1F03}">
            <xm:f>NOT(ISERROR(SEARCH("Not Required",C66)))</xm:f>
            <xm:f>"Not Required"</xm:f>
            <x14:dxf>
              <font>
                <color theme="0"/>
              </font>
              <fill>
                <patternFill>
                  <bgColor rgb="FF506069"/>
                </patternFill>
              </fill>
            </x14:dxf>
          </x14:cfRule>
          <x14:cfRule type="notContainsText" priority="69" operator="notContains" id="{571FEF58-1F03-6749-A09A-60EF644BCEA9}">
            <xm:f>ISERROR(SEARCH("Value Missing",C66))</xm:f>
            <xm:f>"Value Missing"</xm:f>
            <x14:dxf>
              <font>
                <color theme="1"/>
              </font>
              <fill>
                <patternFill>
                  <bgColor rgb="FFEFFDE3"/>
                </patternFill>
              </fill>
            </x14:dxf>
          </x14:cfRule>
          <xm:sqref>C66:E81</xm:sqref>
        </x14:conditionalFormatting>
        <x14:conditionalFormatting xmlns:xm="http://schemas.microsoft.com/office/excel/2006/main">
          <x14:cfRule type="containsText" priority="79" operator="containsText" id="{80157483-73F8-014E-89C4-4C1347AFE6E6}">
            <xm:f>NOT(ISERROR(SEARCH("Not Required",C86)))</xm:f>
            <xm:f>"Not Required"</xm:f>
            <x14:dxf>
              <font>
                <color theme="0"/>
              </font>
              <fill>
                <patternFill>
                  <bgColor rgb="FF505F69"/>
                </patternFill>
              </fill>
            </x14:dxf>
          </x14:cfRule>
          <x14:cfRule type="containsText" priority="80" stopIfTrue="1" operator="containsText" id="{046BE289-BE91-8E44-B356-F624FE7885A9}">
            <xm:f>NOT(ISERROR(SEARCH("Value Missing",C86)))</xm:f>
            <xm:f>"Value Missing"</xm:f>
            <x14:dxf>
              <font>
                <color rgb="FF0E223A"/>
              </font>
              <fill>
                <patternFill>
                  <bgColor rgb="FFFFBE29"/>
                </patternFill>
              </fill>
            </x14:dxf>
          </x14:cfRule>
          <xm:sqref>C86:E108 C204:E210</xm:sqref>
        </x14:conditionalFormatting>
        <x14:conditionalFormatting xmlns:xm="http://schemas.microsoft.com/office/excel/2006/main">
          <x14:cfRule type="containsText" priority="59" operator="containsText" id="{41044BF3-70AA-724D-88C1-038A81258EBF}">
            <xm:f>NOT(ISERROR(SEARCH("Not Required",C113)))</xm:f>
            <xm:f>"Not Required"</xm:f>
            <x14:dxf>
              <font>
                <color theme="0"/>
              </font>
              <fill>
                <patternFill>
                  <bgColor rgb="FF506069"/>
                </patternFill>
              </fill>
            </x14:dxf>
          </x14:cfRule>
          <x14:cfRule type="notContainsText" priority="60" operator="notContains" id="{C62662A5-DD53-494B-B8FB-4DCA2B77A0D8}">
            <xm:f>ISERROR(SEARCH("Value Missing",C113))</xm:f>
            <xm:f>"Value Missing"</xm:f>
            <x14:dxf>
              <font>
                <color theme="1"/>
              </font>
              <fill>
                <patternFill>
                  <bgColor rgb="FFEFFDE3"/>
                </patternFill>
              </fill>
            </x14:dxf>
          </x14:cfRule>
          <xm:sqref>C113:E128 C132:E133 C135:E144 C146:E147 C149:C155 C157:E158 C160:E169 C171:E172 C174:C180</xm:sqref>
        </x14:conditionalFormatting>
        <x14:conditionalFormatting xmlns:xm="http://schemas.microsoft.com/office/excel/2006/main">
          <x14:cfRule type="containsText" priority="49" operator="containsText" id="{16B6C646-FEC4-F545-847B-ADB830B00EF3}">
            <xm:f>NOT(ISERROR(SEARCH("Value Missing",C185)))</xm:f>
            <xm:f>"Value Missing"</xm:f>
            <x14:dxf>
              <font>
                <color theme="1"/>
              </font>
              <fill>
                <patternFill>
                  <bgColor rgb="FFFFBD29"/>
                </patternFill>
              </fill>
            </x14:dxf>
          </x14:cfRule>
          <x14:cfRule type="containsText" priority="50" operator="containsText" id="{ACE38C15-1344-704F-BC33-600823142192}">
            <xm:f>NOT(ISERROR(SEARCH("Not Required",C185)))</xm:f>
            <xm:f>"Not Required"</xm:f>
            <x14:dxf>
              <font>
                <color theme="0"/>
              </font>
              <fill>
                <patternFill>
                  <bgColor rgb="FF506069"/>
                </patternFill>
              </fill>
            </x14:dxf>
          </x14:cfRule>
          <x14:cfRule type="notContainsText" priority="51" operator="notContains" id="{0E8FF85A-7A70-9B48-94F8-88A51242BDBB}">
            <xm:f>ISERROR(SEARCH("Value Missing",C185))</xm:f>
            <xm:f>"Value Missing"</xm:f>
            <x14:dxf>
              <font>
                <color theme="1"/>
              </font>
              <fill>
                <patternFill>
                  <bgColor rgb="FFEFFDE3"/>
                </patternFill>
              </fill>
            </x14:dxf>
          </x14:cfRule>
          <xm:sqref>C185:E200</xm:sqref>
        </x14:conditionalFormatting>
        <x14:conditionalFormatting xmlns:xm="http://schemas.microsoft.com/office/excel/2006/main">
          <x14:cfRule type="containsText" priority="40" operator="containsText" id="{90B129F5-3CE9-3E4E-9765-4AAF9F9B34C8}">
            <xm:f>NOT(ISERROR(SEARCH("Value Missing",C215)))</xm:f>
            <xm:f>"Value Missing"</xm:f>
            <x14:dxf>
              <font>
                <color theme="1"/>
              </font>
              <fill>
                <patternFill>
                  <bgColor rgb="FFFFBD29"/>
                </patternFill>
              </fill>
            </x14:dxf>
          </x14:cfRule>
          <x14:cfRule type="containsText" priority="41" operator="containsText" id="{B56F3191-42D5-4547-AFA1-8DF9498EF5C9}">
            <xm:f>NOT(ISERROR(SEARCH("Not Required",C215)))</xm:f>
            <xm:f>"Not Required"</xm:f>
            <x14:dxf>
              <font>
                <color theme="0"/>
              </font>
              <fill>
                <patternFill>
                  <bgColor rgb="FF506069"/>
                </patternFill>
              </fill>
            </x14:dxf>
          </x14:cfRule>
          <x14:cfRule type="notContainsText" priority="42" operator="notContains" id="{5306F36E-1C79-1442-9798-85FAB0D35165}">
            <xm:f>ISERROR(SEARCH("Value Missing",C215))</xm:f>
            <xm:f>"Value Missing"</xm:f>
            <x14:dxf>
              <font>
                <color theme="1"/>
              </font>
              <fill>
                <patternFill>
                  <bgColor rgb="FFEFFDE3"/>
                </patternFill>
              </fill>
            </x14:dxf>
          </x14:cfRule>
          <xm:sqref>C215:E230</xm:sqref>
        </x14:conditionalFormatting>
        <x14:conditionalFormatting xmlns:xm="http://schemas.microsoft.com/office/excel/2006/main">
          <x14:cfRule type="containsText" priority="109" stopIfTrue="1" operator="containsText" id="{0EBE07C1-072B-6343-90B1-9C2E9B4702CB}">
            <xm:f>NOT(ISERROR(SEARCH("Value Missing",C11)))</xm:f>
            <xm:f>"Value Missing"</xm:f>
            <x14:dxf>
              <font>
                <color rgb="FF0E223A"/>
              </font>
              <fill>
                <patternFill>
                  <bgColor rgb="FFFFBE29"/>
                </patternFill>
              </fill>
            </x14:dxf>
          </x14:cfRule>
          <xm:sqref>C11:H20 C36:H45 C135:H144 C160:H169</xm:sqref>
        </x14:conditionalFormatting>
        <x14:conditionalFormatting xmlns:xm="http://schemas.microsoft.com/office/excel/2006/main">
          <x14:cfRule type="containsText" priority="8" operator="containsText" id="{A159D94C-199C-144B-AEC9-75590D7EE259}">
            <xm:f>NOT(ISERROR(SEARCH("Not Required",C61)))</xm:f>
            <xm:f>"Not Required"</xm:f>
            <x14:dxf>
              <font>
                <color theme="0"/>
              </font>
              <fill>
                <patternFill>
                  <bgColor rgb="FF505F69"/>
                </patternFill>
              </fill>
            </x14:dxf>
          </x14:cfRule>
          <x14:cfRule type="containsText" priority="9" stopIfTrue="1" operator="containsText" id="{333ADC62-B758-014B-8A72-A2F8E3FF5675}">
            <xm:f>NOT(ISERROR(SEARCH("Value Missing",C61)))</xm:f>
            <xm:f>"Value Missing"</xm:f>
            <x14:dxf>
              <font>
                <color rgb="FF0E223A"/>
              </font>
              <fill>
                <patternFill>
                  <bgColor rgb="FFFFBE29"/>
                </patternFill>
              </fill>
            </x14:dxf>
          </x14:cfRule>
          <xm:sqref>C61:H61</xm:sqref>
        </x14:conditionalFormatting>
        <x14:conditionalFormatting xmlns:xm="http://schemas.microsoft.com/office/excel/2006/main">
          <x14:cfRule type="containsText" priority="107" operator="containsText" id="{BEE524AA-4639-0940-A7BD-2B2FC3FF2709}">
            <xm:f>NOT(ISERROR(SEARCH("Not Required",C11)))</xm:f>
            <xm:f>"Not Required"</xm:f>
            <x14:dxf>
              <font>
                <color theme="0"/>
              </font>
              <fill>
                <patternFill>
                  <bgColor rgb="FF505F69"/>
                </patternFill>
              </fill>
            </x14:dxf>
          </x14:cfRule>
          <xm:sqref>C135:H144 C160:H169 C11:H20 C36:H45</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138FB-C469-F441-8BEF-2334A930E7C2}">
  <sheetPr codeName="Sheet1"/>
  <dimension ref="A1:F15"/>
  <sheetViews>
    <sheetView showGridLines="0" workbookViewId="0">
      <pane ySplit="4" topLeftCell="A5" activePane="bottomLeft" state="frozen"/>
      <selection pane="bottomLeft" activeCell="D9" sqref="D9:E9"/>
    </sheetView>
  </sheetViews>
  <sheetFormatPr baseColWidth="10" defaultRowHeight="16" x14ac:dyDescent="0.2"/>
  <cols>
    <col min="1" max="1" width="2.83203125" customWidth="1"/>
    <col min="2" max="2" width="14.1640625" customWidth="1"/>
    <col min="3" max="3" width="19.33203125" customWidth="1"/>
    <col min="4" max="4" width="75.83203125" customWidth="1"/>
    <col min="5" max="5" width="151.83203125" customWidth="1"/>
  </cols>
  <sheetData>
    <row r="1" spans="1:6" x14ac:dyDescent="0.2">
      <c r="A1" s="148"/>
      <c r="B1" s="148"/>
      <c r="C1" s="148"/>
      <c r="D1" s="148"/>
      <c r="E1" s="148"/>
      <c r="F1" s="148"/>
    </row>
    <row r="2" spans="1:6" ht="54" customHeight="1" x14ac:dyDescent="0.2">
      <c r="A2" s="294"/>
      <c r="B2" s="663" t="s">
        <v>2908</v>
      </c>
      <c r="C2" s="664"/>
      <c r="D2" s="664"/>
      <c r="E2" s="665"/>
      <c r="F2" s="148"/>
    </row>
    <row r="3" spans="1:6" x14ac:dyDescent="0.2">
      <c r="A3" s="295"/>
      <c r="B3" s="550" t="s">
        <v>1</v>
      </c>
      <c r="C3" s="551"/>
      <c r="D3" s="551"/>
      <c r="E3" s="662"/>
      <c r="F3" s="296"/>
    </row>
    <row r="4" spans="1:6" x14ac:dyDescent="0.2">
      <c r="A4" s="148"/>
      <c r="B4" s="148"/>
      <c r="C4" s="148"/>
      <c r="D4" s="148"/>
      <c r="E4" s="148"/>
      <c r="F4" s="148"/>
    </row>
    <row r="6" spans="1:6" ht="34" customHeight="1" x14ac:dyDescent="0.2">
      <c r="B6" s="427" t="s">
        <v>2959</v>
      </c>
      <c r="C6" s="428"/>
      <c r="D6" s="428"/>
      <c r="E6" s="429"/>
    </row>
    <row r="7" spans="1:6" x14ac:dyDescent="0.2">
      <c r="B7" s="362" t="s">
        <v>189</v>
      </c>
      <c r="C7" s="363" t="s">
        <v>2960</v>
      </c>
      <c r="D7" s="422" t="s">
        <v>2961</v>
      </c>
      <c r="E7" s="423"/>
    </row>
    <row r="8" spans="1:6" ht="20" customHeight="1" x14ac:dyDescent="0.2">
      <c r="B8" s="120" t="s">
        <v>4203</v>
      </c>
      <c r="C8" s="120" t="s">
        <v>4202</v>
      </c>
      <c r="D8" s="667" t="s">
        <v>4204</v>
      </c>
      <c r="E8" s="668"/>
    </row>
    <row r="9" spans="1:6" ht="127" customHeight="1" x14ac:dyDescent="0.2">
      <c r="B9" s="120" t="s">
        <v>4196</v>
      </c>
      <c r="C9" s="120" t="s">
        <v>4197</v>
      </c>
      <c r="D9" s="667" t="s">
        <v>4201</v>
      </c>
      <c r="E9" s="668"/>
    </row>
    <row r="10" spans="1:6" ht="42" customHeight="1" x14ac:dyDescent="0.2">
      <c r="B10" s="120" t="s">
        <v>4138</v>
      </c>
      <c r="C10" s="120" t="s">
        <v>4159</v>
      </c>
      <c r="D10" s="667" t="s">
        <v>4160</v>
      </c>
      <c r="E10" s="668"/>
    </row>
    <row r="11" spans="1:6" ht="20" customHeight="1" x14ac:dyDescent="0.2">
      <c r="B11" s="373" t="s">
        <v>3971</v>
      </c>
      <c r="C11" s="415" t="s">
        <v>3972</v>
      </c>
      <c r="D11" s="671" t="s">
        <v>2962</v>
      </c>
      <c r="E11" s="672"/>
    </row>
    <row r="13" spans="1:6" ht="34" customHeight="1" x14ac:dyDescent="0.2">
      <c r="B13" s="427" t="s">
        <v>21</v>
      </c>
      <c r="C13" s="428"/>
      <c r="D13" s="428"/>
      <c r="E13" s="429"/>
    </row>
    <row r="14" spans="1:6" ht="20" customHeight="1" x14ac:dyDescent="0.2">
      <c r="B14" s="421" t="s">
        <v>2963</v>
      </c>
      <c r="C14" s="422"/>
      <c r="D14" s="422"/>
      <c r="E14" s="423"/>
    </row>
    <row r="15" spans="1:6" ht="20" customHeight="1" x14ac:dyDescent="0.2">
      <c r="B15" s="669" t="s">
        <v>2964</v>
      </c>
      <c r="C15" s="670"/>
      <c r="D15" s="670"/>
      <c r="E15" s="668"/>
    </row>
  </sheetData>
  <sheetProtection algorithmName="SHA-512" hashValue="xRs4IybTqGD+d8VF0ThoD1yvCNhiUHU7XgtrzSQED/jFq87cKOsqhpXaHJ4rRxyef+TiFxoqvvmWgAWshpJAtQ==" saltValue="/LegZ6yv4nliy3csXoatNg==" spinCount="100000" sheet="1" scenarios="1" selectLockedCells="1" selectUnlockedCells="1"/>
  <mergeCells count="11">
    <mergeCell ref="D10:E10"/>
    <mergeCell ref="B13:E13"/>
    <mergeCell ref="B14:E14"/>
    <mergeCell ref="B15:E15"/>
    <mergeCell ref="B2:E2"/>
    <mergeCell ref="B3:E3"/>
    <mergeCell ref="B6:E6"/>
    <mergeCell ref="D7:E7"/>
    <mergeCell ref="D11:E11"/>
    <mergeCell ref="D9:E9"/>
    <mergeCell ref="D8:E8"/>
  </mergeCells>
  <pageMargins left="0.7" right="0.7" top="0.75" bottom="0.75" header="0.3" footer="0.3"/>
  <pageSetup paperSize="9" orientation="portrait" horizontalDpi="0" verticalDpi="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CD937-C493-3C41-B7F5-E010B4442F4B}">
  <sheetPr codeName="Sheet36">
    <tabColor theme="4" tint="0.39997558519241921"/>
  </sheetPr>
  <dimension ref="A1:F112"/>
  <sheetViews>
    <sheetView showGridLines="0" zoomScaleNormal="100" workbookViewId="0">
      <pane ySplit="5" topLeftCell="A6" activePane="bottomLeft" state="frozen"/>
      <selection pane="bottomLeft" activeCell="C112" sqref="C112"/>
    </sheetView>
  </sheetViews>
  <sheetFormatPr baseColWidth="10" defaultColWidth="11" defaultRowHeight="16" x14ac:dyDescent="0.2"/>
  <cols>
    <col min="1" max="1" width="2.83203125" style="25" customWidth="1"/>
    <col min="2" max="2" width="63.83203125" style="25" customWidth="1"/>
    <col min="3" max="4" width="80.83203125" style="25" customWidth="1"/>
    <col min="5" max="5" width="60.83203125" style="25" customWidth="1"/>
    <col min="6" max="6" width="2.83203125" style="25" customWidth="1"/>
    <col min="7" max="9" width="11" style="25" customWidth="1"/>
    <col min="10" max="16384" width="11" style="25"/>
  </cols>
  <sheetData>
    <row r="1" spans="1:6" s="7" customFormat="1" ht="16" customHeight="1" x14ac:dyDescent="0.2">
      <c r="A1" s="52"/>
    </row>
    <row r="2" spans="1:6" s="7" customFormat="1" ht="54" customHeight="1" x14ac:dyDescent="0.2">
      <c r="B2" s="676" t="s">
        <v>2965</v>
      </c>
      <c r="C2" s="677"/>
      <c r="D2" s="677"/>
      <c r="E2" s="678"/>
    </row>
    <row r="3" spans="1:6" s="7" customFormat="1" ht="20" customHeight="1" x14ac:dyDescent="0.2">
      <c r="B3" s="658" t="s">
        <v>2966</v>
      </c>
      <c r="C3" s="659"/>
      <c r="D3" s="659"/>
      <c r="E3" s="660"/>
    </row>
    <row r="5" spans="1:6" s="7" customFormat="1" x14ac:dyDescent="0.2">
      <c r="D5" s="256"/>
      <c r="E5" s="53"/>
      <c r="F5" s="53"/>
    </row>
    <row r="7" spans="1:6" s="2" customFormat="1" ht="34" customHeight="1" x14ac:dyDescent="0.2">
      <c r="B7" s="569" t="s">
        <v>2967</v>
      </c>
      <c r="C7" s="570"/>
      <c r="D7" s="570"/>
      <c r="E7" s="571"/>
    </row>
    <row r="8" spans="1:6" s="2" customFormat="1" ht="20" customHeight="1" x14ac:dyDescent="0.2">
      <c r="B8" s="223" t="s">
        <v>254</v>
      </c>
      <c r="C8" s="223" t="s">
        <v>255</v>
      </c>
      <c r="D8" s="224" t="s">
        <v>20</v>
      </c>
      <c r="E8" s="223" t="s">
        <v>21</v>
      </c>
    </row>
    <row r="9" spans="1:6" s="2" customFormat="1" ht="20" customHeight="1" x14ac:dyDescent="0.2">
      <c r="B9" s="4" t="s">
        <v>1538</v>
      </c>
      <c r="C9" s="65" t="s">
        <v>2968</v>
      </c>
      <c r="D9" s="66"/>
      <c r="E9" s="8"/>
    </row>
    <row r="10" spans="1:6" s="2" customFormat="1" ht="20" customHeight="1" x14ac:dyDescent="0.2">
      <c r="B10" s="4" t="s">
        <v>1540</v>
      </c>
      <c r="E10" s="8"/>
    </row>
    <row r="11" spans="1:6" s="2" customFormat="1" ht="20" customHeight="1" x14ac:dyDescent="0.2">
      <c r="B11" s="4" t="s">
        <v>1544</v>
      </c>
      <c r="E11" s="8"/>
    </row>
    <row r="12" spans="1:6" s="2" customFormat="1" ht="20" customHeight="1" x14ac:dyDescent="0.2">
      <c r="B12" s="4" t="s">
        <v>1548</v>
      </c>
      <c r="E12" s="8"/>
    </row>
    <row r="13" spans="1:6" s="2" customFormat="1" ht="20" customHeight="1" x14ac:dyDescent="0.2">
      <c r="B13" s="645" t="s">
        <v>2969</v>
      </c>
      <c r="C13" s="646"/>
      <c r="D13" s="646"/>
      <c r="E13" s="647"/>
    </row>
    <row r="14" spans="1:6" s="2" customFormat="1" ht="20" customHeight="1" x14ac:dyDescent="0.2">
      <c r="B14" s="200" t="s">
        <v>254</v>
      </c>
      <c r="C14" s="200" t="s">
        <v>255</v>
      </c>
      <c r="D14" s="201" t="s">
        <v>20</v>
      </c>
      <c r="E14" s="200" t="s">
        <v>21</v>
      </c>
    </row>
    <row r="15" spans="1:6" s="2" customFormat="1" ht="20" customHeight="1" x14ac:dyDescent="0.2">
      <c r="B15" s="4" t="s">
        <v>1716</v>
      </c>
      <c r="C15" s="154" t="str">
        <f>CONCATENATE(this_instance,"-w0",wld_domain_number_chosen,"-ns01")</f>
        <v>sfo-w01-ns01</v>
      </c>
      <c r="D15" s="66"/>
      <c r="E15" s="8"/>
    </row>
    <row r="16" spans="1:6" s="2" customFormat="1" ht="20" customHeight="1" x14ac:dyDescent="0.2">
      <c r="B16" s="4" t="s">
        <v>2970</v>
      </c>
      <c r="E16" s="8"/>
    </row>
    <row r="17" spans="2:5" s="2" customFormat="1" ht="34" customHeight="1" x14ac:dyDescent="0.2">
      <c r="B17" s="569" t="s">
        <v>2971</v>
      </c>
      <c r="C17" s="570"/>
      <c r="D17" s="570"/>
      <c r="E17" s="571"/>
    </row>
    <row r="18" spans="2:5" s="2" customFormat="1" ht="20" customHeight="1" x14ac:dyDescent="0.2">
      <c r="B18" s="223" t="s">
        <v>254</v>
      </c>
      <c r="C18" s="223" t="s">
        <v>255</v>
      </c>
      <c r="D18" s="224" t="s">
        <v>20</v>
      </c>
      <c r="E18" s="223" t="s">
        <v>21</v>
      </c>
    </row>
    <row r="19" spans="2:5" s="2" customFormat="1" ht="20" customHeight="1" x14ac:dyDescent="0.2">
      <c r="B19" s="4" t="s">
        <v>2972</v>
      </c>
      <c r="C19" s="154" t="str">
        <f>CONCATENATE(this_instance,"-",workload_descriptor,"-seg01-tanzu")</f>
        <v>sfo-w01-seg01-tanzu</v>
      </c>
      <c r="D19" s="66"/>
      <c r="E19" s="8"/>
    </row>
    <row r="20" spans="2:5" s="2" customFormat="1" ht="20" customHeight="1" x14ac:dyDescent="0.2">
      <c r="B20" s="4" t="s">
        <v>1442</v>
      </c>
      <c r="C20" s="154" t="str">
        <f>IF(mgmt_consolidated_result="Included",CONCATENATE(sample_mgmt_tier0_name,"-prefixlist"),CONCATENATE(sample_wld_tier0_name,"-prefixlist"))</f>
        <v>sfo-w01-ec01-t0-gw01-prefixlist</v>
      </c>
      <c r="D20" s="66"/>
      <c r="E20" s="8"/>
    </row>
    <row r="21" spans="2:5" s="2" customFormat="1" ht="20" customHeight="1" x14ac:dyDescent="0.2">
      <c r="B21" s="4" t="s">
        <v>1447</v>
      </c>
      <c r="C21" s="154" t="str">
        <f>IF(mgmt_consolidated_result="Included",CONCATENATE(sample_mgmt_tier0_name,"-routemap"),CONCATENATE(sample_wld_tier0_name,"-routemap"))</f>
        <v>sfo-w01-ec01-t0-gw01-routemap</v>
      </c>
      <c r="D21" s="66"/>
      <c r="E21" s="8"/>
    </row>
    <row r="22" spans="2:5" s="2" customFormat="1" ht="20" customHeight="1" x14ac:dyDescent="0.2">
      <c r="B22" s="4" t="s">
        <v>1462</v>
      </c>
      <c r="C22" s="154" t="s">
        <v>2973</v>
      </c>
      <c r="D22" s="66"/>
      <c r="E22" s="8"/>
    </row>
    <row r="23" spans="2:5" s="2" customFormat="1" ht="20" customHeight="1" x14ac:dyDescent="0.2">
      <c r="B23" s="4" t="s">
        <v>1465</v>
      </c>
      <c r="C23" s="154" t="s">
        <v>2974</v>
      </c>
      <c r="D23" s="66"/>
      <c r="E23" s="8"/>
    </row>
    <row r="24" spans="2:5" s="2" customFormat="1" ht="20" customHeight="1" x14ac:dyDescent="0.2">
      <c r="B24" s="4" t="s">
        <v>1468</v>
      </c>
      <c r="C24" s="173"/>
      <c r="E24" s="8"/>
    </row>
    <row r="25" spans="2:5" s="2" customFormat="1" ht="20" customHeight="1" x14ac:dyDescent="0.2">
      <c r="B25" s="4" t="s">
        <v>1473</v>
      </c>
      <c r="C25" s="173"/>
      <c r="E25" s="8"/>
    </row>
    <row r="26" spans="2:5" s="2" customFormat="1" ht="20" customHeight="1" x14ac:dyDescent="0.2">
      <c r="B26" s="4" t="s">
        <v>2975</v>
      </c>
      <c r="C26" s="154" t="s">
        <v>2976</v>
      </c>
      <c r="D26" s="66"/>
      <c r="E26" s="8"/>
    </row>
    <row r="27" spans="2:5" s="2" customFormat="1" ht="20" customHeight="1" x14ac:dyDescent="0.2">
      <c r="B27" s="4" t="s">
        <v>2977</v>
      </c>
      <c r="C27" s="154" t="s">
        <v>2978</v>
      </c>
      <c r="D27" s="66"/>
      <c r="E27" s="8"/>
    </row>
    <row r="28" spans="2:5" s="2" customFormat="1" ht="20" customHeight="1" x14ac:dyDescent="0.2">
      <c r="B28" s="6"/>
    </row>
    <row r="29" spans="2:5" s="2" customFormat="1" ht="20" customHeight="1" x14ac:dyDescent="0.2">
      <c r="B29" s="6"/>
    </row>
    <row r="30" spans="2:5" s="2" customFormat="1" ht="20" customHeight="1" x14ac:dyDescent="0.2">
      <c r="B30" s="6"/>
    </row>
    <row r="31" spans="2:5" s="2" customFormat="1" ht="20" customHeight="1" x14ac:dyDescent="0.2">
      <c r="B31" s="6"/>
    </row>
    <row r="32" spans="2:5" ht="16" customHeight="1" x14ac:dyDescent="0.2"/>
    <row r="33" spans="2:5" ht="34" customHeight="1" x14ac:dyDescent="0.2">
      <c r="B33" s="569" t="s">
        <v>2979</v>
      </c>
      <c r="C33" s="570"/>
      <c r="D33" s="570"/>
      <c r="E33" s="571"/>
    </row>
    <row r="34" spans="2:5" ht="20" customHeight="1" x14ac:dyDescent="0.2">
      <c r="B34" s="223" t="s">
        <v>254</v>
      </c>
      <c r="C34" s="223" t="s">
        <v>255</v>
      </c>
      <c r="D34" s="224" t="s">
        <v>20</v>
      </c>
      <c r="E34" s="223" t="s">
        <v>21</v>
      </c>
    </row>
    <row r="35" spans="2:5" ht="20" customHeight="1" x14ac:dyDescent="0.2">
      <c r="B35" s="40" t="s">
        <v>359</v>
      </c>
      <c r="C35" s="65" t="str">
        <f>IF(mgmt_consolidated_result="Included",CONCATENATE(sample_mgmt_vc_fqdn),CONCATENATE(sample_wld_vc_fqdn))</f>
        <v>sfo-w01-vc01.sfo.rainpole.io</v>
      </c>
      <c r="D35" s="120" t="str">
        <f>dri_vcenter_fqdn</f>
        <v>Value Missing</v>
      </c>
      <c r="E35" s="248"/>
    </row>
    <row r="36" spans="2:5" ht="16" customHeight="1" x14ac:dyDescent="0.2"/>
    <row r="37" spans="2:5" ht="34" customHeight="1" x14ac:dyDescent="0.2">
      <c r="B37" s="569" t="s">
        <v>2980</v>
      </c>
      <c r="C37" s="570"/>
      <c r="D37" s="570"/>
      <c r="E37" s="571"/>
    </row>
    <row r="38" spans="2:5" ht="20" customHeight="1" x14ac:dyDescent="0.2">
      <c r="B38" s="223" t="s">
        <v>254</v>
      </c>
      <c r="C38" s="223" t="s">
        <v>255</v>
      </c>
      <c r="D38" s="224" t="s">
        <v>20</v>
      </c>
      <c r="E38" s="223" t="s">
        <v>21</v>
      </c>
    </row>
    <row r="39" spans="2:5" ht="20" customHeight="1" x14ac:dyDescent="0.2">
      <c r="B39" s="40" t="s">
        <v>359</v>
      </c>
      <c r="C39" s="65" t="str">
        <f>IF(mgmt_consolidated_result="Included",CONCATENATE(sample_mgmt_vc_fqdn),CONCATENATE(sample_wld_vc_fqdn))</f>
        <v>sfo-w01-vc01.sfo.rainpole.io</v>
      </c>
      <c r="D39" s="120" t="str">
        <f>dri_vcenter_fqdn</f>
        <v>Value Missing</v>
      </c>
      <c r="E39" s="248"/>
    </row>
    <row r="40" spans="2:5" ht="20" customHeight="1" x14ac:dyDescent="0.2">
      <c r="B40" s="40" t="s">
        <v>2981</v>
      </c>
      <c r="C40" s="65" t="str">
        <f>sample_sddc_mgr_fqdn</f>
        <v>sfo-vcf01.sfo.rainpole.io</v>
      </c>
      <c r="D40" s="120" t="str">
        <f>sddc_mgr_fqdn</f>
        <v>Value Missing</v>
      </c>
      <c r="E40" s="248"/>
    </row>
    <row r="41" spans="2:5" ht="16" customHeight="1" x14ac:dyDescent="0.2"/>
    <row r="42" spans="2:5" ht="34" customHeight="1" x14ac:dyDescent="0.2">
      <c r="B42" s="569" t="s">
        <v>2982</v>
      </c>
      <c r="C42" s="570"/>
      <c r="D42" s="570"/>
      <c r="E42" s="571"/>
    </row>
    <row r="43" spans="2:5" ht="20" customHeight="1" x14ac:dyDescent="0.2">
      <c r="B43" s="223" t="s">
        <v>254</v>
      </c>
      <c r="C43" s="223" t="s">
        <v>255</v>
      </c>
      <c r="D43" s="224" t="s">
        <v>20</v>
      </c>
      <c r="E43" s="223" t="s">
        <v>21</v>
      </c>
    </row>
    <row r="44" spans="2:5" ht="20" customHeight="1" x14ac:dyDescent="0.2">
      <c r="B44" s="40" t="s">
        <v>359</v>
      </c>
      <c r="C44" s="65" t="str">
        <f>IF(mgmt_consolidated_result="Included",CONCATENATE(sample_mgmt_vc_fqdn),CONCATENATE(sample_wld_vc_fqdn))</f>
        <v>sfo-w01-vc01.sfo.rainpole.io</v>
      </c>
      <c r="D44" s="120" t="str">
        <f>dri_vcenter_fqdn</f>
        <v>Value Missing</v>
      </c>
      <c r="E44" s="248"/>
    </row>
    <row r="45" spans="2:5" ht="20" customHeight="1" x14ac:dyDescent="0.2">
      <c r="B45" s="257" t="s">
        <v>646</v>
      </c>
      <c r="C45" s="65" t="str">
        <f>IF(mgmt_consolidated_result="Included",sample_mgmt_cl01_cluster,sample_mgmt_cl01_cluster)</f>
        <v>sfo-m01-cl01</v>
      </c>
      <c r="D45" s="120" t="str">
        <f>dri_vcenter_cluster</f>
        <v>Value Missing</v>
      </c>
      <c r="E45" s="248"/>
    </row>
    <row r="46" spans="2:5" ht="16" customHeight="1" x14ac:dyDescent="0.2">
      <c r="B46" s="257" t="s">
        <v>254</v>
      </c>
      <c r="C46" s="154" t="str">
        <f>CONCATENATE(this_instance,"-w0",wld_domain_number_chosen,"-tkc01")</f>
        <v>sfo-w01-tkc01</v>
      </c>
      <c r="D46" s="66"/>
      <c r="E46" s="248"/>
    </row>
    <row r="47" spans="2:5" ht="20" customHeight="1" x14ac:dyDescent="0.2">
      <c r="B47" s="257" t="s">
        <v>1754</v>
      </c>
      <c r="C47" s="154" t="s">
        <v>2983</v>
      </c>
      <c r="D47" s="66"/>
      <c r="E47" s="248"/>
    </row>
    <row r="48" spans="2:5" ht="16" customHeight="1" x14ac:dyDescent="0.2"/>
    <row r="49" spans="2:5" ht="34" customHeight="1" x14ac:dyDescent="0.2">
      <c r="B49" s="569" t="s">
        <v>2984</v>
      </c>
      <c r="C49" s="570"/>
      <c r="D49" s="570"/>
      <c r="E49" s="571"/>
    </row>
    <row r="50" spans="2:5" ht="20" customHeight="1" x14ac:dyDescent="0.2">
      <c r="B50" s="223" t="s">
        <v>254</v>
      </c>
      <c r="C50" s="223" t="s">
        <v>255</v>
      </c>
      <c r="D50" s="224" t="s">
        <v>20</v>
      </c>
      <c r="E50" s="223" t="s">
        <v>21</v>
      </c>
    </row>
    <row r="51" spans="2:5" ht="20" customHeight="1" x14ac:dyDescent="0.2">
      <c r="B51" s="40" t="s">
        <v>359</v>
      </c>
      <c r="C51" s="65" t="str">
        <f>IF(mgmt_consolidated_result="Included",CONCATENATE(sample_mgmt_vc_fqdn),CONCATENATE(sample_wld_vc_fqdn))</f>
        <v>sfo-w01-vc01.sfo.rainpole.io</v>
      </c>
      <c r="D51" s="120" t="str">
        <f>dri_vcenter_fqdn</f>
        <v>Value Missing</v>
      </c>
      <c r="E51" s="248"/>
    </row>
    <row r="52" spans="2:5" ht="20" customHeight="1" x14ac:dyDescent="0.2">
      <c r="B52" s="257" t="s">
        <v>2985</v>
      </c>
      <c r="C52" s="65" t="str">
        <f>sample_k8s_cluster_name</f>
        <v>sfo-w01-tkc01</v>
      </c>
      <c r="D52" s="120"/>
      <c r="E52" s="248"/>
    </row>
    <row r="53" spans="2:5" ht="20" customHeight="1" x14ac:dyDescent="0.2">
      <c r="B53" s="257" t="s">
        <v>2986</v>
      </c>
      <c r="C53" s="65" t="str">
        <f>sample_gg_kub_admins_group</f>
        <v>gg-kub-admins</v>
      </c>
      <c r="D53" s="120" t="str">
        <f>group_gg_kub_admins</f>
        <v>Value Missing</v>
      </c>
      <c r="E53" s="248"/>
    </row>
    <row r="54" spans="2:5" ht="20" customHeight="1" x14ac:dyDescent="0.2">
      <c r="B54" s="257" t="s">
        <v>2987</v>
      </c>
      <c r="C54" s="65" t="str">
        <f>sample_gg_kub_readonly_group</f>
        <v>gg-kub-readonly</v>
      </c>
      <c r="D54" s="120" t="str">
        <f>group_gg_kub_readonly</f>
        <v>Value Missing</v>
      </c>
      <c r="E54" s="248"/>
    </row>
    <row r="55" spans="2:5" ht="16" customHeight="1" x14ac:dyDescent="0.2"/>
    <row r="56" spans="2:5" ht="34" customHeight="1" x14ac:dyDescent="0.2">
      <c r="B56" s="569" t="s">
        <v>2988</v>
      </c>
      <c r="C56" s="570"/>
      <c r="D56" s="570"/>
      <c r="E56" s="571"/>
    </row>
    <row r="57" spans="2:5" ht="20" customHeight="1" x14ac:dyDescent="0.2">
      <c r="B57" s="223" t="s">
        <v>254</v>
      </c>
      <c r="C57" s="223" t="s">
        <v>255</v>
      </c>
      <c r="D57" s="224" t="s">
        <v>20</v>
      </c>
      <c r="E57" s="223" t="s">
        <v>21</v>
      </c>
    </row>
    <row r="58" spans="2:5" ht="20" customHeight="1" x14ac:dyDescent="0.2">
      <c r="B58" s="40" t="s">
        <v>359</v>
      </c>
      <c r="C58" s="65" t="str">
        <f>IF(mgmt_consolidated_result="Included",CONCATENATE(sample_mgmt_vc_fqdn),CONCATENATE(sample_wld_vc_fqdn))</f>
        <v>sfo-w01-vc01.sfo.rainpole.io</v>
      </c>
      <c r="D58" s="120" t="str">
        <f>dri_vcenter_fqdn</f>
        <v>Value Missing</v>
      </c>
      <c r="E58" s="248"/>
    </row>
    <row r="59" spans="2:5" ht="20" customHeight="1" x14ac:dyDescent="0.2">
      <c r="B59" s="257" t="s">
        <v>1540</v>
      </c>
      <c r="C59" s="65" t="s">
        <v>2989</v>
      </c>
      <c r="D59" s="66"/>
      <c r="E59" s="248"/>
    </row>
    <row r="60" spans="2:5" ht="20" customHeight="1" x14ac:dyDescent="0.2">
      <c r="B60" s="257" t="s">
        <v>2990</v>
      </c>
      <c r="C60" s="65">
        <v>16</v>
      </c>
      <c r="D60" s="120">
        <f>C60</f>
        <v>16</v>
      </c>
      <c r="E60" s="248"/>
    </row>
    <row r="61" spans="2:5" ht="20" customHeight="1" x14ac:dyDescent="0.2">
      <c r="B61" s="257" t="s">
        <v>2991</v>
      </c>
      <c r="C61" s="65">
        <v>64</v>
      </c>
      <c r="D61" s="120">
        <f>C61</f>
        <v>64</v>
      </c>
      <c r="E61" s="248"/>
    </row>
    <row r="62" spans="2:5" ht="16" customHeight="1" x14ac:dyDescent="0.2"/>
    <row r="63" spans="2:5" ht="34" customHeight="1" x14ac:dyDescent="0.2">
      <c r="B63" s="673" t="s">
        <v>2992</v>
      </c>
      <c r="C63" s="674"/>
      <c r="D63" s="674"/>
      <c r="E63" s="675"/>
    </row>
    <row r="64" spans="2:5" ht="20" customHeight="1" x14ac:dyDescent="0.2">
      <c r="B64" s="223" t="s">
        <v>254</v>
      </c>
      <c r="C64" s="223" t="s">
        <v>255</v>
      </c>
      <c r="D64" s="224" t="s">
        <v>20</v>
      </c>
      <c r="E64" s="223" t="s">
        <v>21</v>
      </c>
    </row>
    <row r="65" spans="2:5" ht="20" customHeight="1" x14ac:dyDescent="0.2">
      <c r="B65" s="40" t="s">
        <v>2993</v>
      </c>
      <c r="C65" s="65" t="str">
        <f>CONCATENATE(prefix_wld_k8s_cidr,1+(wld_domain_number_chosen -1)*3,".1")</f>
        <v>192.168.21.1</v>
      </c>
      <c r="D65" s="120"/>
      <c r="E65" s="258"/>
    </row>
    <row r="66" spans="2:5" ht="20" customHeight="1" x14ac:dyDescent="0.2">
      <c r="B66" s="40" t="s">
        <v>2985</v>
      </c>
      <c r="C66" s="65" t="str">
        <f>sample_k8s_cluster_name</f>
        <v>sfo-w01-tkc01</v>
      </c>
      <c r="D66" s="120"/>
      <c r="E66" s="248"/>
    </row>
    <row r="67" spans="2:5" ht="20" customHeight="1" x14ac:dyDescent="0.2">
      <c r="B67" s="257" t="s">
        <v>2994</v>
      </c>
      <c r="C67" s="65" t="str">
        <f>sample_k8s_cluster_name</f>
        <v>sfo-w01-tkc01</v>
      </c>
      <c r="D67" s="120"/>
      <c r="E67" s="248"/>
    </row>
    <row r="68" spans="2:5" ht="20" customHeight="1" x14ac:dyDescent="0.2">
      <c r="B68" s="257" t="s">
        <v>2995</v>
      </c>
      <c r="C68" s="65" t="str">
        <f>sample_k8s_cluster_name</f>
        <v>sfo-w01-tkc01</v>
      </c>
      <c r="D68" s="120"/>
      <c r="E68" s="248"/>
    </row>
    <row r="69" spans="2:5" ht="20" customHeight="1" x14ac:dyDescent="0.2">
      <c r="B69" s="257" t="s">
        <v>2996</v>
      </c>
      <c r="C69" s="65" t="str">
        <f>sample_k8s_vcenter_storage_policy</f>
        <v>vsphere-with-tanzu-storage-policy</v>
      </c>
      <c r="D69" s="120" t="str">
        <f>k8s_vcenter_storage_policy</f>
        <v>Value Missing</v>
      </c>
      <c r="E69" s="248"/>
    </row>
    <row r="70" spans="2:5" ht="20" customHeight="1" x14ac:dyDescent="0.2">
      <c r="B70" s="257" t="s">
        <v>2997</v>
      </c>
      <c r="C70" s="65" t="str">
        <f>sample_k8s_vm_class</f>
        <v>guaranteed-small</v>
      </c>
      <c r="D70" s="120" t="str">
        <f>k8s_vm_class</f>
        <v>Value Missing</v>
      </c>
      <c r="E70" s="248"/>
    </row>
    <row r="71" spans="2:5" ht="20" customHeight="1" x14ac:dyDescent="0.2">
      <c r="B71" s="257" t="s">
        <v>2998</v>
      </c>
      <c r="C71" s="65" t="s">
        <v>2999</v>
      </c>
      <c r="D71" s="66"/>
      <c r="E71" s="258"/>
    </row>
    <row r="72" spans="2:5" ht="20" customHeight="1" x14ac:dyDescent="0.2">
      <c r="B72" s="257" t="s">
        <v>3000</v>
      </c>
      <c r="C72" s="65" t="s">
        <v>3001</v>
      </c>
      <c r="D72" s="66"/>
      <c r="E72" s="258"/>
    </row>
    <row r="73" spans="2:5" ht="16" customHeight="1" x14ac:dyDescent="0.2"/>
    <row r="74" spans="2:5" ht="34" customHeight="1" x14ac:dyDescent="0.2">
      <c r="B74" s="569" t="s">
        <v>3002</v>
      </c>
      <c r="C74" s="570"/>
      <c r="D74" s="570"/>
      <c r="E74" s="571"/>
    </row>
    <row r="75" spans="2:5" ht="20" customHeight="1" x14ac:dyDescent="0.2">
      <c r="B75" s="223" t="s">
        <v>254</v>
      </c>
      <c r="C75" s="223" t="s">
        <v>255</v>
      </c>
      <c r="D75" s="224" t="s">
        <v>20</v>
      </c>
      <c r="E75" s="223" t="s">
        <v>21</v>
      </c>
    </row>
    <row r="76" spans="2:5" ht="20" customHeight="1" x14ac:dyDescent="0.2">
      <c r="B76" s="40" t="s">
        <v>359</v>
      </c>
      <c r="C76" s="65" t="str">
        <f>IF(mgmt_consolidated_result="Included",CONCATENATE(sample_mgmt_vc_fqdn),CONCATENATE(sample_wld_vc_fqdn))</f>
        <v>sfo-w01-vc01.sfo.rainpole.io</v>
      </c>
      <c r="D76" s="120" t="str">
        <f>dri_vcenter_fqdn</f>
        <v>Value Missing</v>
      </c>
      <c r="E76" s="248"/>
    </row>
    <row r="77" spans="2:5" ht="20" customHeight="1" x14ac:dyDescent="0.2">
      <c r="B77" s="257" t="s">
        <v>1544</v>
      </c>
      <c r="C77" s="65" t="s">
        <v>3003</v>
      </c>
      <c r="D77" s="66"/>
      <c r="E77" s="248"/>
    </row>
    <row r="78" spans="2:5" ht="20" customHeight="1" x14ac:dyDescent="0.2"/>
    <row r="79" spans="2:5" ht="34" customHeight="1" x14ac:dyDescent="0.2">
      <c r="B79" s="569" t="s">
        <v>3004</v>
      </c>
      <c r="C79" s="570"/>
      <c r="D79" s="570"/>
      <c r="E79" s="571"/>
    </row>
    <row r="80" spans="2:5" ht="20" customHeight="1" x14ac:dyDescent="0.2">
      <c r="B80" s="223" t="s">
        <v>254</v>
      </c>
      <c r="C80" s="223" t="s">
        <v>255</v>
      </c>
      <c r="D80" s="224" t="s">
        <v>20</v>
      </c>
      <c r="E80" s="223" t="s">
        <v>21</v>
      </c>
    </row>
    <row r="81" spans="2:5" ht="20" customHeight="1" x14ac:dyDescent="0.2">
      <c r="B81" s="40" t="s">
        <v>359</v>
      </c>
      <c r="C81" s="65" t="str">
        <f>IF(mgmt_consolidated_result="Included",CONCATENATE(sample_mgmt_vc_fqdn),CONCATENATE(sample_wld_vc_fqdn))</f>
        <v>sfo-w01-vc01.sfo.rainpole.io</v>
      </c>
      <c r="D81" s="120" t="str">
        <f>dri_vcenter_fqdn</f>
        <v>Value Missing</v>
      </c>
      <c r="E81" s="248"/>
    </row>
    <row r="82" spans="2:5" ht="20" customHeight="1" x14ac:dyDescent="0.2">
      <c r="B82" s="257" t="s">
        <v>3005</v>
      </c>
      <c r="C82" s="65" t="s">
        <v>3006</v>
      </c>
      <c r="D82" s="66"/>
      <c r="E82" s="248"/>
    </row>
    <row r="83" spans="2:5" ht="16" customHeight="1" x14ac:dyDescent="0.2"/>
    <row r="84" spans="2:5" ht="34" customHeight="1" x14ac:dyDescent="0.2">
      <c r="B84" s="569" t="s">
        <v>3007</v>
      </c>
      <c r="C84" s="570"/>
      <c r="D84" s="570"/>
      <c r="E84" s="571"/>
    </row>
    <row r="85" spans="2:5" ht="20" customHeight="1" x14ac:dyDescent="0.2">
      <c r="B85" s="223" t="s">
        <v>254</v>
      </c>
      <c r="C85" s="223" t="s">
        <v>255</v>
      </c>
      <c r="D85" s="224" t="s">
        <v>20</v>
      </c>
      <c r="E85" s="223" t="s">
        <v>21</v>
      </c>
    </row>
    <row r="86" spans="2:5" ht="20" customHeight="1" x14ac:dyDescent="0.2">
      <c r="B86" s="40" t="s">
        <v>3008</v>
      </c>
      <c r="C86" s="65"/>
      <c r="D86" s="120" t="e">
        <f>xreg_vrslcm_fqdn</f>
        <v>#NAME?</v>
      </c>
      <c r="E86" s="248"/>
    </row>
    <row r="87" spans="2:5" ht="16" customHeight="1" x14ac:dyDescent="0.2"/>
    <row r="88" spans="2:5" ht="34" customHeight="1" x14ac:dyDescent="0.2">
      <c r="B88" s="569" t="s">
        <v>3009</v>
      </c>
      <c r="C88" s="570"/>
      <c r="D88" s="570"/>
      <c r="E88" s="571"/>
    </row>
    <row r="89" spans="2:5" ht="20" customHeight="1" x14ac:dyDescent="0.2">
      <c r="B89" s="223" t="s">
        <v>254</v>
      </c>
      <c r="C89" s="223" t="s">
        <v>255</v>
      </c>
      <c r="D89" s="224" t="s">
        <v>20</v>
      </c>
      <c r="E89" s="223" t="s">
        <v>21</v>
      </c>
    </row>
    <row r="90" spans="2:5" ht="20" customHeight="1" x14ac:dyDescent="0.2">
      <c r="B90" s="40" t="s">
        <v>359</v>
      </c>
      <c r="C90" s="65" t="str">
        <f>IF(mgmt_consolidated_result="Included",CONCATENATE(sample_mgmt_vc_fqdn),CONCATENATE(sample_wld_vc_fqdn))</f>
        <v>sfo-w01-vc01.sfo.rainpole.io</v>
      </c>
      <c r="D90" s="120" t="str">
        <f>dri_vcenter_fqdn</f>
        <v>Value Missing</v>
      </c>
      <c r="E90" s="248"/>
    </row>
    <row r="91" spans="2:5" ht="16" customHeight="1" x14ac:dyDescent="0.2"/>
    <row r="92" spans="2:5" ht="34" customHeight="1" x14ac:dyDescent="0.2">
      <c r="B92" s="569" t="s">
        <v>3010</v>
      </c>
      <c r="C92" s="570"/>
      <c r="D92" s="570"/>
      <c r="E92" s="571"/>
    </row>
    <row r="93" spans="2:5" ht="20" customHeight="1" x14ac:dyDescent="0.2">
      <c r="B93" s="223" t="s">
        <v>254</v>
      </c>
      <c r="C93" s="223" t="s">
        <v>255</v>
      </c>
      <c r="D93" s="224" t="s">
        <v>20</v>
      </c>
      <c r="E93" s="223" t="s">
        <v>21</v>
      </c>
    </row>
    <row r="94" spans="2:5" ht="34" customHeight="1" x14ac:dyDescent="0.2">
      <c r="B94" s="40" t="s">
        <v>359</v>
      </c>
      <c r="C94" s="65" t="str">
        <f>IF(mgmt_consolidated_result="Included",CONCATENATE(sample_mgmt_vc_fqdn),CONCATENATE(sample_wld_vc_fqdn))</f>
        <v>sfo-w01-vc01.sfo.rainpole.io</v>
      </c>
      <c r="D94" s="120" t="str">
        <f>dri_vcenter_fqdn</f>
        <v>Value Missing</v>
      </c>
      <c r="E94" s="248"/>
    </row>
    <row r="95" spans="2:5" ht="20" customHeight="1" x14ac:dyDescent="0.2">
      <c r="B95" s="257" t="s">
        <v>3011</v>
      </c>
      <c r="C95" s="154" t="s">
        <v>2969</v>
      </c>
      <c r="D95" s="66"/>
      <c r="E95" s="248"/>
    </row>
    <row r="96" spans="2:5" ht="20" customHeight="1" x14ac:dyDescent="0.2">
      <c r="B96" s="257" t="s">
        <v>3012</v>
      </c>
      <c r="C96" s="65" t="str">
        <f>IF(mgmt_consolidated_result="Included",sample_mgmt_cl01_vsan_datastore,sample_wld_cl01_vsan_datastore)</f>
        <v>sfo-w01-sfo-w01-cl01-vsan01</v>
      </c>
      <c r="D96" s="120" t="str">
        <f>dri_vcenter_vsan_datastore</f>
        <v>Value Missing</v>
      </c>
      <c r="E96" s="248"/>
    </row>
    <row r="97" spans="2:5" ht="16" customHeight="1" x14ac:dyDescent="0.2"/>
    <row r="98" spans="2:5" ht="34" customHeight="1" x14ac:dyDescent="0.2">
      <c r="B98" s="569" t="s">
        <v>3013</v>
      </c>
      <c r="C98" s="570"/>
      <c r="D98" s="570"/>
      <c r="E98" s="571"/>
    </row>
    <row r="99" spans="2:5" ht="20" customHeight="1" x14ac:dyDescent="0.2">
      <c r="B99" s="223" t="s">
        <v>254</v>
      </c>
      <c r="C99" s="223" t="s">
        <v>255</v>
      </c>
      <c r="D99" s="224" t="s">
        <v>20</v>
      </c>
      <c r="E99" s="223" t="s">
        <v>21</v>
      </c>
    </row>
    <row r="100" spans="2:5" ht="20" customHeight="1" x14ac:dyDescent="0.2">
      <c r="B100" s="40" t="s">
        <v>3008</v>
      </c>
      <c r="C100" s="65"/>
      <c r="D100" s="120" t="e">
        <f>xreg_vrslcm_fqdn</f>
        <v>#NAME?</v>
      </c>
      <c r="E100" s="248"/>
    </row>
    <row r="101" spans="2:5" ht="16" customHeight="1" x14ac:dyDescent="0.2"/>
    <row r="102" spans="2:5" ht="34" customHeight="1" x14ac:dyDescent="0.2">
      <c r="B102" s="569" t="s">
        <v>3014</v>
      </c>
      <c r="C102" s="570"/>
      <c r="D102" s="570"/>
      <c r="E102" s="571"/>
    </row>
    <row r="103" spans="2:5" ht="20" customHeight="1" x14ac:dyDescent="0.2">
      <c r="B103" s="223" t="s">
        <v>254</v>
      </c>
      <c r="C103" s="223" t="s">
        <v>255</v>
      </c>
      <c r="D103" s="224" t="s">
        <v>20</v>
      </c>
      <c r="E103" s="223" t="s">
        <v>21</v>
      </c>
    </row>
    <row r="104" spans="2:5" ht="20" customHeight="1" x14ac:dyDescent="0.2">
      <c r="B104" s="40" t="s">
        <v>3008</v>
      </c>
      <c r="C104" s="65"/>
      <c r="D104" s="120" t="e">
        <f>xreg_vrslcm_fqdn</f>
        <v>#NAME?</v>
      </c>
      <c r="E104" s="248"/>
    </row>
    <row r="105" spans="2:5" ht="16" customHeight="1" x14ac:dyDescent="0.2"/>
    <row r="106" spans="2:5" ht="34" customHeight="1" x14ac:dyDescent="0.2">
      <c r="B106" s="569" t="s">
        <v>3015</v>
      </c>
      <c r="C106" s="570"/>
      <c r="D106" s="570"/>
      <c r="E106" s="571"/>
    </row>
    <row r="107" spans="2:5" ht="20" customHeight="1" x14ac:dyDescent="0.2">
      <c r="B107" s="223" t="s">
        <v>254</v>
      </c>
      <c r="C107" s="223" t="s">
        <v>255</v>
      </c>
      <c r="D107" s="224" t="s">
        <v>20</v>
      </c>
      <c r="E107" s="223" t="s">
        <v>21</v>
      </c>
    </row>
    <row r="108" spans="2:5" ht="20" customHeight="1" x14ac:dyDescent="0.2">
      <c r="B108" s="40" t="s">
        <v>3008</v>
      </c>
      <c r="C108" s="65"/>
      <c r="D108" s="120" t="e">
        <f>xreg_vrslcm_fqdn</f>
        <v>#NAME?</v>
      </c>
      <c r="E108" s="248"/>
    </row>
    <row r="109" spans="2:5" ht="16" customHeight="1" x14ac:dyDescent="0.2"/>
    <row r="110" spans="2:5" ht="34" customHeight="1" x14ac:dyDescent="0.2">
      <c r="B110" s="569" t="s">
        <v>3016</v>
      </c>
      <c r="C110" s="570"/>
      <c r="D110" s="570"/>
      <c r="E110" s="571"/>
    </row>
    <row r="111" spans="2:5" ht="20" customHeight="1" x14ac:dyDescent="0.2">
      <c r="B111" s="223" t="s">
        <v>254</v>
      </c>
      <c r="C111" s="223" t="s">
        <v>255</v>
      </c>
      <c r="D111" s="224" t="s">
        <v>20</v>
      </c>
      <c r="E111" s="223" t="s">
        <v>21</v>
      </c>
    </row>
    <row r="112" spans="2:5" ht="20" customHeight="1" x14ac:dyDescent="0.2">
      <c r="B112" s="40" t="s">
        <v>3008</v>
      </c>
      <c r="C112" s="65"/>
      <c r="D112" s="120" t="e">
        <f>xreg_vrslcm_fqdn</f>
        <v>#NAME?</v>
      </c>
      <c r="E112" s="248"/>
    </row>
  </sheetData>
  <sheetProtection algorithmName="SHA-512" hashValue="ouoK8VASHvlZA+BB1Y59qGZiiEHst3KMecMfq3BFEeABp1jUVq5Po5tT21MCFOO69jEHABpoe+u1e3TkSoiX5w==" saltValue="F1AIaoOYc7LGWZWjJqZ4aw==" spinCount="100000" sheet="1" objects="1" scenarios="1"/>
  <mergeCells count="20">
    <mergeCell ref="B2:E2"/>
    <mergeCell ref="B17:E17"/>
    <mergeCell ref="B33:E33"/>
    <mergeCell ref="B106:E106"/>
    <mergeCell ref="B110:E110"/>
    <mergeCell ref="B98:E98"/>
    <mergeCell ref="B79:E79"/>
    <mergeCell ref="B84:E84"/>
    <mergeCell ref="B88:E88"/>
    <mergeCell ref="B92:E92"/>
    <mergeCell ref="B102:E102"/>
    <mergeCell ref="B63:E63"/>
    <mergeCell ref="B74:E74"/>
    <mergeCell ref="B3:E3"/>
    <mergeCell ref="B56:E56"/>
    <mergeCell ref="B37:E37"/>
    <mergeCell ref="B42:E42"/>
    <mergeCell ref="B49:E49"/>
    <mergeCell ref="B7:E7"/>
    <mergeCell ref="B13:E13"/>
  </mergeCells>
  <conditionalFormatting sqref="D35 D39:D40 D44:D47 D51:D54 D58:D61 D65:D72 D76:D77 D81:D82 D86 D90 D94:D96 D100 D104 D108 D112">
    <cfRule type="expression" dxfId="95" priority="1">
      <formula>air_result="Excluded"</formula>
    </cfRule>
    <cfRule type="containsBlanks" dxfId="94" priority="3">
      <formula>LEN(TRIM(D35))=0</formula>
    </cfRule>
    <cfRule type="notContainsBlanks" dxfId="93" priority="4">
      <formula>LEN(TRIM(D35))&gt;0</formula>
    </cfRule>
  </conditionalFormatting>
  <dataValidations disablePrompts="1" count="2">
    <dataValidation type="list" allowBlank="1" showInputMessage="1" showErrorMessage="1" sqref="C8:D8 C18:D18" xr:uid="{4BEA9190-F800-344C-9020-B8C55E48864B}">
      <formula1>"Standard,Consolidated"</formula1>
    </dataValidation>
    <dataValidation type="list" allowBlank="1" showInputMessage="1" showErrorMessage="1" sqref="D27" xr:uid="{C41A6D75-ACED-7649-8D2F-D0FEAFCAD24B}">
      <formula1>"guaranteed-small,guaranteed-medium,guaranteed-large"</formula1>
    </dataValidation>
  </dataValidations>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2" operator="containsText" id="{C2D1782C-7C4D-834C-B233-40F9CA9203AE}">
            <xm:f>NOT(ISERROR(SEARCH("Value Missing",D35)))</xm:f>
            <xm:f>"Value Missing"</xm:f>
            <x14:dxf>
              <font>
                <color rgb="FF0E223A"/>
              </font>
              <fill>
                <patternFill>
                  <bgColor rgb="FFFFBE29"/>
                </patternFill>
              </fill>
            </x14:dxf>
          </x14:cfRule>
          <xm:sqref>D35 D39:D40 D44:D47 D51:D54 D58:D61 D65:D72 D76:D78 D81:D82 D86 D90 D94:D96 D100 D104 D108 D112</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3CCE0-30AA-FF45-915D-04ED89BEAF8D}">
  <sheetPr codeName="Sheet26">
    <tabColor theme="4" tint="0.39997558519241921"/>
  </sheetPr>
  <dimension ref="A1:S937"/>
  <sheetViews>
    <sheetView zoomScale="91" zoomScaleNormal="10" workbookViewId="0">
      <pane ySplit="6" topLeftCell="A76" activePane="bottomLeft" state="frozen"/>
      <selection pane="bottomLeft" activeCell="C104" sqref="C104"/>
    </sheetView>
  </sheetViews>
  <sheetFormatPr baseColWidth="10" defaultColWidth="11" defaultRowHeight="16" x14ac:dyDescent="0.2"/>
  <cols>
    <col min="1" max="1" width="2.83203125" style="25" customWidth="1"/>
    <col min="2" max="2" width="63.83203125" style="9" customWidth="1"/>
    <col min="3" max="3" width="78.83203125" style="9" customWidth="1"/>
    <col min="4" max="4" width="84.83203125" style="9" customWidth="1"/>
    <col min="5" max="5" width="60.83203125" style="9" customWidth="1"/>
    <col min="6" max="19" width="11" style="25" customWidth="1"/>
    <col min="20" max="22" width="11" style="9" customWidth="1"/>
    <col min="23" max="16384" width="11" style="9"/>
  </cols>
  <sheetData>
    <row r="1" spans="1:19" s="25" customFormat="1" x14ac:dyDescent="0.2">
      <c r="A1" s="259"/>
      <c r="B1" s="247"/>
      <c r="C1" s="247"/>
      <c r="D1" s="247"/>
      <c r="E1" s="247"/>
      <c r="F1" s="247"/>
    </row>
    <row r="2" spans="1:19" ht="54" customHeight="1" x14ac:dyDescent="0.2">
      <c r="A2" s="247"/>
      <c r="B2" s="681" t="s">
        <v>3017</v>
      </c>
      <c r="C2" s="682"/>
      <c r="D2" s="682"/>
      <c r="E2" s="682"/>
      <c r="F2" s="247"/>
    </row>
    <row r="3" spans="1:19" x14ac:dyDescent="0.2">
      <c r="A3" s="247"/>
      <c r="B3" s="688" t="s">
        <v>3018</v>
      </c>
      <c r="C3" s="688"/>
      <c r="D3" s="688"/>
      <c r="E3" s="688"/>
      <c r="F3" s="247"/>
    </row>
    <row r="4" spans="1:19" x14ac:dyDescent="0.2">
      <c r="A4" s="260"/>
      <c r="B4" s="260"/>
      <c r="C4" s="260"/>
      <c r="D4" s="260"/>
      <c r="E4" s="260"/>
      <c r="F4" s="260"/>
    </row>
    <row r="5" spans="1:19" ht="34" customHeight="1" x14ac:dyDescent="0.2">
      <c r="A5" s="260"/>
      <c r="B5" s="261" t="s">
        <v>3019</v>
      </c>
      <c r="C5" s="261" t="s">
        <v>535</v>
      </c>
      <c r="D5" s="262" t="s">
        <v>2604</v>
      </c>
      <c r="E5" s="263"/>
      <c r="F5" s="264"/>
    </row>
    <row r="6" spans="1:19" ht="20" customHeight="1" x14ac:dyDescent="0.2">
      <c r="A6" s="247"/>
      <c r="B6" s="247"/>
      <c r="C6" s="247"/>
      <c r="D6" s="265"/>
      <c r="E6" s="266"/>
      <c r="F6" s="266"/>
    </row>
    <row r="7" spans="1:19" ht="34" customHeight="1" x14ac:dyDescent="0.2">
      <c r="A7" s="9"/>
      <c r="B7" s="427" t="s">
        <v>3020</v>
      </c>
      <c r="C7" s="428"/>
      <c r="D7" s="428"/>
      <c r="E7" s="428"/>
      <c r="F7" s="428"/>
      <c r="G7" s="428"/>
      <c r="H7" s="428"/>
      <c r="I7" s="428"/>
      <c r="J7" s="429"/>
      <c r="K7" s="9"/>
      <c r="L7" s="9"/>
      <c r="M7" s="9"/>
      <c r="N7" s="9"/>
      <c r="O7" s="9"/>
      <c r="P7" s="9"/>
      <c r="Q7" s="9"/>
      <c r="R7" s="9"/>
      <c r="S7" s="9"/>
    </row>
    <row r="8" spans="1:19" ht="20" customHeight="1" x14ac:dyDescent="0.2">
      <c r="A8" s="9"/>
      <c r="B8" s="63" t="s">
        <v>2350</v>
      </c>
      <c r="C8" s="63" t="s">
        <v>2351</v>
      </c>
      <c r="D8" s="63" t="s">
        <v>2352</v>
      </c>
      <c r="E8" s="119" t="s">
        <v>2353</v>
      </c>
      <c r="F8" s="63" t="s">
        <v>817</v>
      </c>
      <c r="G8" s="119" t="s">
        <v>818</v>
      </c>
      <c r="H8" s="472" t="s">
        <v>21</v>
      </c>
      <c r="I8" s="476"/>
      <c r="J8" s="473"/>
      <c r="K8" s="9"/>
      <c r="L8" s="9"/>
      <c r="M8" s="9"/>
      <c r="N8" s="9"/>
      <c r="O8" s="9"/>
      <c r="P8" s="9"/>
      <c r="Q8" s="9"/>
      <c r="R8" s="9"/>
      <c r="S8" s="9"/>
    </row>
    <row r="9" spans="1:19" ht="20" customHeight="1" x14ac:dyDescent="0.2">
      <c r="A9" s="9"/>
      <c r="B9" s="4" t="s">
        <v>3021</v>
      </c>
      <c r="C9" s="10" t="s">
        <v>1622</v>
      </c>
      <c r="D9" s="103" t="str">
        <f>CONCATENATE(this_instance,"-cbr-cdp01a")</f>
        <v>sfo-cbr-cdp01a</v>
      </c>
      <c r="E9" s="66"/>
      <c r="F9" s="103" t="str">
        <f>IF(mgmt_dpg_reuse_result="Included",CONCATENATE(prefix_mgmt_az1_cidr,"10.44"),CONCATENATE(prefix_mgmt_az1_cidr,"11.44"))</f>
        <v>10.11.10.44</v>
      </c>
      <c r="G9" s="66"/>
      <c r="H9" s="669"/>
      <c r="I9" s="670"/>
      <c r="J9" s="668"/>
      <c r="K9" s="9"/>
      <c r="L9" s="9"/>
      <c r="M9" s="9"/>
      <c r="N9" s="9"/>
      <c r="O9" s="9"/>
      <c r="P9" s="9"/>
      <c r="Q9" s="9"/>
      <c r="R9" s="9"/>
      <c r="S9" s="9"/>
    </row>
    <row r="10" spans="1:19" ht="20" customHeight="1" x14ac:dyDescent="0.2">
      <c r="A10" s="9"/>
      <c r="B10" s="4"/>
      <c r="C10" s="10" t="s">
        <v>3022</v>
      </c>
      <c r="D10" s="103" t="str">
        <f>CONCATENATE(this_instance,"-cbr-cdp01b")</f>
        <v>sfo-cbr-cdp01b</v>
      </c>
      <c r="E10" s="66"/>
      <c r="F10" s="103" t="str">
        <f>IF(mgmt_dpg_reuse_result="Included",CONCATENATE(prefix_mgmt_az1_cidr,"10.45"),CONCATENATE(prefix_mgmt_az1_cidr,"11.45"))</f>
        <v>10.11.10.45</v>
      </c>
      <c r="G10" s="66"/>
      <c r="H10" s="669"/>
      <c r="I10" s="670"/>
      <c r="J10" s="668"/>
      <c r="K10" s="9"/>
      <c r="L10" s="9"/>
      <c r="M10" s="9"/>
      <c r="N10" s="9"/>
      <c r="O10" s="9"/>
      <c r="P10" s="9"/>
      <c r="Q10" s="9"/>
      <c r="R10" s="9"/>
      <c r="S10" s="9"/>
    </row>
    <row r="11" spans="1:19" x14ac:dyDescent="0.2">
      <c r="A11" s="9"/>
      <c r="F11" s="9"/>
      <c r="G11" s="9"/>
      <c r="H11" s="9"/>
      <c r="I11" s="9"/>
      <c r="J11" s="9"/>
      <c r="K11" s="9"/>
      <c r="L11" s="9"/>
      <c r="M11" s="9"/>
      <c r="N11" s="9"/>
      <c r="O11" s="9"/>
      <c r="P11" s="9"/>
      <c r="Q11" s="9"/>
      <c r="R11" s="9"/>
      <c r="S11" s="9"/>
    </row>
    <row r="12" spans="1:19" s="246" customFormat="1" ht="30" customHeight="1" x14ac:dyDescent="0.2">
      <c r="B12" s="519" t="s">
        <v>3023</v>
      </c>
      <c r="C12" s="632"/>
      <c r="D12" s="632"/>
      <c r="E12" s="520"/>
    </row>
    <row r="13" spans="1:19" s="246" customFormat="1" ht="20" customHeight="1" x14ac:dyDescent="0.2">
      <c r="B13" s="200" t="s">
        <v>254</v>
      </c>
      <c r="C13" s="200" t="s">
        <v>255</v>
      </c>
      <c r="D13" s="201" t="s">
        <v>20</v>
      </c>
      <c r="E13" s="200" t="s">
        <v>21</v>
      </c>
    </row>
    <row r="14" spans="1:19" s="2" customFormat="1" ht="20" customHeight="1" x14ac:dyDescent="0.2">
      <c r="B14" s="4" t="s">
        <v>1843</v>
      </c>
      <c r="C14" s="10" t="s">
        <v>3024</v>
      </c>
      <c r="D14" s="141"/>
      <c r="E14" s="241"/>
    </row>
    <row r="15" spans="1:19" s="2" customFormat="1" ht="20" customHeight="1" x14ac:dyDescent="0.2">
      <c r="B15" s="4" t="s">
        <v>1847</v>
      </c>
      <c r="C15" s="10" t="s">
        <v>3025</v>
      </c>
      <c r="D15" s="141"/>
      <c r="E15" s="241"/>
    </row>
    <row r="16" spans="1:19" s="2" customFormat="1" ht="20" customHeight="1" x14ac:dyDescent="0.2">
      <c r="B16" s="4" t="s">
        <v>1852</v>
      </c>
      <c r="C16" s="10" t="s">
        <v>31</v>
      </c>
      <c r="D16" s="141"/>
      <c r="E16" s="241"/>
    </row>
    <row r="17" spans="2:5" s="2" customFormat="1" ht="20" customHeight="1" x14ac:dyDescent="0.2">
      <c r="B17" s="4" t="s">
        <v>3026</v>
      </c>
      <c r="C17" s="10" t="str">
        <f>CONCATENATE(this_instance,"-m01-fd-cbr")</f>
        <v>sfo-m01-fd-cbr</v>
      </c>
      <c r="D17" s="141"/>
      <c r="E17" s="241"/>
    </row>
    <row r="18" spans="2:5" s="2" customFormat="1" ht="20" customHeight="1" x14ac:dyDescent="0.2">
      <c r="B18" s="4" t="s">
        <v>1857</v>
      </c>
      <c r="C18" s="10" t="s">
        <v>3027</v>
      </c>
      <c r="D18" s="141"/>
      <c r="E18" s="241"/>
    </row>
    <row r="19" spans="2:5" s="2" customFormat="1" ht="20" customHeight="1" x14ac:dyDescent="0.2">
      <c r="B19" s="4" t="s">
        <v>1860</v>
      </c>
      <c r="C19" s="10" t="s">
        <v>2328</v>
      </c>
      <c r="D19" s="141"/>
      <c r="E19" s="241"/>
    </row>
    <row r="20" spans="2:5" s="2" customFormat="1" ht="20" customHeight="1" x14ac:dyDescent="0.2">
      <c r="B20" s="4" t="s">
        <v>1864</v>
      </c>
      <c r="C20" s="10" t="s">
        <v>3028</v>
      </c>
      <c r="D20" s="141"/>
      <c r="E20" s="241"/>
    </row>
    <row r="21" spans="2:5" s="2" customFormat="1" ht="20" customHeight="1" x14ac:dyDescent="0.2">
      <c r="B21" s="4" t="s">
        <v>1869</v>
      </c>
      <c r="C21" s="10">
        <v>2</v>
      </c>
      <c r="D21" s="141"/>
      <c r="E21" s="241"/>
    </row>
    <row r="22" spans="2:5" s="2" customFormat="1" ht="20" customHeight="1" x14ac:dyDescent="0.2">
      <c r="B22" s="4" t="s">
        <v>1874</v>
      </c>
      <c r="C22" s="10" t="s">
        <v>3029</v>
      </c>
      <c r="D22" s="141"/>
      <c r="E22" s="241"/>
    </row>
    <row r="23" spans="2:5" s="2" customFormat="1" ht="20" customHeight="1" x14ac:dyDescent="0.2">
      <c r="B23" s="4" t="s">
        <v>1877</v>
      </c>
      <c r="C23" s="10" t="s">
        <v>3029</v>
      </c>
      <c r="D23" s="141"/>
      <c r="E23" s="241"/>
    </row>
    <row r="24" spans="2:5" s="2" customFormat="1" ht="20" customHeight="1" x14ac:dyDescent="0.2">
      <c r="B24" s="4" t="s">
        <v>1882</v>
      </c>
      <c r="C24" s="10" t="s">
        <v>3030</v>
      </c>
      <c r="D24" s="141"/>
      <c r="E24" s="241"/>
    </row>
    <row r="25" spans="2:5" s="2" customFormat="1" ht="20" customHeight="1" x14ac:dyDescent="0.2">
      <c r="B25" s="4" t="s">
        <v>3031</v>
      </c>
      <c r="C25" s="10" t="s">
        <v>3032</v>
      </c>
      <c r="D25" s="141"/>
      <c r="E25" s="241"/>
    </row>
    <row r="26" spans="2:5" s="2" customFormat="1" ht="20" customHeight="1" x14ac:dyDescent="0.2">
      <c r="B26" s="4" t="s">
        <v>3033</v>
      </c>
      <c r="C26" s="10" t="s">
        <v>3034</v>
      </c>
      <c r="D26" s="141"/>
      <c r="E26" s="241"/>
    </row>
    <row r="27" spans="2:5" s="2" customFormat="1" ht="20" customHeight="1" x14ac:dyDescent="0.2">
      <c r="B27" s="4" t="s">
        <v>1990</v>
      </c>
      <c r="C27" s="10" t="s">
        <v>3035</v>
      </c>
      <c r="D27" s="141"/>
      <c r="E27" s="241"/>
    </row>
    <row r="28" spans="2:5" s="2" customFormat="1" ht="20" customHeight="1" x14ac:dyDescent="0.2">
      <c r="B28" s="4" t="s">
        <v>3036</v>
      </c>
      <c r="C28" s="10" t="s">
        <v>3037</v>
      </c>
      <c r="D28" s="141"/>
      <c r="E28" s="241"/>
    </row>
    <row r="29" spans="2:5" s="2" customFormat="1" ht="20" customHeight="1" x14ac:dyDescent="0.2">
      <c r="B29" s="4" t="s">
        <v>3038</v>
      </c>
      <c r="C29" s="10" t="str">
        <f>CONCATENATE(this_instance,"-vcf01-instance")</f>
        <v>sfo-vcf01-instance</v>
      </c>
      <c r="D29" s="141"/>
      <c r="E29" s="241"/>
    </row>
    <row r="30" spans="2:5" s="2" customFormat="1" ht="20" customHeight="1" x14ac:dyDescent="0.2">
      <c r="B30" s="4" t="s">
        <v>3039</v>
      </c>
      <c r="C30" s="10" t="s">
        <v>3040</v>
      </c>
      <c r="D30" s="141"/>
      <c r="E30" s="241"/>
    </row>
    <row r="31" spans="2:5" s="2" customFormat="1" ht="20" customHeight="1" x14ac:dyDescent="0.2">
      <c r="B31" s="4" t="s">
        <v>1906</v>
      </c>
      <c r="C31" s="10" t="s">
        <v>3041</v>
      </c>
      <c r="D31" s="141"/>
      <c r="E31" s="241"/>
    </row>
    <row r="32" spans="2:5" s="2" customFormat="1" ht="20" customHeight="1" x14ac:dyDescent="0.2">
      <c r="B32" s="4" t="s">
        <v>1909</v>
      </c>
      <c r="C32" s="10" t="s">
        <v>3042</v>
      </c>
      <c r="D32" s="141"/>
      <c r="E32" s="241"/>
    </row>
    <row r="33" spans="1:6" s="2" customFormat="1" ht="20" customHeight="1" x14ac:dyDescent="0.2">
      <c r="B33" s="4" t="s">
        <v>1912</v>
      </c>
      <c r="C33" s="10" t="s">
        <v>3029</v>
      </c>
      <c r="D33" s="141"/>
      <c r="E33" s="241"/>
    </row>
    <row r="34" spans="1:6" s="2" customFormat="1" ht="20" customHeight="1" x14ac:dyDescent="0.2">
      <c r="B34" s="4" t="s">
        <v>1916</v>
      </c>
      <c r="C34" s="10" t="str">
        <f>CONCATENATE(this_instance,"-cbr-cdp01")</f>
        <v>sfo-cbr-cdp01</v>
      </c>
      <c r="D34" s="141"/>
      <c r="E34" s="241"/>
    </row>
    <row r="35" spans="1:6" s="2" customFormat="1" ht="20" customHeight="1" x14ac:dyDescent="0.2">
      <c r="B35" s="4" t="s">
        <v>1919</v>
      </c>
      <c r="C35" s="10" t="str">
        <f>CONCATENATE(sample_mgmt_sddc_domain,"anti-affinity-rule-cbr")</f>
        <v>sfo-m01anti-affinity-rule-cbr</v>
      </c>
      <c r="D35" s="141"/>
      <c r="E35" s="241"/>
    </row>
    <row r="36" spans="1:6" s="2" customFormat="1" ht="20" customHeight="1" x14ac:dyDescent="0.2">
      <c r="B36" s="4" t="s">
        <v>1922</v>
      </c>
      <c r="C36" s="10" t="s">
        <v>3043</v>
      </c>
      <c r="D36" s="141"/>
      <c r="E36" s="241"/>
    </row>
    <row r="37" spans="1:6" s="2" customFormat="1" ht="20" customHeight="1" x14ac:dyDescent="0.2">
      <c r="B37" s="4" t="s">
        <v>1925</v>
      </c>
      <c r="C37" s="10" t="s">
        <v>70</v>
      </c>
      <c r="D37" s="141"/>
      <c r="E37" s="241"/>
    </row>
    <row r="38" spans="1:6" s="2" customFormat="1" ht="20" customHeight="1" x14ac:dyDescent="0.2">
      <c r="B38" s="4" t="s">
        <v>1928</v>
      </c>
      <c r="C38" s="10" t="s">
        <v>3029</v>
      </c>
      <c r="D38" s="141"/>
      <c r="E38" s="241"/>
    </row>
    <row r="39" spans="1:6" s="2" customFormat="1" ht="20" customHeight="1" x14ac:dyDescent="0.2">
      <c r="B39" s="4" t="s">
        <v>1931</v>
      </c>
      <c r="C39" s="10" t="s">
        <v>3029</v>
      </c>
      <c r="D39" s="141"/>
      <c r="E39" s="241"/>
    </row>
    <row r="40" spans="1:6" s="2" customFormat="1" ht="16" customHeight="1" x14ac:dyDescent="0.2"/>
    <row r="41" spans="1:6" x14ac:dyDescent="0.2">
      <c r="A41" s="260"/>
      <c r="B41" s="260"/>
      <c r="C41" s="260"/>
      <c r="D41" s="260"/>
      <c r="E41" s="260"/>
      <c r="F41" s="260"/>
    </row>
    <row r="42" spans="1:6" ht="34" customHeight="1" x14ac:dyDescent="0.2">
      <c r="A42" s="260"/>
      <c r="B42" s="680" t="s">
        <v>535</v>
      </c>
      <c r="C42" s="680"/>
      <c r="D42" s="680"/>
      <c r="E42" s="680"/>
      <c r="F42" s="260"/>
    </row>
    <row r="43" spans="1:6" s="25" customFormat="1" x14ac:dyDescent="0.2">
      <c r="A43" s="260"/>
      <c r="B43" s="260"/>
      <c r="C43" s="260"/>
      <c r="D43" s="260"/>
      <c r="E43" s="260"/>
      <c r="F43" s="260"/>
    </row>
    <row r="44" spans="1:6" s="25" customFormat="1" ht="34" customHeight="1" x14ac:dyDescent="0.2">
      <c r="A44" s="267"/>
      <c r="B44" s="679" t="s">
        <v>3044</v>
      </c>
      <c r="C44" s="679"/>
      <c r="D44" s="679"/>
      <c r="E44" s="679"/>
    </row>
    <row r="45" spans="1:6" s="25" customFormat="1" ht="20" customHeight="1" x14ac:dyDescent="0.2">
      <c r="A45" s="267"/>
      <c r="B45" s="268" t="s">
        <v>254</v>
      </c>
      <c r="C45" s="268" t="s">
        <v>255</v>
      </c>
      <c r="D45" s="269" t="s">
        <v>20</v>
      </c>
      <c r="E45" s="268" t="s">
        <v>21</v>
      </c>
    </row>
    <row r="46" spans="1:6" s="25" customFormat="1" ht="20" customHeight="1" x14ac:dyDescent="0.2">
      <c r="A46" s="267"/>
      <c r="B46" s="270" t="s">
        <v>2535</v>
      </c>
      <c r="C46" s="271" t="str">
        <f>sample_mgmt_vc_fqdn</f>
        <v>sfo-m01-vc01.sfo.rainpole.io</v>
      </c>
      <c r="D46" s="140" t="str">
        <f>mgmt_vc_fqdn</f>
        <v>Value Missing</v>
      </c>
      <c r="E46" s="272"/>
    </row>
    <row r="47" spans="1:6" s="25" customFormat="1" ht="20" customHeight="1" x14ac:dyDescent="0.2">
      <c r="A47" s="267"/>
      <c r="B47" s="270" t="s">
        <v>294</v>
      </c>
      <c r="C47" s="271" t="str">
        <f>sample_mgmt_datacenter</f>
        <v>sfo-m01-dc01</v>
      </c>
      <c r="D47" s="140" t="str">
        <f>mgmt_datacenter</f>
        <v>Value Missing</v>
      </c>
      <c r="E47" s="272"/>
    </row>
    <row r="48" spans="1:6" s="25" customFormat="1" ht="20" customHeight="1" x14ac:dyDescent="0.2">
      <c r="A48" s="267"/>
      <c r="B48" s="273" t="s">
        <v>3045</v>
      </c>
      <c r="C48" s="271" t="str">
        <f t="array" ref="C48">sample_cbr_vm_folder</f>
        <v>sfo-m01-fd-cbr</v>
      </c>
      <c r="D48" s="140" t="str">
        <f t="array" ref="D48">cbr_vm_folder</f>
        <v>Value Missing</v>
      </c>
      <c r="E48" s="272"/>
    </row>
    <row r="49" spans="2:5" s="25" customFormat="1" ht="20" customHeight="1" x14ac:dyDescent="0.2"/>
    <row r="50" spans="2:5" s="25" customFormat="1" ht="34" customHeight="1" x14ac:dyDescent="0.2">
      <c r="B50" s="679" t="s">
        <v>3046</v>
      </c>
      <c r="C50" s="679"/>
      <c r="D50" s="679"/>
      <c r="E50" s="679"/>
    </row>
    <row r="51" spans="2:5" s="25" customFormat="1" ht="20" customHeight="1" x14ac:dyDescent="0.2">
      <c r="B51" s="268" t="s">
        <v>254</v>
      </c>
      <c r="C51" s="268" t="s">
        <v>255</v>
      </c>
      <c r="D51" s="269" t="s">
        <v>20</v>
      </c>
      <c r="E51" s="268" t="s">
        <v>21</v>
      </c>
    </row>
    <row r="52" spans="2:5" s="25" customFormat="1" ht="20" customHeight="1" x14ac:dyDescent="0.2">
      <c r="B52" s="270" t="s">
        <v>3047</v>
      </c>
      <c r="C52" s="271" t="s">
        <v>3048</v>
      </c>
      <c r="D52" s="140" t="str">
        <f>C52</f>
        <v>console.cloud.vmware.com</v>
      </c>
      <c r="E52" s="272"/>
    </row>
    <row r="53" spans="2:5" s="25" customFormat="1" ht="20" customHeight="1" x14ac:dyDescent="0.2">
      <c r="B53" s="270" t="s">
        <v>3049</v>
      </c>
      <c r="C53" s="271" t="str">
        <f t="array" ref="C53">sample_cbr_recovery_sddc_name</f>
        <v>aws-recovery-sddc</v>
      </c>
      <c r="D53" s="140" t="str">
        <f>cbr_recovery_sddc_name</f>
        <v>Value Missing</v>
      </c>
      <c r="E53" s="272"/>
    </row>
    <row r="54" spans="2:5" s="25" customFormat="1" ht="20" customHeight="1" x14ac:dyDescent="0.2">
      <c r="B54" s="270" t="s">
        <v>1860</v>
      </c>
      <c r="C54" s="271" t="str">
        <f t="array" ref="C54">sample_cbr_recovery_region</f>
        <v>Europe (Ireland)</v>
      </c>
      <c r="D54" s="140" t="str">
        <f>cbr_recovery_region</f>
        <v>Value Missing</v>
      </c>
      <c r="E54" s="272"/>
    </row>
    <row r="55" spans="2:5" s="25" customFormat="1" ht="20" customHeight="1" x14ac:dyDescent="0.2">
      <c r="B55" s="270" t="s">
        <v>1864</v>
      </c>
      <c r="C55" s="271" t="str">
        <f t="array" ref="C55">sample_cbr_recovery_host_type</f>
        <v>I4i (Local SSD)</v>
      </c>
      <c r="D55" s="140" t="str">
        <f>cbr_recovery_host_type</f>
        <v>Value Missing</v>
      </c>
      <c r="E55" s="272"/>
    </row>
    <row r="56" spans="2:5" s="25" customFormat="1" ht="20" customHeight="1" x14ac:dyDescent="0.2">
      <c r="B56" s="270" t="s">
        <v>1869</v>
      </c>
      <c r="C56" s="271">
        <f t="array" ref="C56">sample_cbr_recovery_host_count</f>
        <v>2</v>
      </c>
      <c r="D56" s="140" t="str">
        <f>cbr_recovery_host_count</f>
        <v>Value Missing</v>
      </c>
      <c r="E56" s="272"/>
    </row>
    <row r="57" spans="2:5" s="25" customFormat="1" ht="20" customHeight="1" x14ac:dyDescent="0.2">
      <c r="B57" s="270" t="s">
        <v>1874</v>
      </c>
      <c r="C57" s="271" t="str">
        <f t="array" ref="C57">sample_cbr_recovery_vpc</f>
        <v>&lt;generated&gt;</v>
      </c>
      <c r="D57" s="140" t="str">
        <f>cbr_recovery_vpc</f>
        <v>Value Missing</v>
      </c>
      <c r="E57" s="272"/>
    </row>
    <row r="58" spans="2:5" s="25" customFormat="1" ht="20" customHeight="1" x14ac:dyDescent="0.2">
      <c r="B58" s="270" t="s">
        <v>1877</v>
      </c>
      <c r="C58" s="271" t="str">
        <f t="array" ref="C58">sample_cbr_recovery_subnet</f>
        <v>&lt;generated&gt;</v>
      </c>
      <c r="D58" s="140" t="str">
        <f t="array" ref="D58">cbr_recovery_subnet</f>
        <v>Value Missing</v>
      </c>
      <c r="E58" s="272"/>
    </row>
    <row r="59" spans="2:5" s="25" customFormat="1" ht="20" customHeight="1" x14ac:dyDescent="0.2">
      <c r="B59" s="270" t="s">
        <v>1882</v>
      </c>
      <c r="C59" s="271" t="str">
        <f t="array" ref="C59">sample_cbr_recovery_management_subnet</f>
        <v>10.2.0.0/16</v>
      </c>
      <c r="D59" s="140" t="str">
        <f>cbr_recovery_management_subnet</f>
        <v>Value Missing</v>
      </c>
      <c r="E59" s="272"/>
    </row>
    <row r="60" spans="2:5" s="25" customFormat="1" ht="20" customHeight="1" x14ac:dyDescent="0.2"/>
    <row r="61" spans="2:5" s="25" customFormat="1" ht="34" customHeight="1" x14ac:dyDescent="0.2">
      <c r="B61" s="679" t="s">
        <v>3050</v>
      </c>
      <c r="C61" s="679"/>
      <c r="D61" s="679"/>
      <c r="E61" s="679"/>
    </row>
    <row r="62" spans="2:5" s="25" customFormat="1" ht="20" customHeight="1" x14ac:dyDescent="0.2">
      <c r="B62" s="268" t="s">
        <v>254</v>
      </c>
      <c r="C62" s="268" t="s">
        <v>255</v>
      </c>
      <c r="D62" s="269" t="s">
        <v>20</v>
      </c>
      <c r="E62" s="268" t="s">
        <v>21</v>
      </c>
    </row>
    <row r="63" spans="2:5" s="25" customFormat="1" ht="20" customHeight="1" x14ac:dyDescent="0.2">
      <c r="B63" s="270" t="s">
        <v>3047</v>
      </c>
      <c r="C63" s="271" t="s">
        <v>3048</v>
      </c>
      <c r="D63" s="140" t="s">
        <v>3048</v>
      </c>
      <c r="E63" s="272"/>
    </row>
    <row r="64" spans="2:5" s="25" customFormat="1" ht="20" customHeight="1" x14ac:dyDescent="0.2">
      <c r="B64" s="270" t="s">
        <v>3051</v>
      </c>
      <c r="C64" s="271" t="str">
        <f t="array" ref="C64">sample_cbr_firewall_rule_vcenter</f>
        <v>vCenter Inbound Rule</v>
      </c>
      <c r="D64" s="140" t="str">
        <f t="array" ref="D64">cbr_firewall_rule_vcenter</f>
        <v>Value Missing</v>
      </c>
      <c r="E64" s="272"/>
    </row>
    <row r="65" spans="2:5" s="25" customFormat="1" ht="20" customHeight="1" x14ac:dyDescent="0.2">
      <c r="B65" s="270" t="s">
        <v>3052</v>
      </c>
      <c r="C65" s="271" t="str">
        <f t="array" ref="C65">sample_cbr_firewall_group</f>
        <v>External-Access</v>
      </c>
      <c r="D65" s="140"/>
      <c r="E65" s="272"/>
    </row>
    <row r="66" spans="2:5" s="25" customFormat="1" ht="20" customHeight="1" x14ac:dyDescent="0.2">
      <c r="B66" s="270" t="s">
        <v>3053</v>
      </c>
      <c r="C66" s="271" t="s">
        <v>713</v>
      </c>
      <c r="D66" s="140" t="str">
        <f>C66</f>
        <v>vCenter</v>
      </c>
      <c r="E66" s="272"/>
    </row>
    <row r="67" spans="2:5" s="25" customFormat="1" ht="20" customHeight="1" x14ac:dyDescent="0.2">
      <c r="B67" s="270" t="s">
        <v>3054</v>
      </c>
      <c r="C67" s="271" t="s">
        <v>3055</v>
      </c>
      <c r="D67" s="140" t="str">
        <f>C67</f>
        <v>HTTPS (TCP 443)</v>
      </c>
      <c r="E67" s="272"/>
    </row>
    <row r="68" spans="2:5" s="25" customFormat="1" ht="20" customHeight="1" x14ac:dyDescent="0.2">
      <c r="B68" s="270" t="s">
        <v>3054</v>
      </c>
      <c r="C68" s="271" t="s">
        <v>3056</v>
      </c>
      <c r="D68" s="140" t="str">
        <f>C68</f>
        <v>SSO (TCP 7444)</v>
      </c>
      <c r="E68" s="272"/>
    </row>
    <row r="69" spans="2:5" s="25" customFormat="1" ht="20" customHeight="1" x14ac:dyDescent="0.2">
      <c r="B69" s="270" t="s">
        <v>3057</v>
      </c>
      <c r="C69" s="271" t="str">
        <f t="array" ref="C69">sample_cbr_firewall_ip_addresses</f>
        <v>69.34.34.11</v>
      </c>
      <c r="D69" s="140"/>
      <c r="E69" s="272"/>
    </row>
    <row r="70" spans="2:5" s="25" customFormat="1" ht="20" customHeight="1" x14ac:dyDescent="0.2"/>
    <row r="71" spans="2:5" s="25" customFormat="1" ht="34" customHeight="1" x14ac:dyDescent="0.2">
      <c r="B71" s="679" t="s">
        <v>3058</v>
      </c>
      <c r="C71" s="679"/>
      <c r="D71" s="679"/>
      <c r="E71" s="679"/>
    </row>
    <row r="72" spans="2:5" s="25" customFormat="1" ht="20" customHeight="1" x14ac:dyDescent="0.2">
      <c r="B72" s="268" t="s">
        <v>254</v>
      </c>
      <c r="C72" s="268" t="s">
        <v>255</v>
      </c>
      <c r="D72" s="269" t="s">
        <v>20</v>
      </c>
      <c r="E72" s="268" t="s">
        <v>21</v>
      </c>
    </row>
    <row r="73" spans="2:5" s="25" customFormat="1" ht="20" customHeight="1" x14ac:dyDescent="0.2">
      <c r="B73" s="270" t="s">
        <v>3047</v>
      </c>
      <c r="C73" s="271" t="s">
        <v>3048</v>
      </c>
      <c r="D73" s="140" t="s">
        <v>3048</v>
      </c>
      <c r="E73" s="272"/>
    </row>
    <row r="74" spans="2:5" s="25" customFormat="1" ht="20" customHeight="1" x14ac:dyDescent="0.2">
      <c r="B74" s="270" t="s">
        <v>1860</v>
      </c>
      <c r="C74" s="271" t="str">
        <f>sample_cbr_recovery_region</f>
        <v>Europe (Ireland)</v>
      </c>
      <c r="D74" s="140" t="str">
        <f>cbr_recovery_region</f>
        <v>Value Missing</v>
      </c>
      <c r="E74" s="272"/>
    </row>
    <row r="75" spans="2:5" s="25" customFormat="1" ht="20" customHeight="1" x14ac:dyDescent="0.2"/>
    <row r="76" spans="2:5" s="25" customFormat="1" ht="34" customHeight="1" x14ac:dyDescent="0.2">
      <c r="B76" s="685" t="s">
        <v>3059</v>
      </c>
      <c r="C76" s="686"/>
      <c r="D76" s="686"/>
      <c r="E76" s="687"/>
    </row>
    <row r="77" spans="2:5" s="25" customFormat="1" ht="20" customHeight="1" x14ac:dyDescent="0.2">
      <c r="B77" s="268" t="s">
        <v>254</v>
      </c>
      <c r="C77" s="268" t="s">
        <v>255</v>
      </c>
      <c r="D77" s="269" t="s">
        <v>20</v>
      </c>
      <c r="E77" s="268" t="s">
        <v>21</v>
      </c>
    </row>
    <row r="78" spans="2:5" s="25" customFormat="1" ht="20" customHeight="1" x14ac:dyDescent="0.2">
      <c r="B78" s="270" t="s">
        <v>3047</v>
      </c>
      <c r="C78" s="271" t="s">
        <v>3048</v>
      </c>
      <c r="D78" s="140" t="s">
        <v>3048</v>
      </c>
      <c r="E78" s="272"/>
    </row>
    <row r="79" spans="2:5" s="25" customFormat="1" ht="20" customHeight="1" x14ac:dyDescent="0.2">
      <c r="B79" s="270" t="s">
        <v>3060</v>
      </c>
      <c r="C79" s="271" t="str">
        <f>sample_cbr_recovery_region</f>
        <v>Europe (Ireland)</v>
      </c>
      <c r="D79" s="140" t="str">
        <f>cbr_recovery_region</f>
        <v>Value Missing</v>
      </c>
      <c r="E79" s="272"/>
    </row>
    <row r="80" spans="2:5" s="25" customFormat="1" ht="20" customHeight="1" x14ac:dyDescent="0.2">
      <c r="B80" s="270" t="s">
        <v>3061</v>
      </c>
      <c r="C80" s="271" t="str">
        <f t="array" ref="C80">sample_cbr_vcdr_cloud_file_system</f>
        <v>usw2-az2-cfs01</v>
      </c>
      <c r="D80" s="140"/>
      <c r="E80" s="272"/>
    </row>
    <row r="81" spans="2:5" s="25" customFormat="1" ht="20" customHeight="1" x14ac:dyDescent="0.2"/>
    <row r="82" spans="2:5" s="25" customFormat="1" ht="34" customHeight="1" x14ac:dyDescent="0.2">
      <c r="B82" s="679" t="s">
        <v>3062</v>
      </c>
      <c r="C82" s="679"/>
      <c r="D82" s="679"/>
      <c r="E82" s="679"/>
    </row>
    <row r="83" spans="2:5" s="25" customFormat="1" ht="20" customHeight="1" x14ac:dyDescent="0.2">
      <c r="B83" s="268" t="s">
        <v>254</v>
      </c>
      <c r="C83" s="268" t="s">
        <v>255</v>
      </c>
      <c r="D83" s="269" t="s">
        <v>20</v>
      </c>
      <c r="E83" s="268" t="s">
        <v>21</v>
      </c>
    </row>
    <row r="84" spans="2:5" s="25" customFormat="1" ht="20" customHeight="1" x14ac:dyDescent="0.2">
      <c r="B84" s="270" t="s">
        <v>3047</v>
      </c>
      <c r="C84" s="271" t="s">
        <v>3048</v>
      </c>
      <c r="D84" s="140" t="s">
        <v>3048</v>
      </c>
      <c r="E84" s="272"/>
    </row>
    <row r="85" spans="2:5" s="25" customFormat="1" ht="20" customHeight="1" x14ac:dyDescent="0.2">
      <c r="B85" s="270" t="s">
        <v>3063</v>
      </c>
      <c r="C85" s="271" t="str">
        <f>sample_cbr_vcdr_cloud_file_system</f>
        <v>usw2-az2-cfs01</v>
      </c>
      <c r="D85" s="140"/>
      <c r="E85" s="272"/>
    </row>
    <row r="86" spans="2:5" s="25" customFormat="1" ht="20" customHeight="1" x14ac:dyDescent="0.2">
      <c r="B86" s="270" t="s">
        <v>3064</v>
      </c>
      <c r="C86" s="271" t="str">
        <f t="array" ref="C86">sample_cbr_vcdr_timezone</f>
        <v>UTC</v>
      </c>
      <c r="D86" s="140" t="str">
        <f t="array" ref="D86">cbr_vcdr_timezone</f>
        <v>Value Missing</v>
      </c>
      <c r="E86" s="272"/>
    </row>
    <row r="87" spans="2:5" s="25" customFormat="1" ht="20" customHeight="1" x14ac:dyDescent="0.2">
      <c r="B87" s="270" t="s">
        <v>3065</v>
      </c>
      <c r="C87" s="271" t="str">
        <f t="array" ref="C87">sample_cbr_vcdr_site_name</f>
        <v>sfo-vcf01-instance</v>
      </c>
      <c r="D87" s="140" t="str">
        <f t="array" ref="D87">cbr_vcdr_site_name</f>
        <v>Value Missing</v>
      </c>
      <c r="E87" s="272"/>
    </row>
    <row r="88" spans="2:5" s="25" customFormat="1" ht="20" customHeight="1" x14ac:dyDescent="0.2"/>
    <row r="89" spans="2:5" s="25" customFormat="1" ht="34" customHeight="1" x14ac:dyDescent="0.2">
      <c r="B89" s="679" t="s">
        <v>3066</v>
      </c>
      <c r="C89" s="679"/>
      <c r="D89" s="679"/>
      <c r="E89" s="679"/>
    </row>
    <row r="90" spans="2:5" s="25" customFormat="1" ht="20" customHeight="1" x14ac:dyDescent="0.2">
      <c r="B90" s="268" t="s">
        <v>254</v>
      </c>
      <c r="C90" s="268" t="s">
        <v>255</v>
      </c>
      <c r="D90" s="269" t="s">
        <v>20</v>
      </c>
      <c r="E90" s="268" t="s">
        <v>21</v>
      </c>
    </row>
    <row r="91" spans="2:5" s="25" customFormat="1" ht="20" customHeight="1" x14ac:dyDescent="0.2">
      <c r="B91" s="270" t="s">
        <v>3047</v>
      </c>
      <c r="C91" s="271" t="s">
        <v>3048</v>
      </c>
      <c r="D91" s="140" t="s">
        <v>3048</v>
      </c>
      <c r="E91" s="272"/>
    </row>
    <row r="92" spans="2:5" s="25" customFormat="1" ht="20" customHeight="1" x14ac:dyDescent="0.2">
      <c r="B92" s="270" t="s">
        <v>3067</v>
      </c>
      <c r="C92" s="271" t="str">
        <f>sample_cbr_vcdr_site_name</f>
        <v>sfo-vcf01-instance</v>
      </c>
      <c r="D92" s="140" t="str">
        <f>cbr_vcdr_site_name</f>
        <v>Value Missing</v>
      </c>
      <c r="E92" s="272"/>
    </row>
    <row r="93" spans="2:5" s="25" customFormat="1" ht="20" customHeight="1" x14ac:dyDescent="0.2">
      <c r="B93" s="270" t="s">
        <v>3068</v>
      </c>
      <c r="C93" s="271" t="str">
        <f t="array" ref="C93">sample_cbr_vcdr_ova</f>
        <v>https://vcdr-34-212-247-60.app.vcdr.vmware.com:443/vmware-cloud-connector.ova</v>
      </c>
      <c r="D93" s="140" t="str">
        <f t="array" ref="D93">cbr_vcdr_ova</f>
        <v>Value Missing</v>
      </c>
      <c r="E93" s="272"/>
    </row>
    <row r="94" spans="2:5" s="25" customFormat="1" ht="20" customHeight="1" x14ac:dyDescent="0.2">
      <c r="B94" s="270" t="s">
        <v>2535</v>
      </c>
      <c r="C94" s="271" t="str">
        <f>sample_mgmt_vc_fqdn</f>
        <v>sfo-m01-vc01.sfo.rainpole.io</v>
      </c>
      <c r="D94" s="140" t="str">
        <f>mgmt_vc_fqdn</f>
        <v>Value Missing</v>
      </c>
      <c r="E94" s="272"/>
    </row>
    <row r="95" spans="2:5" s="25" customFormat="1" ht="20" customHeight="1" x14ac:dyDescent="0.2">
      <c r="B95" s="270" t="s">
        <v>2389</v>
      </c>
      <c r="C95" s="271" t="str">
        <f>sample_cbr_vm_folder</f>
        <v>sfo-m01-fd-cbr</v>
      </c>
      <c r="D95" s="140" t="str">
        <f>cbr_vm_folder</f>
        <v>Value Missing</v>
      </c>
      <c r="E95" s="272"/>
    </row>
    <row r="96" spans="2:5" s="25" customFormat="1" ht="20" customHeight="1" x14ac:dyDescent="0.2">
      <c r="B96" s="270" t="s">
        <v>2470</v>
      </c>
      <c r="C96" s="271" t="str">
        <f t="array" ref="C96">sample_cbr_vcdr_cdp1_hostname</f>
        <v>sfo-cbr-cdp01a</v>
      </c>
      <c r="D96" s="140" t="str">
        <f t="array" ref="D96">cbr_vcdr_cdp1_hostname</f>
        <v>Value Missing</v>
      </c>
      <c r="E96" s="272"/>
    </row>
    <row r="97" spans="1:5" s="25" customFormat="1" ht="20" customHeight="1" x14ac:dyDescent="0.2">
      <c r="B97" s="270" t="s">
        <v>2472</v>
      </c>
      <c r="C97" s="271" t="str">
        <f>sample_mgmt_cl01_cluster</f>
        <v>sfo-m01-cl01</v>
      </c>
      <c r="D97" s="140" t="str">
        <f>mgmt_cl01_cluster</f>
        <v>Value Missing</v>
      </c>
      <c r="E97" s="272"/>
    </row>
    <row r="98" spans="1:5" s="25" customFormat="1" ht="20" customHeight="1" x14ac:dyDescent="0.2">
      <c r="B98" s="270" t="s">
        <v>3069</v>
      </c>
      <c r="C98" s="271" t="str">
        <f>sample_mgmt_cl01_vsan_datastore</f>
        <v>sfo-m01-cl01-ds-vsan01</v>
      </c>
      <c r="D98" s="140" t="str">
        <f>mgmt_cl01_vsan_datastore</f>
        <v>Value Missing</v>
      </c>
      <c r="E98" s="272"/>
    </row>
    <row r="99" spans="1:5" s="25" customFormat="1" ht="20" customHeight="1" x14ac:dyDescent="0.2">
      <c r="B99" s="270" t="s">
        <v>245</v>
      </c>
      <c r="C99" s="271" t="str">
        <f>sample_mgmt_cl01_az1_mgmt_pg</f>
        <v>sfo-m01-cl01-vds01-pg-esx-mgmt</v>
      </c>
      <c r="D99" s="140" t="str">
        <f>mgmt_cl01_az1_mgmt_pg</f>
        <v>Value Missing</v>
      </c>
      <c r="E99" s="272"/>
    </row>
    <row r="100" spans="1:5" s="25" customFormat="1" ht="20" customHeight="1" x14ac:dyDescent="0.2">
      <c r="B100" s="270" t="s">
        <v>3070</v>
      </c>
      <c r="C100" s="271" t="s">
        <v>422</v>
      </c>
      <c r="D100" s="140" t="str">
        <f>C100</f>
        <v>admin</v>
      </c>
      <c r="E100" s="272"/>
    </row>
    <row r="101" spans="1:5" s="25" customFormat="1" ht="20" customHeight="1" x14ac:dyDescent="0.2">
      <c r="B101" s="270" t="s">
        <v>655</v>
      </c>
      <c r="C101" s="271"/>
      <c r="D101" s="140"/>
      <c r="E101" s="272"/>
    </row>
    <row r="102" spans="1:5" s="25" customFormat="1" ht="20" customHeight="1" x14ac:dyDescent="0.2">
      <c r="B102" s="270" t="s">
        <v>3071</v>
      </c>
      <c r="C102" s="271" t="s">
        <v>105</v>
      </c>
      <c r="D102" s="140" t="str">
        <f>C102</f>
        <v>Static</v>
      </c>
      <c r="E102" s="272"/>
    </row>
    <row r="103" spans="1:5" s="25" customFormat="1" ht="20" customHeight="1" x14ac:dyDescent="0.2">
      <c r="B103" s="270" t="s">
        <v>276</v>
      </c>
      <c r="C103" s="271" t="str">
        <f t="array" ref="C103">sample_cbr_vcdr_cdp1_ip</f>
        <v>10.11.10.44</v>
      </c>
      <c r="D103" s="140" t="str">
        <f t="array" ref="D103">cbr_vcdr_cdp1_ip</f>
        <v>Value Missing</v>
      </c>
      <c r="E103" s="272"/>
    </row>
    <row r="104" spans="1:5" s="25" customFormat="1" ht="20" customHeight="1" x14ac:dyDescent="0.2">
      <c r="B104" s="270" t="s">
        <v>3072</v>
      </c>
      <c r="C104" s="271"/>
      <c r="D104" s="140" t="str">
        <f>mgmt_az1_mgmt_mask</f>
        <v>Value Missing</v>
      </c>
      <c r="E104" s="272"/>
    </row>
    <row r="105" spans="1:5" s="25" customFormat="1" ht="20" customHeight="1" x14ac:dyDescent="0.2">
      <c r="B105" s="270" t="s">
        <v>182</v>
      </c>
      <c r="C105" s="271" t="str">
        <f>sample_mgmt_az1_mgmt_gateway_cidr</f>
        <v>10.11.11.1/24</v>
      </c>
      <c r="D105" s="140" t="str">
        <f>mgmt_az1_mgmt_gateway_ip</f>
        <v>Value Missing</v>
      </c>
      <c r="E105" s="272"/>
    </row>
    <row r="106" spans="1:5" s="25" customFormat="1" ht="20" customHeight="1" x14ac:dyDescent="0.2">
      <c r="B106" s="270" t="s">
        <v>565</v>
      </c>
      <c r="C106" s="271" t="str">
        <f>CONCATENATE(sample_region_dns1_ip," ",sample_region_dns2_ip)</f>
        <v>10.11.10.4 10.11.10.5</v>
      </c>
      <c r="D106" s="140" t="str">
        <f>CONCATENATE(region_dns1_ip," ",region_dns2_ip)</f>
        <v>Value Missing Value Missing</v>
      </c>
      <c r="E106" s="272"/>
    </row>
    <row r="107" spans="1:5" s="25" customFormat="1" ht="20" customHeight="1" x14ac:dyDescent="0.2">
      <c r="B107" s="270" t="s">
        <v>1909</v>
      </c>
      <c r="C107" s="271" t="str">
        <f t="array" ref="C107">sample_cbr_vcdr_orchestrator_fqdn</f>
        <v>vcdr-34-212-247-60.app.vcdr.vmware.com</v>
      </c>
      <c r="D107" s="140" t="str">
        <f t="array" ref="D107">cbr_vcdr_orchestrator_fqdn</f>
        <v>Value Missing</v>
      </c>
      <c r="E107" s="272"/>
    </row>
    <row r="108" spans="1:5" s="25" customFormat="1" ht="20" customHeight="1" x14ac:dyDescent="0.2">
      <c r="B108" s="270" t="s">
        <v>1912</v>
      </c>
      <c r="C108" s="271" t="str">
        <f t="array" ref="C108">sample_cbr_vcdr_passcode</f>
        <v>&lt;generated&gt;</v>
      </c>
      <c r="D108" s="140" t="str">
        <f t="array" ref="D108">cbr_vcdr_passcode</f>
        <v>Value Missing</v>
      </c>
      <c r="E108" s="272"/>
    </row>
    <row r="109" spans="1:5" s="25" customFormat="1" ht="20" customHeight="1" x14ac:dyDescent="0.2">
      <c r="B109" s="270" t="s">
        <v>1916</v>
      </c>
      <c r="C109" s="271" t="str">
        <f t="array" ref="C109">sample_cbr_vcdr_label</f>
        <v>sfo-cbr-cdp01</v>
      </c>
      <c r="D109" s="140" t="str">
        <f t="array" ref="D109">cbr_vcdr_label</f>
        <v>Value Missing</v>
      </c>
      <c r="E109" s="272"/>
    </row>
    <row r="110" spans="1:5" s="25" customFormat="1" ht="20" customHeight="1" x14ac:dyDescent="0.2"/>
    <row r="111" spans="1:5" ht="34.25" customHeight="1" x14ac:dyDescent="0.2">
      <c r="A111" s="267"/>
      <c r="B111" s="679" t="s">
        <v>3073</v>
      </c>
      <c r="C111" s="679"/>
      <c r="D111" s="679"/>
      <c r="E111" s="679"/>
    </row>
    <row r="112" spans="1:5" ht="20" customHeight="1" x14ac:dyDescent="0.2">
      <c r="A112" s="267"/>
      <c r="B112" s="268" t="s">
        <v>254</v>
      </c>
      <c r="C112" s="268" t="s">
        <v>255</v>
      </c>
      <c r="D112" s="269" t="s">
        <v>20</v>
      </c>
      <c r="E112" s="268" t="s">
        <v>21</v>
      </c>
    </row>
    <row r="113" spans="1:5" ht="20" customHeight="1" x14ac:dyDescent="0.2">
      <c r="A113" s="267"/>
      <c r="B113" s="270" t="s">
        <v>3047</v>
      </c>
      <c r="C113" s="271" t="s">
        <v>3048</v>
      </c>
      <c r="D113" s="140" t="str">
        <f>C113</f>
        <v>console.cloud.vmware.com</v>
      </c>
      <c r="E113" s="272"/>
    </row>
    <row r="114" spans="1:5" ht="20" customHeight="1" x14ac:dyDescent="0.2">
      <c r="A114" s="267"/>
      <c r="B114" s="270" t="s">
        <v>3067</v>
      </c>
      <c r="C114" s="271" t="str">
        <f>sample_cbr_vcdr_site_name</f>
        <v>sfo-vcf01-instance</v>
      </c>
      <c r="D114" s="140" t="str">
        <f>cbr_vcdr_site_name</f>
        <v>Value Missing</v>
      </c>
      <c r="E114" s="272"/>
    </row>
    <row r="115" spans="1:5" ht="20" customHeight="1" x14ac:dyDescent="0.2">
      <c r="A115" s="267"/>
      <c r="B115" s="270" t="s">
        <v>3074</v>
      </c>
      <c r="C115" s="271" t="str">
        <f>sample_wld_vc_ip</f>
        <v>10.11.10.130</v>
      </c>
      <c r="D115" s="140" t="str">
        <f>wld_vc_ip</f>
        <v>Value Missing</v>
      </c>
      <c r="E115" s="272"/>
    </row>
    <row r="116" spans="1:5" ht="20" customHeight="1" x14ac:dyDescent="0.2">
      <c r="A116" s="267"/>
      <c r="B116" s="270" t="s">
        <v>3075</v>
      </c>
      <c r="C116" s="271" t="str">
        <f>sso_default_admin</f>
        <v>administrator@vsphere.local</v>
      </c>
      <c r="D116" s="140" t="str">
        <f>sso_default_admin</f>
        <v>administrator@vsphere.local</v>
      </c>
      <c r="E116" s="272"/>
    </row>
    <row r="117" spans="1:5" ht="20" customHeight="1" x14ac:dyDescent="0.2">
      <c r="A117" s="267"/>
      <c r="B117" s="270" t="s">
        <v>3076</v>
      </c>
      <c r="C117" s="271" t="str">
        <f>sample_administrator_vsphere_local_password</f>
        <v>VMw@re1!VMw@re1!</v>
      </c>
      <c r="D117" s="140" t="str">
        <f>administrator_vsphere_local_password</f>
        <v>Value Missing</v>
      </c>
      <c r="E117" s="272"/>
    </row>
    <row r="118" spans="1:5" ht="20" customHeight="1" x14ac:dyDescent="0.2">
      <c r="A118" s="267"/>
      <c r="B118" s="270" t="s">
        <v>3077</v>
      </c>
      <c r="C118" s="271" t="str">
        <f>CONCATENATE(sample_svc_cbr_vcdr_vsphere_user,"@vsphere.local")</f>
        <v>svc-vlcr-vsphere@vsphere.local</v>
      </c>
      <c r="D118" s="140" t="str">
        <f>CONCATENATE(svc_cbr_vcdr_vsphere_user,"@vsphere.local")</f>
        <v>Value Missing@vsphere.local</v>
      </c>
      <c r="E118" s="272"/>
    </row>
    <row r="119" spans="1:5" ht="20" customHeight="1" x14ac:dyDescent="0.2">
      <c r="A119" s="267"/>
      <c r="B119" s="270" t="s">
        <v>3078</v>
      </c>
      <c r="C119" s="271" t="str">
        <f>sample_svc_cbr_vcdr_vsphere_password</f>
        <v>VMw@re1!</v>
      </c>
      <c r="D119" s="140" t="str">
        <f t="array" ref="D119">svc_cbr_vcdr_vsphere_password</f>
        <v>Value Missing</v>
      </c>
      <c r="E119" s="272"/>
    </row>
    <row r="120" spans="1:5" ht="20" customHeight="1" x14ac:dyDescent="0.2">
      <c r="A120" s="267"/>
      <c r="B120" s="274" t="s">
        <v>3079</v>
      </c>
      <c r="C120" s="271" t="str">
        <f>sample_cbr_vcdr_vsphere_role</f>
        <v>VMware Live Cyber Recovery to vSphere Integration</v>
      </c>
      <c r="D120" s="140" t="str">
        <f>cbr_vcdr_vsphere_role</f>
        <v>Value Missing</v>
      </c>
      <c r="E120" s="272"/>
    </row>
    <row r="121" spans="1:5" ht="20" customHeight="1" x14ac:dyDescent="0.2">
      <c r="A121" s="267"/>
      <c r="B121" s="275"/>
      <c r="C121" s="276"/>
      <c r="D121" s="276"/>
      <c r="E121" s="267"/>
    </row>
    <row r="122" spans="1:5" s="25" customFormat="1" ht="34" customHeight="1" x14ac:dyDescent="0.2">
      <c r="B122" s="679" t="s">
        <v>3080</v>
      </c>
      <c r="C122" s="679"/>
      <c r="D122" s="679"/>
      <c r="E122" s="679"/>
    </row>
    <row r="123" spans="1:5" s="25" customFormat="1" ht="20" customHeight="1" x14ac:dyDescent="0.2">
      <c r="B123" s="268" t="s">
        <v>254</v>
      </c>
      <c r="C123" s="268" t="s">
        <v>255</v>
      </c>
      <c r="D123" s="269" t="s">
        <v>20</v>
      </c>
      <c r="E123" s="268" t="s">
        <v>21</v>
      </c>
    </row>
    <row r="124" spans="1:5" s="25" customFormat="1" ht="20" customHeight="1" x14ac:dyDescent="0.2">
      <c r="B124" s="270" t="s">
        <v>2535</v>
      </c>
      <c r="C124" s="271" t="str">
        <f>sample_mgmt_vc_fqdn</f>
        <v>sfo-m01-vc01.sfo.rainpole.io</v>
      </c>
      <c r="D124" s="140" t="str">
        <f>mgmt_vc_fqdn</f>
        <v>Value Missing</v>
      </c>
      <c r="E124" s="272"/>
    </row>
    <row r="125" spans="1:5" s="25" customFormat="1" ht="20" customHeight="1" x14ac:dyDescent="0.2">
      <c r="B125" s="270" t="s">
        <v>294</v>
      </c>
      <c r="C125" s="271" t="str">
        <f>sample_mgmt_datacenter</f>
        <v>sfo-m01-dc01</v>
      </c>
      <c r="D125" s="140" t="str">
        <f>mgmt_datacenter</f>
        <v>Value Missing</v>
      </c>
      <c r="E125" s="272"/>
    </row>
    <row r="126" spans="1:5" s="25" customFormat="1" ht="20" customHeight="1" x14ac:dyDescent="0.2">
      <c r="B126" s="270" t="s">
        <v>646</v>
      </c>
      <c r="C126" s="271" t="str">
        <f>sample_mgmt_cl01_cluster</f>
        <v>sfo-m01-cl01</v>
      </c>
      <c r="D126" s="140" t="str">
        <f>mgmt_cl01_cluster</f>
        <v>Value Missing</v>
      </c>
      <c r="E126" s="272"/>
    </row>
    <row r="127" spans="1:5" s="25" customFormat="1" ht="20" customHeight="1" x14ac:dyDescent="0.2">
      <c r="B127" s="270" t="s">
        <v>254</v>
      </c>
      <c r="C127" s="271" t="str">
        <f>sample_cbr_vcdr_anti_affinity</f>
        <v>sfo-m01anti-affinity-rule-cbr</v>
      </c>
      <c r="D127" s="140" t="str">
        <f>cbr_vcdr_anti_affinity</f>
        <v>Value Missing</v>
      </c>
      <c r="E127" s="272"/>
    </row>
    <row r="128" spans="1:5" s="25" customFormat="1" ht="20" customHeight="1" x14ac:dyDescent="0.2">
      <c r="B128" s="270" t="s">
        <v>3081</v>
      </c>
      <c r="C128" s="271" t="str">
        <f>sample_cbr_vcdr_cdp1_hostname</f>
        <v>sfo-cbr-cdp01a</v>
      </c>
      <c r="D128" s="140" t="str">
        <f>cbr_vcdr_cdp1_hostname</f>
        <v>Value Missing</v>
      </c>
      <c r="E128" s="272"/>
    </row>
    <row r="129" spans="2:5" s="25" customFormat="1" ht="20" customHeight="1" x14ac:dyDescent="0.2">
      <c r="B129" s="277" t="s">
        <v>3082</v>
      </c>
      <c r="C129" s="278" t="str">
        <f>sample_cbr_vcdr_cdp2_hostname</f>
        <v>sfo-cbr-cdp01b</v>
      </c>
      <c r="D129" s="279" t="str">
        <f>cbr_vcdr_cdp2_hostname</f>
        <v>Value Missing</v>
      </c>
      <c r="E129" s="272"/>
    </row>
    <row r="130" spans="2:5" s="25" customFormat="1" ht="20" customHeight="1" x14ac:dyDescent="0.2"/>
    <row r="131" spans="2:5" s="25" customFormat="1" ht="34" customHeight="1" x14ac:dyDescent="0.2">
      <c r="B131" s="679" t="s">
        <v>3083</v>
      </c>
      <c r="C131" s="679"/>
      <c r="D131" s="679"/>
      <c r="E131" s="679"/>
    </row>
    <row r="132" spans="2:5" s="25" customFormat="1" ht="20" customHeight="1" x14ac:dyDescent="0.2">
      <c r="B132" s="268" t="s">
        <v>254</v>
      </c>
      <c r="C132" s="268" t="s">
        <v>255</v>
      </c>
      <c r="D132" s="269" t="s">
        <v>20</v>
      </c>
      <c r="E132" s="268" t="s">
        <v>21</v>
      </c>
    </row>
    <row r="133" spans="2:5" s="25" customFormat="1" ht="20" customHeight="1" x14ac:dyDescent="0.2">
      <c r="B133" s="270" t="s">
        <v>2535</v>
      </c>
      <c r="C133" s="271" t="str">
        <f>sample_mgmt_vc_fqdn</f>
        <v>sfo-m01-vc01.sfo.rainpole.io</v>
      </c>
      <c r="D133" s="140" t="str">
        <f>mgmt_vc_fqdn</f>
        <v>Value Missing</v>
      </c>
      <c r="E133" s="272"/>
    </row>
    <row r="134" spans="2:5" s="25" customFormat="1" ht="20" customHeight="1" x14ac:dyDescent="0.2">
      <c r="B134" s="270" t="s">
        <v>254</v>
      </c>
      <c r="C134" s="271" t="str">
        <f>CONCATENATE(sample_mgmt_cl01_cluster,"_primary-az-vmgroup")</f>
        <v>sfo-m01-cl01_primary-az-vmgroup</v>
      </c>
      <c r="D134" s="140" t="str">
        <f>CONCATENATE(mgmt_cl01_cluster,"_primary-az-vmgroup")</f>
        <v>Value Missing_primary-az-vmgroup</v>
      </c>
      <c r="E134" s="272"/>
    </row>
    <row r="135" spans="2:5" s="25" customFormat="1" ht="20" customHeight="1" x14ac:dyDescent="0.2">
      <c r="B135" s="270" t="s">
        <v>3081</v>
      </c>
      <c r="C135" s="271" t="str">
        <f>sample_cbr_vcdr_cdp1_hostname</f>
        <v>sfo-cbr-cdp01a</v>
      </c>
      <c r="D135" s="140" t="str">
        <f>cbr_vcdr_cdp1_hostname</f>
        <v>Value Missing</v>
      </c>
      <c r="E135" s="272"/>
    </row>
    <row r="136" spans="2:5" s="25" customFormat="1" ht="20" customHeight="1" x14ac:dyDescent="0.2">
      <c r="B136" s="277" t="s">
        <v>3082</v>
      </c>
      <c r="C136" s="278" t="str">
        <f>sample_cbr_vcdr_cdp2_hostname</f>
        <v>sfo-cbr-cdp01b</v>
      </c>
      <c r="D136" s="279" t="str">
        <f>cbr_vcdr_cdp2_hostname</f>
        <v>Value Missing</v>
      </c>
      <c r="E136" s="272"/>
    </row>
    <row r="137" spans="2:5" s="25" customFormat="1" ht="20" customHeight="1" x14ac:dyDescent="0.2"/>
    <row r="138" spans="2:5" s="25" customFormat="1" ht="34" customHeight="1" x14ac:dyDescent="0.2">
      <c r="B138" s="679" t="s">
        <v>3084</v>
      </c>
      <c r="C138" s="679"/>
      <c r="D138" s="679"/>
      <c r="E138" s="679"/>
    </row>
    <row r="139" spans="2:5" s="25" customFormat="1" ht="20" customHeight="1" x14ac:dyDescent="0.2">
      <c r="B139" s="268" t="s">
        <v>254</v>
      </c>
      <c r="C139" s="268" t="s">
        <v>255</v>
      </c>
      <c r="D139" s="269" t="s">
        <v>20</v>
      </c>
      <c r="E139" s="268" t="s">
        <v>21</v>
      </c>
    </row>
    <row r="140" spans="2:5" s="25" customFormat="1" ht="20" customHeight="1" x14ac:dyDescent="0.2">
      <c r="B140" s="270" t="s">
        <v>3047</v>
      </c>
      <c r="C140" s="271" t="s">
        <v>3048</v>
      </c>
      <c r="D140" s="140" t="str">
        <f>C140</f>
        <v>console.cloud.vmware.com</v>
      </c>
      <c r="E140" s="272"/>
    </row>
    <row r="141" spans="2:5" s="25" customFormat="1" ht="20" customHeight="1" x14ac:dyDescent="0.2">
      <c r="B141" s="270" t="s">
        <v>3067</v>
      </c>
      <c r="C141" s="271" t="str">
        <f>sample_cbr_vcdr_site_name</f>
        <v>sfo-vcf01-instance</v>
      </c>
      <c r="D141" s="140" t="str">
        <f>cbr_vcdr_site_name</f>
        <v>Value Missing</v>
      </c>
      <c r="E141" s="272"/>
    </row>
    <row r="142" spans="2:5" s="25" customFormat="1" ht="20" customHeight="1" x14ac:dyDescent="0.2">
      <c r="B142" s="270" t="s">
        <v>3085</v>
      </c>
      <c r="C142" s="271" t="str">
        <f>sample_wld_vc_ip</f>
        <v>10.11.10.130</v>
      </c>
      <c r="D142" s="140" t="str">
        <f>wld_vc_ip</f>
        <v>Value Missing</v>
      </c>
      <c r="E142" s="272"/>
    </row>
    <row r="143" spans="2:5" s="25" customFormat="1" ht="20" customHeight="1" x14ac:dyDescent="0.2">
      <c r="B143" s="270" t="s">
        <v>3086</v>
      </c>
      <c r="C143" s="271" t="str">
        <f>CONCATENATE(sample_svc_cbr_vcdr_vsphere_user,"@vsphere.local")</f>
        <v>svc-vlcr-vsphere@vsphere.local</v>
      </c>
      <c r="D143" s="140" t="str">
        <f>CONCATENATE(svc_cbr_vcdr_vsphere_user,"@vsphere.local")</f>
        <v>Value Missing@vsphere.local</v>
      </c>
      <c r="E143" s="272"/>
    </row>
    <row r="144" spans="2:5" s="25" customFormat="1" ht="20" customHeight="1" x14ac:dyDescent="0.2">
      <c r="B144" s="270" t="s">
        <v>30</v>
      </c>
      <c r="C144" s="271" t="str">
        <f>sample_svc_cbr_vcdr_vsphere_password</f>
        <v>VMw@re1!</v>
      </c>
      <c r="D144" s="140" t="str">
        <f>svc_cbr_vcdr_vsphere_password</f>
        <v>Value Missing</v>
      </c>
      <c r="E144" s="272"/>
    </row>
    <row r="145" spans="1:6" s="25" customFormat="1" ht="20" customHeight="1" x14ac:dyDescent="0.2"/>
    <row r="146" spans="1:6" s="25" customFormat="1" ht="34" customHeight="1" x14ac:dyDescent="0.2">
      <c r="B146" s="679" t="s">
        <v>3087</v>
      </c>
      <c r="C146" s="679"/>
      <c r="D146" s="679"/>
      <c r="E146" s="679"/>
    </row>
    <row r="147" spans="1:6" s="25" customFormat="1" ht="20" customHeight="1" x14ac:dyDescent="0.2">
      <c r="B147" s="268" t="s">
        <v>254</v>
      </c>
      <c r="C147" s="268" t="s">
        <v>255</v>
      </c>
      <c r="D147" s="269" t="s">
        <v>20</v>
      </c>
      <c r="E147" s="268" t="s">
        <v>21</v>
      </c>
    </row>
    <row r="148" spans="1:6" s="25" customFormat="1" ht="20" customHeight="1" x14ac:dyDescent="0.2">
      <c r="B148" s="270" t="s">
        <v>3047</v>
      </c>
      <c r="C148" s="271" t="s">
        <v>3048</v>
      </c>
      <c r="D148" s="140" t="str">
        <f>C148</f>
        <v>console.cloud.vmware.com</v>
      </c>
      <c r="E148" s="272"/>
    </row>
    <row r="149" spans="1:6" s="25" customFormat="1" ht="20" customHeight="1" x14ac:dyDescent="0.2">
      <c r="B149" s="270" t="s">
        <v>3067</v>
      </c>
      <c r="C149" s="271" t="str">
        <f>sample_cbr_vcdr_site_name</f>
        <v>sfo-vcf01-instance</v>
      </c>
      <c r="D149" s="140" t="str">
        <f>cbr_vcdr_site_name</f>
        <v>Value Missing</v>
      </c>
      <c r="E149" s="272"/>
    </row>
    <row r="150" spans="1:6" s="25" customFormat="1" ht="20" customHeight="1" x14ac:dyDescent="0.2"/>
    <row r="151" spans="1:6" s="25" customFormat="1" ht="34" customHeight="1" x14ac:dyDescent="0.2">
      <c r="B151" s="679" t="s">
        <v>3088</v>
      </c>
      <c r="C151" s="679"/>
      <c r="D151" s="679"/>
      <c r="E151" s="679"/>
    </row>
    <row r="152" spans="1:6" s="25" customFormat="1" ht="20" customHeight="1" x14ac:dyDescent="0.2">
      <c r="B152" s="268" t="s">
        <v>254</v>
      </c>
      <c r="C152" s="268" t="s">
        <v>255</v>
      </c>
      <c r="D152" s="269" t="s">
        <v>20</v>
      </c>
      <c r="E152" s="268" t="s">
        <v>21</v>
      </c>
    </row>
    <row r="153" spans="1:6" s="25" customFormat="1" ht="20" customHeight="1" x14ac:dyDescent="0.2">
      <c r="B153" s="270" t="s">
        <v>3047</v>
      </c>
      <c r="C153" s="271" t="s">
        <v>3048</v>
      </c>
      <c r="D153" s="140" t="str">
        <f>C153</f>
        <v>console.cloud.vmware.com</v>
      </c>
      <c r="E153" s="272"/>
    </row>
    <row r="154" spans="1:6" s="25" customFormat="1" ht="20" customHeight="1" x14ac:dyDescent="0.2">
      <c r="B154" s="270" t="s">
        <v>1922</v>
      </c>
      <c r="C154" s="271" t="str">
        <f>sample_cbr_vcdr_email_recipient</f>
        <v>cloudadmins@rainpole.io</v>
      </c>
      <c r="D154" s="140" t="str">
        <f>cbr_vcdr_email_recipient</f>
        <v>Value Missing</v>
      </c>
      <c r="E154" s="272"/>
    </row>
    <row r="155" spans="1:6" s="25" customFormat="1" ht="20" customHeight="1" x14ac:dyDescent="0.2">
      <c r="B155" s="270" t="s">
        <v>1925</v>
      </c>
      <c r="C155" s="271" t="str">
        <f>sample_cbr_vcdr_email_sender</f>
        <v>administrator@rainpole.io</v>
      </c>
      <c r="D155" s="140" t="str">
        <f>cbr_vcdr_email_sender</f>
        <v>Value Missing</v>
      </c>
      <c r="E155" s="272"/>
    </row>
    <row r="156" spans="1:6" s="25" customFormat="1" ht="20" customHeight="1" x14ac:dyDescent="0.2">
      <c r="B156" s="270" t="s">
        <v>3089</v>
      </c>
      <c r="C156" s="271" t="s">
        <v>3090</v>
      </c>
      <c r="D156" s="140" t="str">
        <f>C156</f>
        <v>no-reply-vlcr</v>
      </c>
      <c r="E156" s="272"/>
    </row>
    <row r="157" spans="1:6" s="25" customFormat="1" ht="20" customHeight="1" x14ac:dyDescent="0.2"/>
    <row r="158" spans="1:6" s="25" customFormat="1" ht="34" customHeight="1" x14ac:dyDescent="0.2">
      <c r="A158" s="260"/>
      <c r="B158" s="680" t="s">
        <v>2604</v>
      </c>
      <c r="C158" s="680"/>
      <c r="D158" s="680"/>
      <c r="E158" s="680"/>
      <c r="F158" s="260"/>
    </row>
    <row r="159" spans="1:6" s="25" customFormat="1" ht="20" customHeight="1" x14ac:dyDescent="0.2"/>
    <row r="160" spans="1:6" s="25" customFormat="1" ht="34" customHeight="1" x14ac:dyDescent="0.2">
      <c r="B160" s="683" t="s">
        <v>3091</v>
      </c>
      <c r="C160" s="684"/>
      <c r="D160" s="684"/>
      <c r="E160" s="684"/>
    </row>
    <row r="161" spans="2:5" s="25" customFormat="1" ht="20" customHeight="1" x14ac:dyDescent="0.2"/>
    <row r="162" spans="2:5" s="25" customFormat="1" ht="34" customHeight="1" x14ac:dyDescent="0.2">
      <c r="B162" s="679" t="s">
        <v>3092</v>
      </c>
      <c r="C162" s="679"/>
      <c r="D162" s="679"/>
      <c r="E162" s="679"/>
    </row>
    <row r="163" spans="2:5" s="25" customFormat="1" ht="20" customHeight="1" x14ac:dyDescent="0.2">
      <c r="B163" s="268" t="s">
        <v>254</v>
      </c>
      <c r="C163" s="268" t="s">
        <v>255</v>
      </c>
      <c r="D163" s="269" t="s">
        <v>20</v>
      </c>
      <c r="E163" s="268" t="s">
        <v>21</v>
      </c>
    </row>
    <row r="164" spans="2:5" s="25" customFormat="1" ht="20" customHeight="1" x14ac:dyDescent="0.2">
      <c r="B164" s="270" t="s">
        <v>2772</v>
      </c>
      <c r="C164" s="271" t="str">
        <f>sample_xreg_vrops_virtual_fqdn</f>
        <v>flt-ops01.rainpole.io</v>
      </c>
      <c r="D164" s="140" t="str">
        <f>xreg_vrops_virtual_fqdn</f>
        <v>Value Missing</v>
      </c>
      <c r="E164" s="272"/>
    </row>
    <row r="165" spans="2:5" s="25" customFormat="1" ht="20" customHeight="1" x14ac:dyDescent="0.2">
      <c r="B165" s="270" t="s">
        <v>254</v>
      </c>
      <c r="C165" s="271" t="str">
        <f>"ransomware-recovery-proxies"</f>
        <v>ransomware-recovery-proxies</v>
      </c>
      <c r="D165" s="140" t="str">
        <f>C165</f>
        <v>ransomware-recovery-proxies</v>
      </c>
      <c r="E165" s="272"/>
    </row>
    <row r="166" spans="2:5" s="25" customFormat="1" ht="20" customHeight="1" x14ac:dyDescent="0.2">
      <c r="B166" s="270" t="s">
        <v>3093</v>
      </c>
      <c r="C166" s="271" t="str">
        <f>C165</f>
        <v>ransomware-recovery-proxies</v>
      </c>
      <c r="D166" s="140" t="str">
        <f>C166</f>
        <v>ransomware-recovery-proxies</v>
      </c>
      <c r="E166" s="272"/>
    </row>
    <row r="167" spans="2:5" s="25" customFormat="1" ht="20" customHeight="1" x14ac:dyDescent="0.2">
      <c r="B167" s="270" t="s">
        <v>3094</v>
      </c>
      <c r="C167" s="271" t="str">
        <f>CONCATENATE(sample_cbr_vcdr_cdp1_ip,",",sample_cbr_vcdr_cdp2_ip)</f>
        <v>10.11.10.44,10.11.10.45</v>
      </c>
      <c r="D167" s="140" t="str">
        <f>CONCATENATE(cbr_vcdr_cdp1_ip,",",cbr_vcdr_cdp2_ip)</f>
        <v>Value Missing,Value Missing</v>
      </c>
      <c r="E167" s="272"/>
    </row>
    <row r="168" spans="2:5" s="25" customFormat="1" ht="20" customHeight="1" x14ac:dyDescent="0.2">
      <c r="B168" s="270" t="s">
        <v>3095</v>
      </c>
      <c r="C168" s="271" t="str">
        <f>CONCATENATE(sample_mgmt_sddc_domain,"-collector-group")</f>
        <v>sfo-m01-collector-group</v>
      </c>
      <c r="D168" s="140" t="str">
        <f>CONCATENATE(mgmt_sddc_domain,"-collector-group")</f>
        <v>Value Missing-collector-group</v>
      </c>
      <c r="E168" s="272"/>
    </row>
    <row r="169" spans="2:5" s="25" customFormat="1" ht="20" customHeight="1" x14ac:dyDescent="0.2"/>
    <row r="170" spans="2:5" s="25" customFormat="1" x14ac:dyDescent="0.2"/>
    <row r="171" spans="2:5" s="25" customFormat="1" x14ac:dyDescent="0.2"/>
    <row r="172" spans="2:5" s="25" customFormat="1" x14ac:dyDescent="0.2"/>
    <row r="173" spans="2:5" s="25" customFormat="1" x14ac:dyDescent="0.2"/>
    <row r="174" spans="2:5" s="25" customFormat="1" x14ac:dyDescent="0.2"/>
    <row r="175" spans="2:5" s="25" customFormat="1" x14ac:dyDescent="0.2"/>
    <row r="176" spans="2:5" s="25" customFormat="1" x14ac:dyDescent="0.2"/>
    <row r="177" s="25" customFormat="1" x14ac:dyDescent="0.2"/>
    <row r="178" s="25" customFormat="1" x14ac:dyDescent="0.2"/>
    <row r="179" s="25" customFormat="1" x14ac:dyDescent="0.2"/>
    <row r="180" s="25" customFormat="1" x14ac:dyDescent="0.2"/>
    <row r="181" s="25" customFormat="1" x14ac:dyDescent="0.2"/>
    <row r="182" s="25" customFormat="1" x14ac:dyDescent="0.2"/>
    <row r="183" s="25" customFormat="1" x14ac:dyDescent="0.2"/>
    <row r="184" s="25" customFormat="1" x14ac:dyDescent="0.2"/>
    <row r="185" s="25" customFormat="1" x14ac:dyDescent="0.2"/>
    <row r="186" s="25" customFormat="1" x14ac:dyDescent="0.2"/>
    <row r="187" s="25" customFormat="1" x14ac:dyDescent="0.2"/>
    <row r="188" s="25" customFormat="1" x14ac:dyDescent="0.2"/>
    <row r="189" s="25" customFormat="1" x14ac:dyDescent="0.2"/>
    <row r="190" s="25" customFormat="1" x14ac:dyDescent="0.2"/>
    <row r="191" s="25" customFormat="1" x14ac:dyDescent="0.2"/>
    <row r="192" s="25" customFormat="1" x14ac:dyDescent="0.2"/>
    <row r="193" s="25" customFormat="1" x14ac:dyDescent="0.2"/>
    <row r="194" s="25" customFormat="1" x14ac:dyDescent="0.2"/>
    <row r="195" s="25" customFormat="1" x14ac:dyDescent="0.2"/>
    <row r="196" s="25" customFormat="1" x14ac:dyDescent="0.2"/>
    <row r="197" s="25" customFormat="1" x14ac:dyDescent="0.2"/>
    <row r="198" s="25" customFormat="1" x14ac:dyDescent="0.2"/>
    <row r="199" s="25" customFormat="1" x14ac:dyDescent="0.2"/>
    <row r="200" s="25" customFormat="1" x14ac:dyDescent="0.2"/>
    <row r="201" s="25" customFormat="1" x14ac:dyDescent="0.2"/>
    <row r="202" s="25" customFormat="1" x14ac:dyDescent="0.2"/>
    <row r="203" s="25" customFormat="1" x14ac:dyDescent="0.2"/>
    <row r="204" s="25" customFormat="1" x14ac:dyDescent="0.2"/>
    <row r="205" s="25" customFormat="1" x14ac:dyDescent="0.2"/>
    <row r="206" s="25" customFormat="1" x14ac:dyDescent="0.2"/>
    <row r="207" s="25" customFormat="1" x14ac:dyDescent="0.2"/>
    <row r="208" s="25" customFormat="1" x14ac:dyDescent="0.2"/>
    <row r="209" s="25" customFormat="1" x14ac:dyDescent="0.2"/>
    <row r="210" s="25" customFormat="1" x14ac:dyDescent="0.2"/>
    <row r="211" s="25" customFormat="1" x14ac:dyDescent="0.2"/>
    <row r="212" s="25" customFormat="1" x14ac:dyDescent="0.2"/>
    <row r="213" s="25" customFormat="1" x14ac:dyDescent="0.2"/>
    <row r="214" s="25" customFormat="1" x14ac:dyDescent="0.2"/>
    <row r="215" s="25" customFormat="1" x14ac:dyDescent="0.2"/>
    <row r="216" s="25" customFormat="1" x14ac:dyDescent="0.2"/>
    <row r="217" s="25" customFormat="1" x14ac:dyDescent="0.2"/>
    <row r="218" s="25" customFormat="1" x14ac:dyDescent="0.2"/>
    <row r="219" s="25" customFormat="1" x14ac:dyDescent="0.2"/>
    <row r="220" s="25" customFormat="1" x14ac:dyDescent="0.2"/>
    <row r="221" s="25" customFormat="1" x14ac:dyDescent="0.2"/>
    <row r="222" s="25" customFormat="1" x14ac:dyDescent="0.2"/>
    <row r="223" s="25" customFormat="1" x14ac:dyDescent="0.2"/>
    <row r="224" s="25" customFormat="1" x14ac:dyDescent="0.2"/>
    <row r="225" s="25" customFormat="1" x14ac:dyDescent="0.2"/>
    <row r="226" s="25" customFormat="1" x14ac:dyDescent="0.2"/>
    <row r="227" s="25" customFormat="1" x14ac:dyDescent="0.2"/>
    <row r="228" s="25" customFormat="1" x14ac:dyDescent="0.2"/>
    <row r="229" s="25" customFormat="1" x14ac:dyDescent="0.2"/>
    <row r="230" s="25" customFormat="1" x14ac:dyDescent="0.2"/>
    <row r="231" s="25" customFormat="1" x14ac:dyDescent="0.2"/>
    <row r="232" s="25" customFormat="1" x14ac:dyDescent="0.2"/>
    <row r="233" s="25" customFormat="1" x14ac:dyDescent="0.2"/>
    <row r="234" s="25" customFormat="1" x14ac:dyDescent="0.2"/>
    <row r="235" s="25" customFormat="1" x14ac:dyDescent="0.2"/>
    <row r="236" s="25" customFormat="1" x14ac:dyDescent="0.2"/>
    <row r="237" s="25" customFormat="1" x14ac:dyDescent="0.2"/>
    <row r="238" s="25" customFormat="1" x14ac:dyDescent="0.2"/>
    <row r="239" s="25" customFormat="1" x14ac:dyDescent="0.2"/>
    <row r="240" s="25" customFormat="1" x14ac:dyDescent="0.2"/>
    <row r="241" s="25" customFormat="1" x14ac:dyDescent="0.2"/>
    <row r="242" s="25" customFormat="1" x14ac:dyDescent="0.2"/>
    <row r="243" s="25" customFormat="1" x14ac:dyDescent="0.2"/>
    <row r="244" s="25" customFormat="1" x14ac:dyDescent="0.2"/>
    <row r="245" s="25" customFormat="1" x14ac:dyDescent="0.2"/>
    <row r="246" s="25" customFormat="1" x14ac:dyDescent="0.2"/>
    <row r="247" s="25" customFormat="1" x14ac:dyDescent="0.2"/>
    <row r="248" s="25" customFormat="1" x14ac:dyDescent="0.2"/>
    <row r="249" s="25" customFormat="1" x14ac:dyDescent="0.2"/>
    <row r="250" s="25" customFormat="1" x14ac:dyDescent="0.2"/>
    <row r="251" s="25" customFormat="1" x14ac:dyDescent="0.2"/>
    <row r="252" s="25" customFormat="1" x14ac:dyDescent="0.2"/>
    <row r="253" s="25" customFormat="1" x14ac:dyDescent="0.2"/>
    <row r="254" s="25" customFormat="1" x14ac:dyDescent="0.2"/>
    <row r="255" s="25" customFormat="1" x14ac:dyDescent="0.2"/>
    <row r="256" s="25" customFormat="1" x14ac:dyDescent="0.2"/>
    <row r="257" s="25" customFormat="1" x14ac:dyDescent="0.2"/>
    <row r="258" s="25" customFormat="1" x14ac:dyDescent="0.2"/>
    <row r="259" s="25" customFormat="1" x14ac:dyDescent="0.2"/>
    <row r="260" s="25" customFormat="1" x14ac:dyDescent="0.2"/>
    <row r="261" s="25" customFormat="1" x14ac:dyDescent="0.2"/>
    <row r="262" s="25" customFormat="1" x14ac:dyDescent="0.2"/>
    <row r="263" s="25" customFormat="1" x14ac:dyDescent="0.2"/>
    <row r="264" s="25" customFormat="1" x14ac:dyDescent="0.2"/>
    <row r="265" s="25" customFormat="1" x14ac:dyDescent="0.2"/>
    <row r="266" s="25" customFormat="1" x14ac:dyDescent="0.2"/>
    <row r="267" s="25" customFormat="1" x14ac:dyDescent="0.2"/>
    <row r="268" s="25" customFormat="1" x14ac:dyDescent="0.2"/>
    <row r="269" s="25" customFormat="1" x14ac:dyDescent="0.2"/>
    <row r="270" s="25" customFormat="1" x14ac:dyDescent="0.2"/>
    <row r="271" s="25" customFormat="1" x14ac:dyDescent="0.2"/>
    <row r="272" s="25" customFormat="1" x14ac:dyDescent="0.2"/>
    <row r="273" s="25" customFormat="1" x14ac:dyDescent="0.2"/>
    <row r="274" s="25" customFormat="1" x14ac:dyDescent="0.2"/>
    <row r="275" s="25" customFormat="1" x14ac:dyDescent="0.2"/>
    <row r="276" s="25" customFormat="1" x14ac:dyDescent="0.2"/>
    <row r="277" s="25" customFormat="1" x14ac:dyDescent="0.2"/>
    <row r="278" s="25" customFormat="1" x14ac:dyDescent="0.2"/>
    <row r="279" s="25" customFormat="1" x14ac:dyDescent="0.2"/>
    <row r="280" s="25" customFormat="1" x14ac:dyDescent="0.2"/>
    <row r="281" s="25" customFormat="1" x14ac:dyDescent="0.2"/>
    <row r="282" s="25" customFormat="1" x14ac:dyDescent="0.2"/>
    <row r="283" s="25" customFormat="1" x14ac:dyDescent="0.2"/>
    <row r="284" s="25" customFormat="1" x14ac:dyDescent="0.2"/>
    <row r="285" s="25" customFormat="1" x14ac:dyDescent="0.2"/>
    <row r="286" s="25" customFormat="1" x14ac:dyDescent="0.2"/>
    <row r="287" s="25" customFormat="1" x14ac:dyDescent="0.2"/>
    <row r="288" s="25" customFormat="1" x14ac:dyDescent="0.2"/>
    <row r="289" s="25" customFormat="1" x14ac:dyDescent="0.2"/>
    <row r="290" s="25" customFormat="1" x14ac:dyDescent="0.2"/>
    <row r="291" s="25" customFormat="1" x14ac:dyDescent="0.2"/>
    <row r="292" s="25" customFormat="1" x14ac:dyDescent="0.2"/>
    <row r="293" s="25" customFormat="1" x14ac:dyDescent="0.2"/>
    <row r="294" s="25" customFormat="1" x14ac:dyDescent="0.2"/>
    <row r="295" s="25" customFormat="1" x14ac:dyDescent="0.2"/>
    <row r="296" s="25" customFormat="1" x14ac:dyDescent="0.2"/>
    <row r="297" s="25" customFormat="1" x14ac:dyDescent="0.2"/>
    <row r="298" s="25" customFormat="1" x14ac:dyDescent="0.2"/>
    <row r="299" s="25" customFormat="1" x14ac:dyDescent="0.2"/>
    <row r="300" s="25" customFormat="1" x14ac:dyDescent="0.2"/>
    <row r="301" s="25" customFormat="1" x14ac:dyDescent="0.2"/>
    <row r="302" s="25" customFormat="1" x14ac:dyDescent="0.2"/>
    <row r="303" s="25" customFormat="1" x14ac:dyDescent="0.2"/>
    <row r="304" s="25" customFormat="1" x14ac:dyDescent="0.2"/>
    <row r="305" s="25" customFormat="1" x14ac:dyDescent="0.2"/>
    <row r="306" s="25" customFormat="1" x14ac:dyDescent="0.2"/>
    <row r="307" s="25" customFormat="1" x14ac:dyDescent="0.2"/>
    <row r="308" s="25" customFormat="1" x14ac:dyDescent="0.2"/>
    <row r="309" s="25" customFormat="1" x14ac:dyDescent="0.2"/>
    <row r="310" s="25" customFormat="1" x14ac:dyDescent="0.2"/>
    <row r="311" s="25" customFormat="1" x14ac:dyDescent="0.2"/>
    <row r="312" s="25" customFormat="1" x14ac:dyDescent="0.2"/>
    <row r="313" s="25" customFormat="1" x14ac:dyDescent="0.2"/>
    <row r="314" s="25" customFormat="1" x14ac:dyDescent="0.2"/>
    <row r="315" s="25" customFormat="1" x14ac:dyDescent="0.2"/>
    <row r="316" s="25" customFormat="1" x14ac:dyDescent="0.2"/>
    <row r="317" s="25" customFormat="1" x14ac:dyDescent="0.2"/>
    <row r="318" s="25" customFormat="1" x14ac:dyDescent="0.2"/>
    <row r="319" s="25" customFormat="1" x14ac:dyDescent="0.2"/>
    <row r="320" s="25" customFormat="1" x14ac:dyDescent="0.2"/>
    <row r="321" s="25" customFormat="1" x14ac:dyDescent="0.2"/>
    <row r="322" s="25" customFormat="1" x14ac:dyDescent="0.2"/>
    <row r="323" s="25" customFormat="1" x14ac:dyDescent="0.2"/>
    <row r="324" s="25" customFormat="1" x14ac:dyDescent="0.2"/>
    <row r="325" s="25" customFormat="1" x14ac:dyDescent="0.2"/>
    <row r="326" s="25" customFormat="1" x14ac:dyDescent="0.2"/>
    <row r="327" s="25" customFormat="1" x14ac:dyDescent="0.2"/>
    <row r="328" s="25" customFormat="1" x14ac:dyDescent="0.2"/>
    <row r="329" s="25" customFormat="1" x14ac:dyDescent="0.2"/>
    <row r="330" s="25" customFormat="1" x14ac:dyDescent="0.2"/>
    <row r="331" s="25" customFormat="1" x14ac:dyDescent="0.2"/>
    <row r="332" s="25" customFormat="1" x14ac:dyDescent="0.2"/>
    <row r="333" s="25" customFormat="1" x14ac:dyDescent="0.2"/>
    <row r="334" s="25" customFormat="1" x14ac:dyDescent="0.2"/>
    <row r="335" s="25" customFormat="1" x14ac:dyDescent="0.2"/>
    <row r="336" s="25" customFormat="1" x14ac:dyDescent="0.2"/>
    <row r="337" s="25" customFormat="1" x14ac:dyDescent="0.2"/>
    <row r="338" s="25" customFormat="1" x14ac:dyDescent="0.2"/>
    <row r="339" s="25" customFormat="1" x14ac:dyDescent="0.2"/>
    <row r="340" s="25" customFormat="1" x14ac:dyDescent="0.2"/>
    <row r="341" s="25" customFormat="1" x14ac:dyDescent="0.2"/>
    <row r="342" s="25" customFormat="1" x14ac:dyDescent="0.2"/>
    <row r="343" s="25" customFormat="1" x14ac:dyDescent="0.2"/>
    <row r="344" s="25" customFormat="1" x14ac:dyDescent="0.2"/>
    <row r="345" s="25" customFormat="1" x14ac:dyDescent="0.2"/>
    <row r="346" s="25" customFormat="1" x14ac:dyDescent="0.2"/>
    <row r="347" s="25" customFormat="1" x14ac:dyDescent="0.2"/>
    <row r="348" s="25" customFormat="1" x14ac:dyDescent="0.2"/>
    <row r="349" s="25" customFormat="1" x14ac:dyDescent="0.2"/>
    <row r="350" s="25" customFormat="1" x14ac:dyDescent="0.2"/>
    <row r="351" s="25" customFormat="1" x14ac:dyDescent="0.2"/>
    <row r="352" s="25" customFormat="1" x14ac:dyDescent="0.2"/>
    <row r="353" s="25" customFormat="1" x14ac:dyDescent="0.2"/>
    <row r="354" s="25" customFormat="1" x14ac:dyDescent="0.2"/>
    <row r="355" s="25" customFormat="1" x14ac:dyDescent="0.2"/>
    <row r="356" s="25" customFormat="1" x14ac:dyDescent="0.2"/>
    <row r="357" s="25" customFormat="1" x14ac:dyDescent="0.2"/>
    <row r="358" s="25" customFormat="1" x14ac:dyDescent="0.2"/>
    <row r="359" s="25" customFormat="1" x14ac:dyDescent="0.2"/>
    <row r="360" s="25" customFormat="1" x14ac:dyDescent="0.2"/>
    <row r="361" s="25" customFormat="1" x14ac:dyDescent="0.2"/>
    <row r="362" s="25" customFormat="1" x14ac:dyDescent="0.2"/>
    <row r="363" s="25" customFormat="1" x14ac:dyDescent="0.2"/>
    <row r="364" s="25" customFormat="1" x14ac:dyDescent="0.2"/>
    <row r="365" s="25" customFormat="1" x14ac:dyDescent="0.2"/>
    <row r="366" s="25" customFormat="1" x14ac:dyDescent="0.2"/>
    <row r="367" s="25" customFormat="1" x14ac:dyDescent="0.2"/>
    <row r="368" s="25" customFormat="1" x14ac:dyDescent="0.2"/>
    <row r="369" s="25" customFormat="1" x14ac:dyDescent="0.2"/>
    <row r="370" s="25" customFormat="1" x14ac:dyDescent="0.2"/>
    <row r="371" s="25" customFormat="1" x14ac:dyDescent="0.2"/>
    <row r="372" s="25" customFormat="1" x14ac:dyDescent="0.2"/>
    <row r="373" s="25" customFormat="1" x14ac:dyDescent="0.2"/>
    <row r="374" s="25" customFormat="1" x14ac:dyDescent="0.2"/>
    <row r="375" s="25" customFormat="1" x14ac:dyDescent="0.2"/>
    <row r="376" s="25" customFormat="1" x14ac:dyDescent="0.2"/>
    <row r="377" s="25" customFormat="1" x14ac:dyDescent="0.2"/>
    <row r="378" s="25" customFormat="1" x14ac:dyDescent="0.2"/>
    <row r="379" s="25" customFormat="1" x14ac:dyDescent="0.2"/>
    <row r="380" s="25" customFormat="1" x14ac:dyDescent="0.2"/>
    <row r="381" s="25" customFormat="1" x14ac:dyDescent="0.2"/>
    <row r="382" s="25" customFormat="1" x14ac:dyDescent="0.2"/>
    <row r="383" s="25" customFormat="1" x14ac:dyDescent="0.2"/>
    <row r="384" s="25" customFormat="1" x14ac:dyDescent="0.2"/>
    <row r="385" s="25" customFormat="1" x14ac:dyDescent="0.2"/>
    <row r="386" s="25" customFormat="1" x14ac:dyDescent="0.2"/>
    <row r="387" s="25" customFormat="1" x14ac:dyDescent="0.2"/>
    <row r="388" s="25" customFormat="1" x14ac:dyDescent="0.2"/>
    <row r="389" s="25" customFormat="1" x14ac:dyDescent="0.2"/>
    <row r="390" s="25" customFormat="1" x14ac:dyDescent="0.2"/>
    <row r="391" s="25" customFormat="1" x14ac:dyDescent="0.2"/>
    <row r="392" s="25" customFormat="1" x14ac:dyDescent="0.2"/>
    <row r="393" s="25" customFormat="1" x14ac:dyDescent="0.2"/>
    <row r="394" s="25" customFormat="1" x14ac:dyDescent="0.2"/>
    <row r="395" s="25" customFormat="1" x14ac:dyDescent="0.2"/>
    <row r="396" s="25" customFormat="1" x14ac:dyDescent="0.2"/>
    <row r="397" s="25" customFormat="1" x14ac:dyDescent="0.2"/>
    <row r="398" s="25" customFormat="1" x14ac:dyDescent="0.2"/>
    <row r="399" s="25" customFormat="1" x14ac:dyDescent="0.2"/>
    <row r="400" s="25" customFormat="1" x14ac:dyDescent="0.2"/>
    <row r="401" s="25" customFormat="1" x14ac:dyDescent="0.2"/>
    <row r="402" s="25" customFormat="1" x14ac:dyDescent="0.2"/>
    <row r="403" s="25" customFormat="1" x14ac:dyDescent="0.2"/>
    <row r="404" s="25" customFormat="1" x14ac:dyDescent="0.2"/>
    <row r="405" s="25" customFormat="1" x14ac:dyDescent="0.2"/>
    <row r="406" s="25" customFormat="1" x14ac:dyDescent="0.2"/>
    <row r="407" s="25" customFormat="1" x14ac:dyDescent="0.2"/>
    <row r="408" s="25" customFormat="1" x14ac:dyDescent="0.2"/>
    <row r="409" s="25" customFormat="1" x14ac:dyDescent="0.2"/>
    <row r="410" s="25" customFormat="1" x14ac:dyDescent="0.2"/>
    <row r="411" s="25" customFormat="1" x14ac:dyDescent="0.2"/>
    <row r="412" s="25" customFormat="1" x14ac:dyDescent="0.2"/>
    <row r="413" s="25" customFormat="1" x14ac:dyDescent="0.2"/>
    <row r="414" s="25" customFormat="1" x14ac:dyDescent="0.2"/>
    <row r="415" s="25" customFormat="1" x14ac:dyDescent="0.2"/>
    <row r="416" s="25" customFormat="1" x14ac:dyDescent="0.2"/>
    <row r="417" s="25" customFormat="1" x14ac:dyDescent="0.2"/>
    <row r="418" s="25" customFormat="1" x14ac:dyDescent="0.2"/>
    <row r="419" s="25" customFormat="1" x14ac:dyDescent="0.2"/>
    <row r="420" s="25" customFormat="1" x14ac:dyDescent="0.2"/>
    <row r="421" s="25" customFormat="1" x14ac:dyDescent="0.2"/>
    <row r="422" s="25" customFormat="1" x14ac:dyDescent="0.2"/>
    <row r="423" s="25" customFormat="1" x14ac:dyDescent="0.2"/>
    <row r="424" s="25" customFormat="1" x14ac:dyDescent="0.2"/>
    <row r="425" s="25" customFormat="1" x14ac:dyDescent="0.2"/>
    <row r="426" s="25" customFormat="1" x14ac:dyDescent="0.2"/>
    <row r="427" s="25" customFormat="1" x14ac:dyDescent="0.2"/>
    <row r="428" s="25" customFormat="1" x14ac:dyDescent="0.2"/>
    <row r="429" s="25" customFormat="1" x14ac:dyDescent="0.2"/>
    <row r="430" s="25" customFormat="1" x14ac:dyDescent="0.2"/>
    <row r="431" s="25" customFormat="1" x14ac:dyDescent="0.2"/>
    <row r="432" s="25" customFormat="1" x14ac:dyDescent="0.2"/>
    <row r="433" s="25" customFormat="1" x14ac:dyDescent="0.2"/>
    <row r="434" s="25" customFormat="1" x14ac:dyDescent="0.2"/>
    <row r="435" s="25" customFormat="1" x14ac:dyDescent="0.2"/>
    <row r="436" s="25" customFormat="1" x14ac:dyDescent="0.2"/>
    <row r="437" s="25" customFormat="1" x14ac:dyDescent="0.2"/>
    <row r="438" s="25" customFormat="1" x14ac:dyDescent="0.2"/>
    <row r="439" s="25" customFormat="1" x14ac:dyDescent="0.2"/>
    <row r="440" s="25" customFormat="1" x14ac:dyDescent="0.2"/>
    <row r="441" s="25" customFormat="1" x14ac:dyDescent="0.2"/>
    <row r="442" s="25" customFormat="1" x14ac:dyDescent="0.2"/>
    <row r="443" s="25" customFormat="1" x14ac:dyDescent="0.2"/>
    <row r="444" s="25" customFormat="1" x14ac:dyDescent="0.2"/>
    <row r="445" s="25" customFormat="1" x14ac:dyDescent="0.2"/>
    <row r="446" s="25" customFormat="1" x14ac:dyDescent="0.2"/>
    <row r="447" s="25" customFormat="1" x14ac:dyDescent="0.2"/>
    <row r="448" s="25" customFormat="1" x14ac:dyDescent="0.2"/>
    <row r="449" s="25" customFormat="1" x14ac:dyDescent="0.2"/>
    <row r="450" s="25" customFormat="1" x14ac:dyDescent="0.2"/>
    <row r="451" s="25" customFormat="1" x14ac:dyDescent="0.2"/>
    <row r="452" s="25" customFormat="1" x14ac:dyDescent="0.2"/>
    <row r="453" s="25" customFormat="1" x14ac:dyDescent="0.2"/>
    <row r="454" s="25" customFormat="1" x14ac:dyDescent="0.2"/>
    <row r="455" s="25" customFormat="1" x14ac:dyDescent="0.2"/>
    <row r="456" s="25" customFormat="1" x14ac:dyDescent="0.2"/>
    <row r="457" s="25" customFormat="1" x14ac:dyDescent="0.2"/>
    <row r="458" s="25" customFormat="1" x14ac:dyDescent="0.2"/>
    <row r="459" s="25" customFormat="1" x14ac:dyDescent="0.2"/>
    <row r="460" s="25" customFormat="1" x14ac:dyDescent="0.2"/>
    <row r="461" s="25" customFormat="1" x14ac:dyDescent="0.2"/>
    <row r="462" s="25" customFormat="1" x14ac:dyDescent="0.2"/>
    <row r="463" s="25" customFormat="1" x14ac:dyDescent="0.2"/>
    <row r="464" s="25" customFormat="1" x14ac:dyDescent="0.2"/>
    <row r="465" s="25" customFormat="1" x14ac:dyDescent="0.2"/>
    <row r="466" s="25" customFormat="1" x14ac:dyDescent="0.2"/>
    <row r="467" s="25" customFormat="1" x14ac:dyDescent="0.2"/>
    <row r="468" s="25" customFormat="1" x14ac:dyDescent="0.2"/>
    <row r="469" s="25" customFormat="1" x14ac:dyDescent="0.2"/>
    <row r="470" s="25" customFormat="1" x14ac:dyDescent="0.2"/>
    <row r="471" s="25" customFormat="1" x14ac:dyDescent="0.2"/>
    <row r="472" s="25" customFormat="1" x14ac:dyDescent="0.2"/>
    <row r="473" s="25" customFormat="1" x14ac:dyDescent="0.2"/>
    <row r="474" s="25" customFormat="1" x14ac:dyDescent="0.2"/>
    <row r="475" s="25" customFormat="1" x14ac:dyDescent="0.2"/>
    <row r="476" s="25" customFormat="1" x14ac:dyDescent="0.2"/>
    <row r="477" s="25" customFormat="1" x14ac:dyDescent="0.2"/>
    <row r="478" s="25" customFormat="1" x14ac:dyDescent="0.2"/>
    <row r="479" s="25" customFormat="1" x14ac:dyDescent="0.2"/>
    <row r="480" s="25" customFormat="1" x14ac:dyDescent="0.2"/>
    <row r="481" s="25" customFormat="1" x14ac:dyDescent="0.2"/>
    <row r="482" s="25" customFormat="1" x14ac:dyDescent="0.2"/>
    <row r="483" s="25" customFormat="1" x14ac:dyDescent="0.2"/>
    <row r="484" s="25" customFormat="1" x14ac:dyDescent="0.2"/>
    <row r="485" s="25" customFormat="1" x14ac:dyDescent="0.2"/>
    <row r="486" s="25" customFormat="1" x14ac:dyDescent="0.2"/>
    <row r="487" s="25" customFormat="1" x14ac:dyDescent="0.2"/>
    <row r="488" s="25" customFormat="1" x14ac:dyDescent="0.2"/>
    <row r="489" s="25" customFormat="1" x14ac:dyDescent="0.2"/>
    <row r="490" s="25" customFormat="1" x14ac:dyDescent="0.2"/>
    <row r="491" s="25" customFormat="1" x14ac:dyDescent="0.2"/>
    <row r="492" s="25" customFormat="1" x14ac:dyDescent="0.2"/>
    <row r="493" s="25" customFormat="1" x14ac:dyDescent="0.2"/>
    <row r="494" s="25" customFormat="1" x14ac:dyDescent="0.2"/>
    <row r="495" s="25" customFormat="1" x14ac:dyDescent="0.2"/>
    <row r="496" s="25" customFormat="1" x14ac:dyDescent="0.2"/>
    <row r="497" s="25" customFormat="1" x14ac:dyDescent="0.2"/>
    <row r="498" s="25" customFormat="1" x14ac:dyDescent="0.2"/>
    <row r="499" s="25" customFormat="1" x14ac:dyDescent="0.2"/>
    <row r="500" s="25" customFormat="1" x14ac:dyDescent="0.2"/>
    <row r="501" s="25" customFormat="1" x14ac:dyDescent="0.2"/>
    <row r="502" s="25" customFormat="1" x14ac:dyDescent="0.2"/>
    <row r="503" s="25" customFormat="1" x14ac:dyDescent="0.2"/>
    <row r="504" s="25" customFormat="1" x14ac:dyDescent="0.2"/>
    <row r="505" s="25" customFormat="1" x14ac:dyDescent="0.2"/>
    <row r="506" s="25" customFormat="1" x14ac:dyDescent="0.2"/>
    <row r="507" s="25" customFormat="1" x14ac:dyDescent="0.2"/>
    <row r="508" s="25" customFormat="1" x14ac:dyDescent="0.2"/>
    <row r="509" s="25" customFormat="1" x14ac:dyDescent="0.2"/>
    <row r="510" s="25" customFormat="1" x14ac:dyDescent="0.2"/>
    <row r="511" s="25" customFormat="1" x14ac:dyDescent="0.2"/>
    <row r="512" s="25" customFormat="1" x14ac:dyDescent="0.2"/>
    <row r="513" s="25" customFormat="1" x14ac:dyDescent="0.2"/>
    <row r="514" s="25" customFormat="1" x14ac:dyDescent="0.2"/>
    <row r="515" s="25" customFormat="1" x14ac:dyDescent="0.2"/>
    <row r="516" s="25" customFormat="1" x14ac:dyDescent="0.2"/>
    <row r="517" s="25" customFormat="1" x14ac:dyDescent="0.2"/>
    <row r="518" s="25" customFormat="1" x14ac:dyDescent="0.2"/>
    <row r="519" s="25" customFormat="1" x14ac:dyDescent="0.2"/>
    <row r="520" s="25" customFormat="1" x14ac:dyDescent="0.2"/>
    <row r="521" s="25" customFormat="1" x14ac:dyDescent="0.2"/>
    <row r="522" s="25" customFormat="1" x14ac:dyDescent="0.2"/>
    <row r="523" s="25" customFormat="1" x14ac:dyDescent="0.2"/>
    <row r="524" s="25" customFormat="1" x14ac:dyDescent="0.2"/>
    <row r="525" s="25" customFormat="1" x14ac:dyDescent="0.2"/>
    <row r="526" s="25" customFormat="1" x14ac:dyDescent="0.2"/>
    <row r="527" s="25" customFormat="1" x14ac:dyDescent="0.2"/>
    <row r="528" s="25" customFormat="1" x14ac:dyDescent="0.2"/>
    <row r="529" s="25" customFormat="1" x14ac:dyDescent="0.2"/>
    <row r="530" s="25" customFormat="1" x14ac:dyDescent="0.2"/>
    <row r="531" s="25" customFormat="1" x14ac:dyDescent="0.2"/>
    <row r="532" s="25" customFormat="1" x14ac:dyDescent="0.2"/>
    <row r="533" s="25" customFormat="1" x14ac:dyDescent="0.2"/>
    <row r="534" s="25" customFormat="1" x14ac:dyDescent="0.2"/>
    <row r="535" s="25" customFormat="1" x14ac:dyDescent="0.2"/>
    <row r="536" s="25" customFormat="1" x14ac:dyDescent="0.2"/>
    <row r="537" s="25" customFormat="1" x14ac:dyDescent="0.2"/>
    <row r="538" s="25" customFormat="1" x14ac:dyDescent="0.2"/>
    <row r="539" s="25" customFormat="1" x14ac:dyDescent="0.2"/>
    <row r="540" s="25" customFormat="1" x14ac:dyDescent="0.2"/>
    <row r="541" s="25" customFormat="1" x14ac:dyDescent="0.2"/>
    <row r="542" s="25" customFormat="1" x14ac:dyDescent="0.2"/>
    <row r="543" s="25" customFormat="1" x14ac:dyDescent="0.2"/>
    <row r="544" s="25" customFormat="1" x14ac:dyDescent="0.2"/>
    <row r="545" s="25" customFormat="1" x14ac:dyDescent="0.2"/>
    <row r="546" s="25" customFormat="1" x14ac:dyDescent="0.2"/>
    <row r="547" s="25" customFormat="1" x14ac:dyDescent="0.2"/>
    <row r="548" s="25" customFormat="1" x14ac:dyDescent="0.2"/>
    <row r="549" s="25" customFormat="1" x14ac:dyDescent="0.2"/>
    <row r="550" s="25" customFormat="1" x14ac:dyDescent="0.2"/>
    <row r="551" s="25" customFormat="1" x14ac:dyDescent="0.2"/>
    <row r="552" s="25" customFormat="1" x14ac:dyDescent="0.2"/>
    <row r="553" s="25" customFormat="1" x14ac:dyDescent="0.2"/>
    <row r="554" s="25" customFormat="1" x14ac:dyDescent="0.2"/>
    <row r="555" s="25" customFormat="1" x14ac:dyDescent="0.2"/>
    <row r="556" s="25" customFormat="1" x14ac:dyDescent="0.2"/>
    <row r="557" s="25" customFormat="1" x14ac:dyDescent="0.2"/>
    <row r="558" s="25" customFormat="1" x14ac:dyDescent="0.2"/>
    <row r="559" s="25" customFormat="1" x14ac:dyDescent="0.2"/>
    <row r="560" s="25" customFormat="1" x14ac:dyDescent="0.2"/>
    <row r="561" s="25" customFormat="1" x14ac:dyDescent="0.2"/>
    <row r="562" s="25" customFormat="1" x14ac:dyDescent="0.2"/>
    <row r="563" s="25" customFormat="1" x14ac:dyDescent="0.2"/>
    <row r="564" s="25" customFormat="1" x14ac:dyDescent="0.2"/>
    <row r="565" s="25" customFormat="1" x14ac:dyDescent="0.2"/>
    <row r="566" s="25" customFormat="1" x14ac:dyDescent="0.2"/>
    <row r="567" s="25" customFormat="1" x14ac:dyDescent="0.2"/>
    <row r="568" s="25" customFormat="1" x14ac:dyDescent="0.2"/>
    <row r="569" s="25" customFormat="1" x14ac:dyDescent="0.2"/>
    <row r="570" s="25" customFormat="1" x14ac:dyDescent="0.2"/>
    <row r="571" s="25" customFormat="1" x14ac:dyDescent="0.2"/>
    <row r="572" s="25" customFormat="1" x14ac:dyDescent="0.2"/>
    <row r="573" s="25" customFormat="1" x14ac:dyDescent="0.2"/>
    <row r="574" s="25" customFormat="1" x14ac:dyDescent="0.2"/>
    <row r="575" s="25" customFormat="1" x14ac:dyDescent="0.2"/>
    <row r="576" s="25" customFormat="1" x14ac:dyDescent="0.2"/>
    <row r="577" s="25" customFormat="1" x14ac:dyDescent="0.2"/>
    <row r="578" s="25" customFormat="1" x14ac:dyDescent="0.2"/>
    <row r="579" s="25" customFormat="1" x14ac:dyDescent="0.2"/>
    <row r="580" s="25" customFormat="1" x14ac:dyDescent="0.2"/>
    <row r="581" s="25" customFormat="1" x14ac:dyDescent="0.2"/>
    <row r="582" s="25" customFormat="1" x14ac:dyDescent="0.2"/>
    <row r="583" s="25" customFormat="1" x14ac:dyDescent="0.2"/>
    <row r="584" s="25" customFormat="1" x14ac:dyDescent="0.2"/>
    <row r="585" s="25" customFormat="1" x14ac:dyDescent="0.2"/>
    <row r="586" s="25" customFormat="1" x14ac:dyDescent="0.2"/>
    <row r="587" s="25" customFormat="1" x14ac:dyDescent="0.2"/>
    <row r="588" s="25" customFormat="1" x14ac:dyDescent="0.2"/>
    <row r="589" s="25" customFormat="1" x14ac:dyDescent="0.2"/>
    <row r="590" s="25" customFormat="1" x14ac:dyDescent="0.2"/>
    <row r="591" s="25" customFormat="1" x14ac:dyDescent="0.2"/>
    <row r="592" s="25" customFormat="1" x14ac:dyDescent="0.2"/>
    <row r="593" s="25" customFormat="1" x14ac:dyDescent="0.2"/>
    <row r="594" s="25" customFormat="1" x14ac:dyDescent="0.2"/>
    <row r="595" s="25" customFormat="1" x14ac:dyDescent="0.2"/>
    <row r="596" s="25" customFormat="1" x14ac:dyDescent="0.2"/>
    <row r="597" s="25" customFormat="1" x14ac:dyDescent="0.2"/>
    <row r="598" s="25" customFormat="1" x14ac:dyDescent="0.2"/>
    <row r="599" s="25" customFormat="1" x14ac:dyDescent="0.2"/>
    <row r="600" s="25" customFormat="1" x14ac:dyDescent="0.2"/>
    <row r="601" s="25" customFormat="1" x14ac:dyDescent="0.2"/>
    <row r="602" s="25" customFormat="1" x14ac:dyDescent="0.2"/>
    <row r="603" s="25" customFormat="1" x14ac:dyDescent="0.2"/>
    <row r="604" s="25" customFormat="1" x14ac:dyDescent="0.2"/>
    <row r="605" s="25" customFormat="1" x14ac:dyDescent="0.2"/>
    <row r="606" s="25" customFormat="1" x14ac:dyDescent="0.2"/>
    <row r="607" s="25" customFormat="1" x14ac:dyDescent="0.2"/>
    <row r="608" s="25" customFormat="1" x14ac:dyDescent="0.2"/>
    <row r="609" s="25" customFormat="1" x14ac:dyDescent="0.2"/>
    <row r="610" s="25" customFormat="1" x14ac:dyDescent="0.2"/>
    <row r="611" s="25" customFormat="1" x14ac:dyDescent="0.2"/>
    <row r="612" s="25" customFormat="1" x14ac:dyDescent="0.2"/>
    <row r="613" s="25" customFormat="1" x14ac:dyDescent="0.2"/>
    <row r="614" s="25" customFormat="1" x14ac:dyDescent="0.2"/>
    <row r="615" s="25" customFormat="1" x14ac:dyDescent="0.2"/>
    <row r="616" s="25" customFormat="1" x14ac:dyDescent="0.2"/>
    <row r="617" s="25" customFormat="1" x14ac:dyDescent="0.2"/>
    <row r="618" s="25" customFormat="1" x14ac:dyDescent="0.2"/>
    <row r="619" s="25" customFormat="1" x14ac:dyDescent="0.2"/>
    <row r="620" s="25" customFormat="1" x14ac:dyDescent="0.2"/>
    <row r="621" s="25" customFormat="1" x14ac:dyDescent="0.2"/>
    <row r="622" s="25" customFormat="1" x14ac:dyDescent="0.2"/>
    <row r="623" s="25" customFormat="1" x14ac:dyDescent="0.2"/>
    <row r="624" s="25" customFormat="1" x14ac:dyDescent="0.2"/>
    <row r="625" s="25" customFormat="1" x14ac:dyDescent="0.2"/>
    <row r="626" s="25" customFormat="1" x14ac:dyDescent="0.2"/>
    <row r="627" s="25" customFormat="1" x14ac:dyDescent="0.2"/>
    <row r="628" s="25" customFormat="1" x14ac:dyDescent="0.2"/>
    <row r="629" s="25" customFormat="1" x14ac:dyDescent="0.2"/>
    <row r="630" s="25" customFormat="1" x14ac:dyDescent="0.2"/>
    <row r="631" s="25" customFormat="1" x14ac:dyDescent="0.2"/>
    <row r="632" s="25" customFormat="1" x14ac:dyDescent="0.2"/>
    <row r="633" s="25" customFormat="1" x14ac:dyDescent="0.2"/>
    <row r="634" s="25" customFormat="1" x14ac:dyDescent="0.2"/>
    <row r="635" s="25" customFormat="1" x14ac:dyDescent="0.2"/>
    <row r="636" s="25" customFormat="1" x14ac:dyDescent="0.2"/>
    <row r="637" s="25" customFormat="1" x14ac:dyDescent="0.2"/>
    <row r="638" s="25" customFormat="1" x14ac:dyDescent="0.2"/>
    <row r="639" s="25" customFormat="1" x14ac:dyDescent="0.2"/>
    <row r="640" s="25" customFormat="1" x14ac:dyDescent="0.2"/>
    <row r="641" s="25" customFormat="1" x14ac:dyDescent="0.2"/>
    <row r="642" s="25" customFormat="1" x14ac:dyDescent="0.2"/>
    <row r="643" s="25" customFormat="1" x14ac:dyDescent="0.2"/>
    <row r="644" s="25" customFormat="1" x14ac:dyDescent="0.2"/>
    <row r="645" s="25" customFormat="1" x14ac:dyDescent="0.2"/>
    <row r="646" s="25" customFormat="1" x14ac:dyDescent="0.2"/>
    <row r="647" s="25" customFormat="1" x14ac:dyDescent="0.2"/>
    <row r="648" s="25" customFormat="1" x14ac:dyDescent="0.2"/>
    <row r="649" s="25" customFormat="1" x14ac:dyDescent="0.2"/>
    <row r="650" s="25" customFormat="1" x14ac:dyDescent="0.2"/>
    <row r="651" s="25" customFormat="1" x14ac:dyDescent="0.2"/>
    <row r="652" s="25" customFormat="1" x14ac:dyDescent="0.2"/>
    <row r="653" s="25" customFormat="1" x14ac:dyDescent="0.2"/>
    <row r="654" s="25" customFormat="1" x14ac:dyDescent="0.2"/>
    <row r="655" s="25" customFormat="1" x14ac:dyDescent="0.2"/>
    <row r="656" s="25" customFormat="1" x14ac:dyDescent="0.2"/>
    <row r="657" s="25" customFormat="1" x14ac:dyDescent="0.2"/>
    <row r="658" s="25" customFormat="1" x14ac:dyDescent="0.2"/>
    <row r="659" s="25" customFormat="1" x14ac:dyDescent="0.2"/>
    <row r="660" s="25" customFormat="1" x14ac:dyDescent="0.2"/>
    <row r="661" s="25" customFormat="1" x14ac:dyDescent="0.2"/>
    <row r="662" s="25" customFormat="1" x14ac:dyDescent="0.2"/>
    <row r="663" s="25" customFormat="1" x14ac:dyDescent="0.2"/>
    <row r="664" s="25" customFormat="1" x14ac:dyDescent="0.2"/>
    <row r="665" s="25" customFormat="1" x14ac:dyDescent="0.2"/>
    <row r="666" s="25" customFormat="1" x14ac:dyDescent="0.2"/>
    <row r="667" s="25" customFormat="1" x14ac:dyDescent="0.2"/>
    <row r="668" s="25" customFormat="1" x14ac:dyDescent="0.2"/>
    <row r="669" s="25" customFormat="1" x14ac:dyDescent="0.2"/>
    <row r="670" s="25" customFormat="1" x14ac:dyDescent="0.2"/>
    <row r="671" s="25" customFormat="1" x14ac:dyDescent="0.2"/>
    <row r="672" s="25" customFormat="1" x14ac:dyDescent="0.2"/>
    <row r="673" s="25" customFormat="1" x14ac:dyDescent="0.2"/>
    <row r="674" s="25" customFormat="1" x14ac:dyDescent="0.2"/>
    <row r="675" s="25" customFormat="1" x14ac:dyDescent="0.2"/>
    <row r="676" s="25" customFormat="1" x14ac:dyDescent="0.2"/>
    <row r="677" s="25" customFormat="1" x14ac:dyDescent="0.2"/>
    <row r="678" s="25" customFormat="1" x14ac:dyDescent="0.2"/>
    <row r="679" s="25" customFormat="1" x14ac:dyDescent="0.2"/>
    <row r="680" s="25" customFormat="1" x14ac:dyDescent="0.2"/>
    <row r="681" s="25" customFormat="1" x14ac:dyDescent="0.2"/>
    <row r="682" s="25" customFormat="1" x14ac:dyDescent="0.2"/>
    <row r="683" s="25" customFormat="1" x14ac:dyDescent="0.2"/>
    <row r="684" s="25" customFormat="1" x14ac:dyDescent="0.2"/>
    <row r="685" s="25" customFormat="1" x14ac:dyDescent="0.2"/>
    <row r="686" s="25" customFormat="1" x14ac:dyDescent="0.2"/>
    <row r="687" s="25" customFormat="1" x14ac:dyDescent="0.2"/>
    <row r="688" s="25" customFormat="1" x14ac:dyDescent="0.2"/>
    <row r="689" s="25" customFormat="1" x14ac:dyDescent="0.2"/>
    <row r="690" s="25" customFormat="1" x14ac:dyDescent="0.2"/>
    <row r="691" s="25" customFormat="1" x14ac:dyDescent="0.2"/>
    <row r="692" s="25" customFormat="1" x14ac:dyDescent="0.2"/>
    <row r="693" s="25" customFormat="1" x14ac:dyDescent="0.2"/>
    <row r="694" s="25" customFormat="1" x14ac:dyDescent="0.2"/>
    <row r="695" s="25" customFormat="1" x14ac:dyDescent="0.2"/>
    <row r="696" s="25" customFormat="1" x14ac:dyDescent="0.2"/>
    <row r="697" s="25" customFormat="1" x14ac:dyDescent="0.2"/>
    <row r="698" s="25" customFormat="1" x14ac:dyDescent="0.2"/>
    <row r="699" s="25" customFormat="1" x14ac:dyDescent="0.2"/>
    <row r="700" s="25" customFormat="1" x14ac:dyDescent="0.2"/>
    <row r="701" s="25" customFormat="1" x14ac:dyDescent="0.2"/>
    <row r="702" s="25" customFormat="1" x14ac:dyDescent="0.2"/>
    <row r="703" s="25" customFormat="1" x14ac:dyDescent="0.2"/>
    <row r="704" s="25" customFormat="1" x14ac:dyDescent="0.2"/>
    <row r="705" s="25" customFormat="1" x14ac:dyDescent="0.2"/>
    <row r="706" s="25" customFormat="1" x14ac:dyDescent="0.2"/>
    <row r="707" s="25" customFormat="1" x14ac:dyDescent="0.2"/>
    <row r="708" s="25" customFormat="1" x14ac:dyDescent="0.2"/>
    <row r="709" s="25" customFormat="1" x14ac:dyDescent="0.2"/>
    <row r="710" s="25" customFormat="1" x14ac:dyDescent="0.2"/>
    <row r="711" s="25" customFormat="1" x14ac:dyDescent="0.2"/>
    <row r="712" s="25" customFormat="1" x14ac:dyDescent="0.2"/>
    <row r="713" s="25" customFormat="1" x14ac:dyDescent="0.2"/>
    <row r="714" s="25" customFormat="1" x14ac:dyDescent="0.2"/>
    <row r="715" s="25" customFormat="1" x14ac:dyDescent="0.2"/>
    <row r="716" s="25" customFormat="1" x14ac:dyDescent="0.2"/>
    <row r="717" s="25" customFormat="1" x14ac:dyDescent="0.2"/>
    <row r="718" s="25" customFormat="1" x14ac:dyDescent="0.2"/>
    <row r="719" s="25" customFormat="1" x14ac:dyDescent="0.2"/>
    <row r="720" s="25" customFormat="1" x14ac:dyDescent="0.2"/>
    <row r="721" s="25" customFormat="1" x14ac:dyDescent="0.2"/>
    <row r="722" s="25" customFormat="1" x14ac:dyDescent="0.2"/>
    <row r="723" s="25" customFormat="1" x14ac:dyDescent="0.2"/>
    <row r="724" s="25" customFormat="1" x14ac:dyDescent="0.2"/>
    <row r="725" s="25" customFormat="1" x14ac:dyDescent="0.2"/>
    <row r="726" s="25" customFormat="1" x14ac:dyDescent="0.2"/>
    <row r="727" s="25" customFormat="1" x14ac:dyDescent="0.2"/>
    <row r="728" s="25" customFormat="1" x14ac:dyDescent="0.2"/>
    <row r="729" s="25" customFormat="1" x14ac:dyDescent="0.2"/>
    <row r="730" s="25" customFormat="1" x14ac:dyDescent="0.2"/>
    <row r="731" s="25" customFormat="1" x14ac:dyDescent="0.2"/>
    <row r="732" s="25" customFormat="1" x14ac:dyDescent="0.2"/>
    <row r="733" s="25" customFormat="1" x14ac:dyDescent="0.2"/>
    <row r="734" s="25" customFormat="1" x14ac:dyDescent="0.2"/>
    <row r="735" s="25" customFormat="1" x14ac:dyDescent="0.2"/>
    <row r="736" s="25" customFormat="1" x14ac:dyDescent="0.2"/>
    <row r="737" s="25" customFormat="1" x14ac:dyDescent="0.2"/>
    <row r="738" s="25" customFormat="1" x14ac:dyDescent="0.2"/>
    <row r="739" s="25" customFormat="1" x14ac:dyDescent="0.2"/>
    <row r="740" s="25" customFormat="1" x14ac:dyDescent="0.2"/>
    <row r="741" s="25" customFormat="1" x14ac:dyDescent="0.2"/>
    <row r="742" s="25" customFormat="1" x14ac:dyDescent="0.2"/>
    <row r="743" s="25" customFormat="1" x14ac:dyDescent="0.2"/>
    <row r="744" s="25" customFormat="1" x14ac:dyDescent="0.2"/>
    <row r="745" s="25" customFormat="1" x14ac:dyDescent="0.2"/>
    <row r="746" s="25" customFormat="1" x14ac:dyDescent="0.2"/>
    <row r="747" s="25" customFormat="1" x14ac:dyDescent="0.2"/>
    <row r="748" s="25" customFormat="1" x14ac:dyDescent="0.2"/>
    <row r="749" s="25" customFormat="1" x14ac:dyDescent="0.2"/>
    <row r="750" s="25" customFormat="1" x14ac:dyDescent="0.2"/>
    <row r="751" s="25" customFormat="1" x14ac:dyDescent="0.2"/>
    <row r="752" s="25" customFormat="1" x14ac:dyDescent="0.2"/>
    <row r="753" s="25" customFormat="1" x14ac:dyDescent="0.2"/>
    <row r="754" s="25" customFormat="1" x14ac:dyDescent="0.2"/>
    <row r="755" s="25" customFormat="1" x14ac:dyDescent="0.2"/>
    <row r="756" s="25" customFormat="1" x14ac:dyDescent="0.2"/>
    <row r="757" s="25" customFormat="1" x14ac:dyDescent="0.2"/>
    <row r="758" s="25" customFormat="1" x14ac:dyDescent="0.2"/>
    <row r="759" s="25" customFormat="1" x14ac:dyDescent="0.2"/>
    <row r="760" s="25" customFormat="1" x14ac:dyDescent="0.2"/>
    <row r="761" s="25" customFormat="1" x14ac:dyDescent="0.2"/>
    <row r="762" s="25" customFormat="1" x14ac:dyDescent="0.2"/>
    <row r="763" s="25" customFormat="1" x14ac:dyDescent="0.2"/>
    <row r="764" s="25" customFormat="1" x14ac:dyDescent="0.2"/>
    <row r="765" s="25" customFormat="1" x14ac:dyDescent="0.2"/>
    <row r="766" s="25" customFormat="1" x14ac:dyDescent="0.2"/>
    <row r="767" s="25" customFormat="1" x14ac:dyDescent="0.2"/>
    <row r="768" s="25" customFormat="1" x14ac:dyDescent="0.2"/>
    <row r="769" s="25" customFormat="1" x14ac:dyDescent="0.2"/>
    <row r="770" s="25" customFormat="1" x14ac:dyDescent="0.2"/>
    <row r="771" s="25" customFormat="1" x14ac:dyDescent="0.2"/>
    <row r="772" s="25" customFormat="1" x14ac:dyDescent="0.2"/>
    <row r="773" s="25" customFormat="1" x14ac:dyDescent="0.2"/>
    <row r="774" s="25" customFormat="1" x14ac:dyDescent="0.2"/>
    <row r="775" s="25" customFormat="1" x14ac:dyDescent="0.2"/>
    <row r="776" s="25" customFormat="1" x14ac:dyDescent="0.2"/>
    <row r="777" s="25" customFormat="1" x14ac:dyDescent="0.2"/>
    <row r="778" s="25" customFormat="1" x14ac:dyDescent="0.2"/>
    <row r="779" s="25" customFormat="1" x14ac:dyDescent="0.2"/>
    <row r="780" s="25" customFormat="1" x14ac:dyDescent="0.2"/>
    <row r="781" s="25" customFormat="1" x14ac:dyDescent="0.2"/>
    <row r="782" s="25" customFormat="1" x14ac:dyDescent="0.2"/>
    <row r="783" s="25" customFormat="1" x14ac:dyDescent="0.2"/>
    <row r="784" s="25" customFormat="1" x14ac:dyDescent="0.2"/>
    <row r="785" s="25" customFormat="1" x14ac:dyDescent="0.2"/>
    <row r="786" s="25" customFormat="1" x14ac:dyDescent="0.2"/>
    <row r="787" s="25" customFormat="1" x14ac:dyDescent="0.2"/>
    <row r="788" s="25" customFormat="1" x14ac:dyDescent="0.2"/>
    <row r="789" s="25" customFormat="1" x14ac:dyDescent="0.2"/>
    <row r="790" s="25" customFormat="1" x14ac:dyDescent="0.2"/>
    <row r="791" s="25" customFormat="1" x14ac:dyDescent="0.2"/>
    <row r="792" s="25" customFormat="1" x14ac:dyDescent="0.2"/>
    <row r="793" s="25" customFormat="1" x14ac:dyDescent="0.2"/>
    <row r="794" s="25" customFormat="1" x14ac:dyDescent="0.2"/>
    <row r="795" s="25" customFormat="1" x14ac:dyDescent="0.2"/>
    <row r="796" s="25" customFormat="1" x14ac:dyDescent="0.2"/>
    <row r="797" s="25" customFormat="1" x14ac:dyDescent="0.2"/>
    <row r="798" s="25" customFormat="1" x14ac:dyDescent="0.2"/>
    <row r="799" s="25" customFormat="1" x14ac:dyDescent="0.2"/>
    <row r="800" s="25" customFormat="1" x14ac:dyDescent="0.2"/>
    <row r="801" s="25" customFormat="1" x14ac:dyDescent="0.2"/>
    <row r="802" s="25" customFormat="1" x14ac:dyDescent="0.2"/>
    <row r="803" s="25" customFormat="1" x14ac:dyDescent="0.2"/>
    <row r="804" s="25" customFormat="1" x14ac:dyDescent="0.2"/>
    <row r="805" s="25" customFormat="1" x14ac:dyDescent="0.2"/>
    <row r="806" s="25" customFormat="1" x14ac:dyDescent="0.2"/>
    <row r="807" s="25" customFormat="1" x14ac:dyDescent="0.2"/>
    <row r="808" s="25" customFormat="1" x14ac:dyDescent="0.2"/>
    <row r="809" s="25" customFormat="1" x14ac:dyDescent="0.2"/>
    <row r="810" s="25" customFormat="1" x14ac:dyDescent="0.2"/>
    <row r="811" s="25" customFormat="1" x14ac:dyDescent="0.2"/>
    <row r="812" s="25" customFormat="1" x14ac:dyDescent="0.2"/>
    <row r="813" s="25" customFormat="1" x14ac:dyDescent="0.2"/>
    <row r="814" s="25" customFormat="1" x14ac:dyDescent="0.2"/>
    <row r="815" s="25" customFormat="1" x14ac:dyDescent="0.2"/>
    <row r="816" s="25" customFormat="1" x14ac:dyDescent="0.2"/>
    <row r="817" s="25" customFormat="1" x14ac:dyDescent="0.2"/>
    <row r="818" s="25" customFormat="1" x14ac:dyDescent="0.2"/>
    <row r="819" s="25" customFormat="1" x14ac:dyDescent="0.2"/>
    <row r="820" s="25" customFormat="1" x14ac:dyDescent="0.2"/>
    <row r="821" s="25" customFormat="1" x14ac:dyDescent="0.2"/>
    <row r="822" s="25" customFormat="1" x14ac:dyDescent="0.2"/>
    <row r="823" s="25" customFormat="1" x14ac:dyDescent="0.2"/>
    <row r="824" s="25" customFormat="1" x14ac:dyDescent="0.2"/>
    <row r="825" s="25" customFormat="1" x14ac:dyDescent="0.2"/>
    <row r="826" s="25" customFormat="1" x14ac:dyDescent="0.2"/>
    <row r="827" s="25" customFormat="1" x14ac:dyDescent="0.2"/>
    <row r="828" s="25" customFormat="1" x14ac:dyDescent="0.2"/>
    <row r="829" s="25" customFormat="1" x14ac:dyDescent="0.2"/>
    <row r="830" s="25" customFormat="1" x14ac:dyDescent="0.2"/>
    <row r="831" s="25" customFormat="1" x14ac:dyDescent="0.2"/>
    <row r="832" s="25" customFormat="1" x14ac:dyDescent="0.2"/>
    <row r="833" s="25" customFormat="1" x14ac:dyDescent="0.2"/>
    <row r="834" s="25" customFormat="1" x14ac:dyDescent="0.2"/>
    <row r="835" s="25" customFormat="1" x14ac:dyDescent="0.2"/>
    <row r="836" s="25" customFormat="1" x14ac:dyDescent="0.2"/>
    <row r="837" s="25" customFormat="1" x14ac:dyDescent="0.2"/>
    <row r="838" s="25" customFormat="1" x14ac:dyDescent="0.2"/>
    <row r="839" s="25" customFormat="1" x14ac:dyDescent="0.2"/>
    <row r="840" s="25" customFormat="1" x14ac:dyDescent="0.2"/>
    <row r="841" s="25" customFormat="1" x14ac:dyDescent="0.2"/>
    <row r="842" s="25" customFormat="1" x14ac:dyDescent="0.2"/>
    <row r="843" s="25" customFormat="1" x14ac:dyDescent="0.2"/>
    <row r="844" s="25" customFormat="1" x14ac:dyDescent="0.2"/>
    <row r="845" s="25" customFormat="1" x14ac:dyDescent="0.2"/>
    <row r="846" s="25" customFormat="1" x14ac:dyDescent="0.2"/>
    <row r="847" s="25" customFormat="1" x14ac:dyDescent="0.2"/>
    <row r="848" s="25" customFormat="1" x14ac:dyDescent="0.2"/>
    <row r="849" s="25" customFormat="1" x14ac:dyDescent="0.2"/>
    <row r="850" s="25" customFormat="1" x14ac:dyDescent="0.2"/>
    <row r="851" s="25" customFormat="1" x14ac:dyDescent="0.2"/>
    <row r="852" s="25" customFormat="1" x14ac:dyDescent="0.2"/>
    <row r="853" s="25" customFormat="1" x14ac:dyDescent="0.2"/>
    <row r="854" s="25" customFormat="1" x14ac:dyDescent="0.2"/>
    <row r="855" s="25" customFormat="1" x14ac:dyDescent="0.2"/>
    <row r="856" s="25" customFormat="1" x14ac:dyDescent="0.2"/>
    <row r="857" s="25" customFormat="1" x14ac:dyDescent="0.2"/>
    <row r="858" s="25" customFormat="1" x14ac:dyDescent="0.2"/>
    <row r="859" s="25" customFormat="1" x14ac:dyDescent="0.2"/>
    <row r="860" s="25" customFormat="1" x14ac:dyDescent="0.2"/>
    <row r="861" s="25" customFormat="1" x14ac:dyDescent="0.2"/>
    <row r="862" s="25" customFormat="1" x14ac:dyDescent="0.2"/>
    <row r="863" s="25" customFormat="1" x14ac:dyDescent="0.2"/>
    <row r="864" s="25" customFormat="1" x14ac:dyDescent="0.2"/>
    <row r="865" s="25" customFormat="1" x14ac:dyDescent="0.2"/>
    <row r="866" s="25" customFormat="1" x14ac:dyDescent="0.2"/>
    <row r="867" s="25" customFormat="1" x14ac:dyDescent="0.2"/>
    <row r="868" s="25" customFormat="1" x14ac:dyDescent="0.2"/>
    <row r="869" s="25" customFormat="1" x14ac:dyDescent="0.2"/>
    <row r="870" s="25" customFormat="1" x14ac:dyDescent="0.2"/>
    <row r="871" s="25" customFormat="1" x14ac:dyDescent="0.2"/>
    <row r="872" s="25" customFormat="1" x14ac:dyDescent="0.2"/>
    <row r="873" s="25" customFormat="1" x14ac:dyDescent="0.2"/>
    <row r="874" s="25" customFormat="1" x14ac:dyDescent="0.2"/>
    <row r="875" s="25" customFormat="1" x14ac:dyDescent="0.2"/>
    <row r="876" s="25" customFormat="1" x14ac:dyDescent="0.2"/>
    <row r="877" s="25" customFormat="1" x14ac:dyDescent="0.2"/>
    <row r="878" s="25" customFormat="1" x14ac:dyDescent="0.2"/>
    <row r="879" s="25" customFormat="1" x14ac:dyDescent="0.2"/>
    <row r="880" s="25" customFormat="1" x14ac:dyDescent="0.2"/>
    <row r="881" s="25" customFormat="1" x14ac:dyDescent="0.2"/>
    <row r="882" s="25" customFormat="1" x14ac:dyDescent="0.2"/>
    <row r="883" s="25" customFormat="1" x14ac:dyDescent="0.2"/>
    <row r="884" s="25" customFormat="1" x14ac:dyDescent="0.2"/>
    <row r="885" s="25" customFormat="1" x14ac:dyDescent="0.2"/>
    <row r="886" s="25" customFormat="1" x14ac:dyDescent="0.2"/>
    <row r="887" s="25" customFormat="1" x14ac:dyDescent="0.2"/>
    <row r="888" s="25" customFormat="1" x14ac:dyDescent="0.2"/>
    <row r="889" s="25" customFormat="1" x14ac:dyDescent="0.2"/>
    <row r="890" s="25" customFormat="1" x14ac:dyDescent="0.2"/>
    <row r="891" s="25" customFormat="1" x14ac:dyDescent="0.2"/>
    <row r="892" s="25" customFormat="1" x14ac:dyDescent="0.2"/>
    <row r="893" s="25" customFormat="1" x14ac:dyDescent="0.2"/>
    <row r="894" s="25" customFormat="1" x14ac:dyDescent="0.2"/>
    <row r="895" s="25" customFormat="1" x14ac:dyDescent="0.2"/>
    <row r="896" s="25" customFormat="1" x14ac:dyDescent="0.2"/>
    <row r="897" s="25" customFormat="1" x14ac:dyDescent="0.2"/>
    <row r="898" s="25" customFormat="1" x14ac:dyDescent="0.2"/>
    <row r="899" s="25" customFormat="1" x14ac:dyDescent="0.2"/>
    <row r="900" s="25" customFormat="1" x14ac:dyDescent="0.2"/>
    <row r="901" s="25" customFormat="1" x14ac:dyDescent="0.2"/>
    <row r="902" s="25" customFormat="1" x14ac:dyDescent="0.2"/>
    <row r="903" s="25" customFormat="1" x14ac:dyDescent="0.2"/>
    <row r="904" s="25" customFormat="1" x14ac:dyDescent="0.2"/>
    <row r="905" s="25" customFormat="1" x14ac:dyDescent="0.2"/>
    <row r="906" s="25" customFormat="1" x14ac:dyDescent="0.2"/>
    <row r="907" s="25" customFormat="1" x14ac:dyDescent="0.2"/>
    <row r="908" s="25" customFormat="1" x14ac:dyDescent="0.2"/>
    <row r="909" s="25" customFormat="1" x14ac:dyDescent="0.2"/>
    <row r="910" s="25" customFormat="1" x14ac:dyDescent="0.2"/>
    <row r="911" s="25" customFormat="1" x14ac:dyDescent="0.2"/>
    <row r="912" s="25" customFormat="1" x14ac:dyDescent="0.2"/>
    <row r="913" s="25" customFormat="1" x14ac:dyDescent="0.2"/>
    <row r="914" s="25" customFormat="1" x14ac:dyDescent="0.2"/>
    <row r="915" s="25" customFormat="1" x14ac:dyDescent="0.2"/>
    <row r="916" s="25" customFormat="1" x14ac:dyDescent="0.2"/>
    <row r="917" s="25" customFormat="1" x14ac:dyDescent="0.2"/>
    <row r="918" s="25" customFormat="1" x14ac:dyDescent="0.2"/>
    <row r="919" s="25" customFormat="1" x14ac:dyDescent="0.2"/>
    <row r="920" s="25" customFormat="1" x14ac:dyDescent="0.2"/>
    <row r="921" s="25" customFormat="1" x14ac:dyDescent="0.2"/>
    <row r="922" s="25" customFormat="1" x14ac:dyDescent="0.2"/>
    <row r="923" s="25" customFormat="1" x14ac:dyDescent="0.2"/>
    <row r="924" s="25" customFormat="1" x14ac:dyDescent="0.2"/>
    <row r="925" s="25" customFormat="1" x14ac:dyDescent="0.2"/>
    <row r="926" s="25" customFormat="1" x14ac:dyDescent="0.2"/>
    <row r="927" s="25" customFormat="1" x14ac:dyDescent="0.2"/>
    <row r="928" s="25" customFormat="1" x14ac:dyDescent="0.2"/>
    <row r="929" s="25" customFormat="1" x14ac:dyDescent="0.2"/>
    <row r="930" s="25" customFormat="1" x14ac:dyDescent="0.2"/>
    <row r="931" s="25" customFormat="1" x14ac:dyDescent="0.2"/>
    <row r="932" s="25" customFormat="1" x14ac:dyDescent="0.2"/>
    <row r="933" s="25" customFormat="1" x14ac:dyDescent="0.2"/>
    <row r="934" s="25" customFormat="1" x14ac:dyDescent="0.2"/>
    <row r="935" s="25" customFormat="1" x14ac:dyDescent="0.2"/>
    <row r="936" s="25" customFormat="1" x14ac:dyDescent="0.2"/>
    <row r="937" s="25" customFormat="1" x14ac:dyDescent="0.2"/>
  </sheetData>
  <sheetProtection algorithmName="SHA-512" hashValue="yiYq6s+39XvSGXT1+2YQv43IhIbFSV+Ap4Djdb3pqtQyWBumZf7AplQyFZtP17eeKriA/NSfGkQVQ0lsJWbE0Q==" saltValue="FF4955yTc0qSoe2q0fGF4w==" spinCount="100000" sheet="1" objects="1" scenarios="1"/>
  <mergeCells count="24">
    <mergeCell ref="B71:E71"/>
    <mergeCell ref="B2:E2"/>
    <mergeCell ref="B160:E160"/>
    <mergeCell ref="B76:E76"/>
    <mergeCell ref="B3:E3"/>
    <mergeCell ref="B42:E42"/>
    <mergeCell ref="B50:E50"/>
    <mergeCell ref="B12:E12"/>
    <mergeCell ref="H9:J9"/>
    <mergeCell ref="H10:J10"/>
    <mergeCell ref="B7:J7"/>
    <mergeCell ref="H8:J8"/>
    <mergeCell ref="B162:E162"/>
    <mergeCell ref="B131:E131"/>
    <mergeCell ref="B138:E138"/>
    <mergeCell ref="B122:E122"/>
    <mergeCell ref="B82:E82"/>
    <mergeCell ref="B89:E89"/>
    <mergeCell ref="B146:E146"/>
    <mergeCell ref="B151:E151"/>
    <mergeCell ref="B158:E158"/>
    <mergeCell ref="B111:E111"/>
    <mergeCell ref="B61:E61"/>
    <mergeCell ref="B44:E44"/>
  </mergeCells>
  <conditionalFormatting sqref="B12:E39">
    <cfRule type="expression" dxfId="91" priority="6">
      <formula>cbr_result="Excluded"</formula>
    </cfRule>
  </conditionalFormatting>
  <conditionalFormatting sqref="C7:J8 H9:J9 C9:G10 H10">
    <cfRule type="expression" dxfId="90" priority="1">
      <formula>cbr_result="Excluded"</formula>
    </cfRule>
  </conditionalFormatting>
  <conditionalFormatting sqref="D5">
    <cfRule type="expression" dxfId="89" priority="80">
      <formula>OR((cbr_result="Excluded"),AND((intelligent_operations_result="Excluded")))</formula>
    </cfRule>
  </conditionalFormatting>
  <conditionalFormatting sqref="D14:D39">
    <cfRule type="notContainsBlanks" dxfId="88" priority="7">
      <formula>LEN(TRIM(D14))&gt;0</formula>
    </cfRule>
    <cfRule type="containsBlanks" dxfId="87" priority="8">
      <formula>LEN(TRIM(D14))=0</formula>
    </cfRule>
  </conditionalFormatting>
  <conditionalFormatting sqref="D42">
    <cfRule type="expression" dxfId="86" priority="21">
      <formula>cbr_result="Excluded"</formula>
    </cfRule>
  </conditionalFormatting>
  <conditionalFormatting sqref="D44 D46:D48 D50 D52:D59 D61 D63:D69 D71 D73:D74 D76 D78:D80 D82 D84:D87 D89 D91:D109 D111 D113:D120 D122 D124:D129 D131 D133:D136 D138 D140:D144 D146 D148:D149 D151 D153:D156">
    <cfRule type="expression" dxfId="85" priority="9" stopIfTrue="1">
      <formula>cbr_result="Excluded"</formula>
    </cfRule>
    <cfRule type="notContainsBlanks" dxfId="84" priority="20">
      <formula>LEN(TRIM(D44))&gt;0</formula>
    </cfRule>
  </conditionalFormatting>
  <conditionalFormatting sqref="D160 D162 D164:D168">
    <cfRule type="expression" dxfId="81" priority="18" stopIfTrue="1">
      <formula>OR((cbr_result="Excluded"),AND((intelligent_operations_result="Excluded")))</formula>
    </cfRule>
  </conditionalFormatting>
  <conditionalFormatting sqref="E9:E10">
    <cfRule type="notContainsBlanks" dxfId="80" priority="4">
      <formula>LEN(TRIM(E9))&gt;0</formula>
    </cfRule>
    <cfRule type="containsBlanks" dxfId="79" priority="5">
      <formula>LEN(TRIM(E9))=0</formula>
    </cfRule>
  </conditionalFormatting>
  <conditionalFormatting sqref="G9:G10">
    <cfRule type="notContainsBlanks" dxfId="78" priority="2">
      <formula>LEN(TRIM(G9))&gt;0</formula>
    </cfRule>
    <cfRule type="containsBlanks" dxfId="77" priority="3">
      <formula>LEN(TRIM(G9))=0</formula>
    </cfRule>
  </conditionalFormatting>
  <dataValidations disablePrompts="1" count="2">
    <dataValidation type="list" allowBlank="1" showInputMessage="1" showErrorMessage="1" sqref="C19:D19" xr:uid="{D0291D4F-CAC3-8249-BB23-83660C8D63EF}">
      <formula1>aws_regions</formula1>
    </dataValidation>
    <dataValidation type="list" allowBlank="1" showInputMessage="1" showErrorMessage="1" sqref="C13:D13" xr:uid="{4BEA9190-F800-344C-9020-B8C55E48864B}">
      <formula1>"Standard,Consolidated"</formula1>
    </dataValidation>
  </dataValidations>
  <hyperlinks>
    <hyperlink ref="B5" location="'Deployment Options'!H50" display="Section Navigation (Click to Navigate)" xr:uid="{00000000-0004-0000-1600-000000000000}"/>
    <hyperlink ref="C5" location="'Cloud-Based Ransomware Recovery'!B8" display="Deployment" xr:uid="{00000000-0004-0000-1600-000001000000}"/>
    <hyperlink ref="D5" location="'Cloud-Based Ransomware Recovery'!B130" display="Solution Interoperability" xr:uid="{00000000-0004-0000-1600-000002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notContainsText" priority="23" operator="notContains" id="{478229EA-1160-4146-916B-9ECBD3E6FB0C}">
            <xm:f>ISERROR(SEARCH("Value Missing",D44))</xm:f>
            <xm:f>"Value Missing"</xm:f>
            <x14:dxf>
              <font>
                <color theme="1"/>
              </font>
              <fill>
                <patternFill>
                  <bgColor rgb="FFEFFDE3"/>
                </patternFill>
              </fill>
            </x14:dxf>
          </x14:cfRule>
          <x14:cfRule type="containsText" priority="24" operator="containsText" id="{D598269F-1849-5240-98C2-59F78A1732EB}">
            <xm:f>NOT(ISERROR(SEARCH("Value Missing",D44)))</xm:f>
            <xm:f>"Value Missing"</xm:f>
            <x14:dxf>
              <font>
                <color theme="1"/>
              </font>
              <fill>
                <patternFill>
                  <bgColor rgb="FFFFBE29"/>
                </patternFill>
              </fill>
            </x14:dxf>
          </x14:cfRule>
          <xm:sqref>D44 D46:D48 D50 D52:D59 D61 D63:D69 D71 D73:D74 D76 D78:D80 D82 D84:D87 D89 D91:D109 D111 D113:D120 D122 D124:D129 D131 D133:D136 D138 D140:D144 D146 D148:D149 D151 D153:D156</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8AD5-C809-B944-B157-C2C0A514B93C}">
  <sheetPr codeName="Sheet27">
    <tabColor theme="4" tint="0.39997558519241921"/>
  </sheetPr>
  <dimension ref="A1:S983"/>
  <sheetViews>
    <sheetView workbookViewId="0">
      <pane ySplit="6" topLeftCell="A144" activePane="bottomLeft" state="frozen"/>
      <selection pane="bottomLeft" activeCell="D177" sqref="D177"/>
    </sheetView>
  </sheetViews>
  <sheetFormatPr baseColWidth="10" defaultColWidth="11" defaultRowHeight="16" x14ac:dyDescent="0.2"/>
  <cols>
    <col min="1" max="1" width="2.83203125" style="25" customWidth="1"/>
    <col min="2" max="2" width="63.83203125" style="9" customWidth="1"/>
    <col min="3" max="3" width="78.83203125" style="9" customWidth="1"/>
    <col min="4" max="4" width="84.83203125" style="9" customWidth="1"/>
    <col min="5" max="5" width="60.83203125" style="9" customWidth="1"/>
    <col min="6" max="19" width="11" style="25" customWidth="1"/>
    <col min="20" max="22" width="11" style="9" customWidth="1"/>
    <col min="23" max="16384" width="11" style="9"/>
  </cols>
  <sheetData>
    <row r="1" spans="1:19" s="25" customFormat="1" x14ac:dyDescent="0.2">
      <c r="A1" s="259"/>
      <c r="B1" s="247"/>
      <c r="C1" s="247"/>
      <c r="D1" s="247"/>
      <c r="E1" s="247"/>
      <c r="F1" s="247"/>
    </row>
    <row r="2" spans="1:19" ht="54" customHeight="1" x14ac:dyDescent="0.2">
      <c r="A2" s="247"/>
      <c r="B2" s="681" t="s">
        <v>3096</v>
      </c>
      <c r="C2" s="682"/>
      <c r="D2" s="682"/>
      <c r="E2" s="691"/>
      <c r="F2" s="247"/>
    </row>
    <row r="3" spans="1:19" x14ac:dyDescent="0.2">
      <c r="A3" s="247"/>
      <c r="B3" s="688" t="s">
        <v>3097</v>
      </c>
      <c r="C3" s="688"/>
      <c r="D3" s="688"/>
      <c r="E3" s="689"/>
      <c r="F3" s="247"/>
    </row>
    <row r="4" spans="1:19" x14ac:dyDescent="0.2">
      <c r="A4" s="260"/>
      <c r="B4" s="260"/>
      <c r="C4" s="260"/>
      <c r="D4" s="260"/>
      <c r="E4" s="260"/>
      <c r="F4" s="260"/>
    </row>
    <row r="5" spans="1:19" ht="34" customHeight="1" x14ac:dyDescent="0.2">
      <c r="A5" s="260"/>
      <c r="B5" s="261" t="s">
        <v>3019</v>
      </c>
      <c r="C5" s="261" t="s">
        <v>535</v>
      </c>
      <c r="D5" s="280" t="s">
        <v>2604</v>
      </c>
      <c r="E5" s="281"/>
      <c r="F5" s="264"/>
    </row>
    <row r="6" spans="1:19" ht="20" customHeight="1" x14ac:dyDescent="0.2">
      <c r="A6" s="247"/>
      <c r="B6" s="247"/>
      <c r="C6" s="247"/>
      <c r="D6" s="265"/>
      <c r="E6" s="266"/>
      <c r="F6" s="266"/>
    </row>
    <row r="7" spans="1:19" ht="34" customHeight="1" x14ac:dyDescent="0.2">
      <c r="A7" s="9"/>
      <c r="B7" s="427" t="s">
        <v>3098</v>
      </c>
      <c r="C7" s="428"/>
      <c r="D7" s="428"/>
      <c r="E7" s="428"/>
      <c r="F7" s="428"/>
      <c r="G7" s="428"/>
      <c r="H7" s="428"/>
      <c r="I7" s="428"/>
      <c r="J7" s="429"/>
      <c r="K7" s="9"/>
      <c r="L7" s="9"/>
      <c r="M7" s="9"/>
      <c r="N7" s="9"/>
      <c r="O7" s="9"/>
      <c r="P7" s="9"/>
      <c r="Q7" s="9"/>
      <c r="R7" s="9"/>
      <c r="S7" s="9"/>
    </row>
    <row r="8" spans="1:19" ht="20" customHeight="1" x14ac:dyDescent="0.2">
      <c r="A8" s="9"/>
      <c r="B8" s="63" t="s">
        <v>2350</v>
      </c>
      <c r="C8" s="63" t="s">
        <v>2351</v>
      </c>
      <c r="D8" s="63" t="s">
        <v>2352</v>
      </c>
      <c r="E8" s="119" t="s">
        <v>2353</v>
      </c>
      <c r="F8" s="63" t="s">
        <v>817</v>
      </c>
      <c r="G8" s="119" t="s">
        <v>818</v>
      </c>
      <c r="H8" s="472" t="s">
        <v>21</v>
      </c>
      <c r="I8" s="476"/>
      <c r="J8" s="473"/>
      <c r="K8" s="9"/>
      <c r="L8" s="9"/>
      <c r="M8" s="9"/>
      <c r="N8" s="9"/>
      <c r="O8" s="9"/>
      <c r="P8" s="9"/>
      <c r="Q8" s="9"/>
      <c r="R8" s="9"/>
      <c r="S8" s="9"/>
    </row>
    <row r="9" spans="1:19" ht="20" customHeight="1" x14ac:dyDescent="0.2">
      <c r="A9" s="9"/>
      <c r="B9" s="4" t="s">
        <v>3099</v>
      </c>
      <c r="C9" s="10" t="s">
        <v>1622</v>
      </c>
      <c r="D9" s="103" t="str">
        <f>CONCATENATE(this_instance,"-ccm-hcx01")</f>
        <v>sfo-ccm-hcx01</v>
      </c>
      <c r="E9" s="66"/>
      <c r="F9" s="103" t="str">
        <f>IF(mgmt_dpg_reuse_result="Included",CONCATENATE(prefix_mgmt_az1_cidr,"10.46"),CONCATENATE(prefix_mgmt_az1_cidr,"11.46"))</f>
        <v>10.11.10.46</v>
      </c>
      <c r="G9" s="66"/>
      <c r="H9" s="669" t="s">
        <v>3099</v>
      </c>
      <c r="I9" s="670"/>
      <c r="J9" s="668"/>
      <c r="K9" s="9"/>
      <c r="L9" s="9"/>
      <c r="M9" s="9"/>
      <c r="N9" s="9"/>
      <c r="O9" s="9"/>
      <c r="P9" s="9"/>
      <c r="Q9" s="9"/>
      <c r="R9" s="9"/>
      <c r="S9" s="9"/>
    </row>
    <row r="10" spans="1:19" ht="20" customHeight="1" x14ac:dyDescent="0.2">
      <c r="A10" s="9"/>
      <c r="B10" s="698" t="s">
        <v>3100</v>
      </c>
      <c r="C10" s="699"/>
      <c r="D10" s="698" t="s">
        <v>3101</v>
      </c>
      <c r="E10" s="700"/>
      <c r="F10" s="701" t="s">
        <v>3102</v>
      </c>
      <c r="G10" s="699"/>
      <c r="H10" s="692"/>
      <c r="I10" s="693"/>
      <c r="J10" s="694"/>
      <c r="K10" s="9"/>
      <c r="L10" s="9"/>
      <c r="M10" s="9"/>
      <c r="N10" s="9"/>
      <c r="O10" s="9"/>
      <c r="P10" s="9"/>
      <c r="Q10" s="9"/>
      <c r="R10" s="9"/>
      <c r="S10" s="9"/>
    </row>
    <row r="11" spans="1:19" ht="20" customHeight="1" x14ac:dyDescent="0.2">
      <c r="A11" s="9"/>
      <c r="B11" s="477" t="s">
        <v>1829</v>
      </c>
      <c r="C11" s="478"/>
      <c r="D11" s="696" t="str">
        <f>IF(mgmt_dpg_reuse_result="Included",CONCATENATE(prefix_wld_az1_cidr,"10.221-",prefix_wld_az1_cidr,"10.225"),CONCATENATE(prefix_wld_az1_cidr,"11.221-",prefix_wld_az1_cidr,"11.225"))</f>
        <v>10.13.10.221-10.13.10.225</v>
      </c>
      <c r="E11" s="697"/>
      <c r="F11" s="695"/>
      <c r="G11" s="497"/>
      <c r="H11" s="669"/>
      <c r="I11" s="670"/>
      <c r="J11" s="668"/>
      <c r="K11" s="9"/>
      <c r="L11" s="9"/>
      <c r="M11" s="9"/>
      <c r="N11" s="9"/>
      <c r="O11" s="9"/>
      <c r="P11" s="9"/>
      <c r="Q11" s="9"/>
      <c r="R11" s="9"/>
      <c r="S11" s="9"/>
    </row>
    <row r="12" spans="1:19" ht="20" customHeight="1" x14ac:dyDescent="0.2">
      <c r="A12" s="9"/>
      <c r="B12" s="477" t="s">
        <v>1426</v>
      </c>
      <c r="C12" s="478"/>
      <c r="D12" s="696" t="str">
        <f>CONCATENATE(prefix_wld_az1_cidr,"12.221-",prefix_wld_az1_cidr,"12.225")</f>
        <v>10.13.12.221-10.13.12.225</v>
      </c>
      <c r="E12" s="697"/>
      <c r="F12" s="695"/>
      <c r="G12" s="497"/>
      <c r="H12" s="669"/>
      <c r="I12" s="670"/>
      <c r="J12" s="668"/>
      <c r="K12" s="9"/>
      <c r="L12" s="9"/>
      <c r="M12" s="9"/>
      <c r="N12" s="9"/>
      <c r="O12" s="9"/>
      <c r="P12" s="9"/>
      <c r="Q12" s="9"/>
      <c r="R12" s="9"/>
      <c r="S12" s="9"/>
    </row>
    <row r="13" spans="1:19" x14ac:dyDescent="0.2">
      <c r="A13" s="9"/>
      <c r="B13" s="2"/>
      <c r="C13" s="2"/>
      <c r="D13" s="2"/>
      <c r="E13" s="2"/>
      <c r="F13" s="2"/>
      <c r="G13" s="2"/>
      <c r="H13" s="2"/>
      <c r="I13" s="2"/>
      <c r="J13" s="3"/>
      <c r="K13" s="9"/>
      <c r="L13" s="9"/>
      <c r="M13" s="9"/>
      <c r="N13" s="9"/>
      <c r="O13" s="9"/>
      <c r="P13" s="9"/>
      <c r="Q13" s="9"/>
      <c r="R13" s="9"/>
      <c r="S13" s="9"/>
    </row>
    <row r="14" spans="1:19" s="2" customFormat="1" ht="30" customHeight="1" x14ac:dyDescent="0.2">
      <c r="B14" s="519" t="s">
        <v>3098</v>
      </c>
      <c r="C14" s="632"/>
      <c r="D14" s="632"/>
      <c r="E14" s="520"/>
    </row>
    <row r="15" spans="1:19" s="2" customFormat="1" ht="20" customHeight="1" x14ac:dyDescent="0.2">
      <c r="B15" s="200" t="s">
        <v>254</v>
      </c>
      <c r="C15" s="200" t="s">
        <v>255</v>
      </c>
      <c r="D15" s="201" t="s">
        <v>20</v>
      </c>
      <c r="E15" s="200" t="s">
        <v>21</v>
      </c>
    </row>
    <row r="16" spans="1:19" s="2" customFormat="1" ht="20" customHeight="1" x14ac:dyDescent="0.2">
      <c r="B16" s="4" t="s">
        <v>1940</v>
      </c>
      <c r="C16" s="10" t="s">
        <v>3103</v>
      </c>
      <c r="D16" s="141"/>
      <c r="E16" s="241"/>
    </row>
    <row r="17" spans="2:5" s="2" customFormat="1" ht="20" customHeight="1" x14ac:dyDescent="0.2">
      <c r="B17" s="4" t="s">
        <v>3104</v>
      </c>
      <c r="C17" s="10" t="str">
        <f>CONCATENATE(this_instance,"-m01-fd-ccm")</f>
        <v>sfo-m01-fd-ccm</v>
      </c>
      <c r="D17" s="141"/>
      <c r="E17" s="241"/>
    </row>
    <row r="18" spans="2:5" s="2" customFormat="1" ht="20" customHeight="1" x14ac:dyDescent="0.2">
      <c r="B18" s="4" t="s">
        <v>1951</v>
      </c>
      <c r="C18" s="10" t="str">
        <f>CONCATENATE(this_instance,"-w0",wld_domain_number_chosen,"-fd-hcx")</f>
        <v>sfo-w01-fd-hcx</v>
      </c>
      <c r="D18" s="141"/>
      <c r="E18" s="241"/>
    </row>
    <row r="19" spans="2:5" s="2" customFormat="1" ht="20" customHeight="1" x14ac:dyDescent="0.2">
      <c r="B19" s="4" t="s">
        <v>1954</v>
      </c>
      <c r="C19" s="10" t="str">
        <f>CONCATENATE(this_instance,"-w0",wld_domain_number_chosen,"-cl01-rp-hcx")</f>
        <v>sfo-w01-cl01-rp-hcx</v>
      </c>
      <c r="D19" s="141"/>
      <c r="E19" s="241"/>
    </row>
    <row r="20" spans="2:5" s="2" customFormat="1" ht="20" customHeight="1" x14ac:dyDescent="0.2">
      <c r="B20" s="4" t="s">
        <v>1964</v>
      </c>
      <c r="C20" s="10" t="s">
        <v>3105</v>
      </c>
      <c r="D20" s="141"/>
      <c r="E20" s="241"/>
    </row>
    <row r="21" spans="2:5" s="2" customFormat="1" ht="20" customHeight="1" x14ac:dyDescent="0.2">
      <c r="B21" s="4" t="s">
        <v>1860</v>
      </c>
      <c r="C21" s="10" t="s">
        <v>2328</v>
      </c>
      <c r="D21" s="141"/>
      <c r="E21" s="241"/>
    </row>
    <row r="22" spans="2:5" s="2" customFormat="1" ht="20" customHeight="1" x14ac:dyDescent="0.2">
      <c r="B22" s="4" t="s">
        <v>1864</v>
      </c>
      <c r="C22" s="10" t="s">
        <v>3106</v>
      </c>
      <c r="D22" s="141"/>
      <c r="E22" s="241"/>
    </row>
    <row r="23" spans="2:5" s="2" customFormat="1" ht="20" customHeight="1" x14ac:dyDescent="0.2">
      <c r="B23" s="4" t="s">
        <v>1869</v>
      </c>
      <c r="C23" s="10">
        <v>2</v>
      </c>
      <c r="D23" s="141"/>
      <c r="E23" s="241"/>
    </row>
    <row r="24" spans="2:5" s="2" customFormat="1" ht="20" customHeight="1" x14ac:dyDescent="0.2">
      <c r="B24" s="4" t="s">
        <v>1874</v>
      </c>
      <c r="C24" s="10" t="s">
        <v>3029</v>
      </c>
      <c r="D24" s="141"/>
      <c r="E24" s="241"/>
    </row>
    <row r="25" spans="2:5" s="2" customFormat="1" ht="20" customHeight="1" x14ac:dyDescent="0.2">
      <c r="B25" s="4" t="s">
        <v>1877</v>
      </c>
      <c r="C25" s="10" t="s">
        <v>3029</v>
      </c>
      <c r="D25" s="141"/>
      <c r="E25" s="241"/>
    </row>
    <row r="26" spans="2:5" s="2" customFormat="1" ht="20" customHeight="1" x14ac:dyDescent="0.2">
      <c r="B26" s="4" t="s">
        <v>1882</v>
      </c>
      <c r="C26" s="10" t="s">
        <v>3030</v>
      </c>
      <c r="D26" s="141"/>
      <c r="E26" s="241"/>
    </row>
    <row r="27" spans="2:5" s="2" customFormat="1" ht="20" customHeight="1" x14ac:dyDescent="0.2">
      <c r="B27" s="4" t="s">
        <v>3031</v>
      </c>
      <c r="C27" s="10" t="s">
        <v>3032</v>
      </c>
      <c r="D27" s="141"/>
      <c r="E27" s="241"/>
    </row>
    <row r="28" spans="2:5" s="2" customFormat="1" ht="20" customHeight="1" x14ac:dyDescent="0.2">
      <c r="B28" s="4" t="s">
        <v>1986</v>
      </c>
      <c r="C28" s="10" t="s">
        <v>3107</v>
      </c>
      <c r="D28" s="141"/>
      <c r="E28" s="241"/>
    </row>
    <row r="29" spans="2:5" s="2" customFormat="1" ht="20" customHeight="1" x14ac:dyDescent="0.2">
      <c r="B29" s="4" t="s">
        <v>3033</v>
      </c>
      <c r="C29" s="10" t="s">
        <v>3034</v>
      </c>
      <c r="D29" s="141"/>
      <c r="E29" s="241"/>
    </row>
    <row r="30" spans="2:5" s="2" customFormat="1" ht="20" customHeight="1" x14ac:dyDescent="0.2">
      <c r="B30" s="4" t="s">
        <v>1990</v>
      </c>
      <c r="C30" s="10" t="s">
        <v>3035</v>
      </c>
      <c r="D30" s="141"/>
      <c r="E30" s="241"/>
    </row>
    <row r="31" spans="2:5" s="2" customFormat="1" ht="20" customHeight="1" x14ac:dyDescent="0.2">
      <c r="B31" s="4" t="s">
        <v>1993</v>
      </c>
      <c r="C31" s="10" t="s">
        <v>2968</v>
      </c>
      <c r="D31" s="141"/>
      <c r="E31" s="241"/>
    </row>
    <row r="32" spans="2:5" s="2" customFormat="1" ht="20" customHeight="1" x14ac:dyDescent="0.2">
      <c r="B32" s="4" t="s">
        <v>1996</v>
      </c>
      <c r="C32" s="10" t="s">
        <v>3108</v>
      </c>
      <c r="D32" s="141"/>
      <c r="E32" s="241"/>
    </row>
    <row r="33" spans="1:6" s="2" customFormat="1" ht="20" customHeight="1" x14ac:dyDescent="0.2">
      <c r="B33" s="4" t="s">
        <v>2002</v>
      </c>
      <c r="C33" s="10" t="s">
        <v>31</v>
      </c>
      <c r="D33" s="141"/>
      <c r="E33" s="241"/>
    </row>
    <row r="34" spans="1:6" s="2" customFormat="1" ht="20" customHeight="1" x14ac:dyDescent="0.2">
      <c r="B34" s="4" t="s">
        <v>2004</v>
      </c>
      <c r="C34" s="10" t="s">
        <v>31</v>
      </c>
      <c r="D34" s="141"/>
      <c r="E34" s="241"/>
    </row>
    <row r="35" spans="1:6" s="2" customFormat="1" ht="20" customHeight="1" x14ac:dyDescent="0.2">
      <c r="B35" s="4" t="s">
        <v>2009</v>
      </c>
      <c r="C35" s="10" t="s">
        <v>3109</v>
      </c>
      <c r="D35" s="141"/>
      <c r="E35" s="241"/>
    </row>
    <row r="36" spans="1:6" s="2" customFormat="1" ht="20" customHeight="1" x14ac:dyDescent="0.2">
      <c r="B36" s="4" t="s">
        <v>2011</v>
      </c>
      <c r="C36" s="10" t="s">
        <v>3110</v>
      </c>
      <c r="D36" s="141"/>
      <c r="E36" s="241"/>
    </row>
    <row r="37" spans="1:6" s="2" customFormat="1" ht="20" customHeight="1" x14ac:dyDescent="0.2">
      <c r="B37" s="4" t="s">
        <v>2013</v>
      </c>
      <c r="C37" s="10" t="s">
        <v>3111</v>
      </c>
      <c r="D37" s="141"/>
      <c r="E37" s="241"/>
    </row>
    <row r="38" spans="1:6" s="2" customFormat="1" ht="20" customHeight="1" x14ac:dyDescent="0.2">
      <c r="B38" s="4" t="s">
        <v>2018</v>
      </c>
      <c r="C38" s="10" t="str">
        <f>CONCATENATE(this_instance,"-w0",wld_domain_number_chosen,"-compute-profile")</f>
        <v>sfo-w01-compute-profile</v>
      </c>
      <c r="D38" s="141"/>
      <c r="E38" s="241"/>
    </row>
    <row r="39" spans="1:6" s="2" customFormat="1" ht="20" customHeight="1" x14ac:dyDescent="0.2">
      <c r="B39" s="4" t="s">
        <v>2019</v>
      </c>
      <c r="C39" s="10" t="str">
        <f>CONCATENATE(this_instance,"-w0",wld_domain_number_chosen,"-service-mesh")</f>
        <v>sfo-w01-service-mesh</v>
      </c>
      <c r="D39" s="141"/>
      <c r="E39" s="241"/>
    </row>
    <row r="40" spans="1:6" x14ac:dyDescent="0.2">
      <c r="A40" s="260"/>
      <c r="B40" s="260"/>
      <c r="C40" s="260"/>
      <c r="D40" s="260"/>
      <c r="E40" s="260"/>
      <c r="F40" s="260"/>
    </row>
    <row r="41" spans="1:6" ht="34" customHeight="1" x14ac:dyDescent="0.2">
      <c r="A41" s="260"/>
      <c r="B41" s="680" t="s">
        <v>535</v>
      </c>
      <c r="C41" s="680"/>
      <c r="D41" s="680"/>
      <c r="E41" s="690"/>
      <c r="F41" s="260"/>
    </row>
    <row r="42" spans="1:6" s="25" customFormat="1" x14ac:dyDescent="0.2">
      <c r="A42" s="260"/>
      <c r="B42" s="260"/>
      <c r="C42" s="260"/>
      <c r="D42" s="260"/>
      <c r="E42" s="260"/>
      <c r="F42" s="260"/>
    </row>
    <row r="43" spans="1:6" ht="34" customHeight="1" x14ac:dyDescent="0.2">
      <c r="A43" s="267"/>
      <c r="B43" s="679" t="s">
        <v>3112</v>
      </c>
      <c r="C43" s="679"/>
      <c r="D43" s="679"/>
      <c r="E43" s="679"/>
    </row>
    <row r="44" spans="1:6" ht="20" customHeight="1" x14ac:dyDescent="0.2">
      <c r="A44" s="267"/>
      <c r="B44" s="268" t="s">
        <v>254</v>
      </c>
      <c r="C44" s="268" t="s">
        <v>255</v>
      </c>
      <c r="D44" s="269" t="s">
        <v>20</v>
      </c>
      <c r="E44" s="268" t="s">
        <v>21</v>
      </c>
    </row>
    <row r="45" spans="1:6" ht="20" customHeight="1" x14ac:dyDescent="0.2">
      <c r="A45" s="267"/>
      <c r="B45" s="270" t="s">
        <v>2535</v>
      </c>
      <c r="C45" s="271" t="str">
        <f>sample_mgmt_vc_fqdn</f>
        <v>sfo-m01-vc01.sfo.rainpole.io</v>
      </c>
      <c r="D45" s="140" t="str">
        <f>mgmt_vc_fqdn</f>
        <v>Value Missing</v>
      </c>
      <c r="E45" s="272"/>
    </row>
    <row r="46" spans="1:6" s="25" customFormat="1" ht="20" customHeight="1" x14ac:dyDescent="0.2">
      <c r="A46" s="267"/>
      <c r="B46" s="277" t="s">
        <v>3113</v>
      </c>
      <c r="C46" s="278" t="str">
        <f>sample_ccm_hcx_vsphere_role</f>
        <v>VMware HCX to vSphere Integration</v>
      </c>
      <c r="D46" s="279" t="str">
        <f t="array" ref="D46">ccm_hcx_vsphere_role</f>
        <v>Value Missing</v>
      </c>
      <c r="E46" s="272"/>
    </row>
    <row r="47" spans="1:6" s="25" customFormat="1" ht="20" customHeight="1" x14ac:dyDescent="0.2"/>
    <row r="48" spans="1:6" s="25" customFormat="1" ht="34" customHeight="1" x14ac:dyDescent="0.2">
      <c r="B48" s="679" t="s">
        <v>3114</v>
      </c>
      <c r="C48" s="679"/>
      <c r="D48" s="679"/>
      <c r="E48" s="679"/>
    </row>
    <row r="49" spans="1:5" s="25" customFormat="1" ht="20" customHeight="1" x14ac:dyDescent="0.2">
      <c r="B49" s="268" t="s">
        <v>254</v>
      </c>
      <c r="C49" s="268" t="s">
        <v>255</v>
      </c>
      <c r="D49" s="269" t="s">
        <v>20</v>
      </c>
      <c r="E49" s="268" t="s">
        <v>21</v>
      </c>
    </row>
    <row r="50" spans="1:5" s="25" customFormat="1" ht="20" customHeight="1" x14ac:dyDescent="0.2">
      <c r="B50" s="270" t="s">
        <v>2535</v>
      </c>
      <c r="C50" s="271" t="str">
        <f>sample_mgmt_vc_fqdn</f>
        <v>sfo-m01-vc01.sfo.rainpole.io</v>
      </c>
      <c r="D50" s="140" t="str">
        <f>mgmt_vc_fqdn</f>
        <v>Value Missing</v>
      </c>
      <c r="E50" s="272"/>
    </row>
    <row r="51" spans="1:5" s="25" customFormat="1" ht="20" customHeight="1" x14ac:dyDescent="0.2">
      <c r="B51" s="270" t="s">
        <v>3115</v>
      </c>
      <c r="C51" s="271" t="str">
        <f>sample_child_dns_zone</f>
        <v>sfo.rainpole.io</v>
      </c>
      <c r="D51" s="140" t="str">
        <f>child_dns_zone</f>
        <v>Value Missing</v>
      </c>
      <c r="E51" s="272"/>
    </row>
    <row r="52" spans="1:5" s="25" customFormat="1" ht="20" customHeight="1" x14ac:dyDescent="0.2">
      <c r="B52" s="270" t="s">
        <v>3116</v>
      </c>
      <c r="C52" s="271" t="str">
        <f>sample_svc_ccm_hcx_vsphere_user</f>
        <v>svc-hcx-vsphere</v>
      </c>
      <c r="D52" s="140" t="str">
        <f>ccm_hcx_vsphere_svc_user</f>
        <v>Value Missing</v>
      </c>
      <c r="E52" s="272"/>
    </row>
    <row r="53" spans="1:5" s="25" customFormat="1" ht="20" customHeight="1" x14ac:dyDescent="0.2">
      <c r="B53" s="282" t="s">
        <v>3117</v>
      </c>
      <c r="C53" s="271" t="str">
        <f>sample_ccm_hcx_vsphere_role</f>
        <v>VMware HCX to vSphere Integration</v>
      </c>
      <c r="D53" s="140" t="str">
        <f>ccm_hcx_vsphere_role</f>
        <v>Value Missing</v>
      </c>
      <c r="E53" s="272"/>
    </row>
    <row r="54" spans="1:5" s="25" customFormat="1" ht="20" customHeight="1" x14ac:dyDescent="0.2"/>
    <row r="55" spans="1:5" s="25" customFormat="1" ht="34" customHeight="1" x14ac:dyDescent="0.2">
      <c r="A55" s="267"/>
      <c r="B55" s="679" t="s">
        <v>3118</v>
      </c>
      <c r="C55" s="679"/>
      <c r="D55" s="679"/>
      <c r="E55" s="679"/>
    </row>
    <row r="56" spans="1:5" s="25" customFormat="1" ht="20" customHeight="1" x14ac:dyDescent="0.2">
      <c r="A56" s="267"/>
      <c r="B56" s="268" t="s">
        <v>254</v>
      </c>
      <c r="C56" s="268" t="s">
        <v>255</v>
      </c>
      <c r="D56" s="269" t="s">
        <v>20</v>
      </c>
      <c r="E56" s="268" t="s">
        <v>21</v>
      </c>
    </row>
    <row r="57" spans="1:5" s="25" customFormat="1" ht="20" customHeight="1" x14ac:dyDescent="0.2">
      <c r="A57" s="267"/>
      <c r="B57" s="270" t="s">
        <v>2535</v>
      </c>
      <c r="C57" s="271" t="str">
        <f>sample_mgmt_vc_fqdn</f>
        <v>sfo-m01-vc01.sfo.rainpole.io</v>
      </c>
      <c r="D57" s="140" t="str">
        <f>mgmt_vc_fqdn</f>
        <v>Value Missing</v>
      </c>
      <c r="E57" s="272"/>
    </row>
    <row r="58" spans="1:5" s="25" customFormat="1" ht="20" customHeight="1" x14ac:dyDescent="0.2">
      <c r="A58" s="267"/>
      <c r="B58" s="270" t="s">
        <v>294</v>
      </c>
      <c r="C58" s="271" t="str">
        <f>sample_mgmt_datacenter</f>
        <v>sfo-m01-dc01</v>
      </c>
      <c r="D58" s="140" t="str">
        <f>mgmt_datacenter</f>
        <v>Value Missing</v>
      </c>
      <c r="E58" s="272"/>
    </row>
    <row r="59" spans="1:5" s="25" customFormat="1" ht="20" customHeight="1" x14ac:dyDescent="0.2">
      <c r="A59" s="267"/>
      <c r="B59" s="273" t="s">
        <v>3119</v>
      </c>
      <c r="C59" s="271" t="str">
        <f>sample_ccm_vm_folder</f>
        <v>sfo-m01-fd-ccm</v>
      </c>
      <c r="D59" s="140" t="str">
        <f>ccm_vm_folder</f>
        <v>Value Missing</v>
      </c>
      <c r="E59" s="272"/>
    </row>
    <row r="60" spans="1:5" s="25" customFormat="1" ht="20" customHeight="1" x14ac:dyDescent="0.2"/>
    <row r="61" spans="1:5" s="25" customFormat="1" ht="34" customHeight="1" x14ac:dyDescent="0.2">
      <c r="B61" s="679" t="s">
        <v>3120</v>
      </c>
      <c r="C61" s="679"/>
      <c r="D61" s="679"/>
      <c r="E61" s="679"/>
    </row>
    <row r="62" spans="1:5" s="25" customFormat="1" ht="20" customHeight="1" x14ac:dyDescent="0.2">
      <c r="B62" s="268" t="s">
        <v>254</v>
      </c>
      <c r="C62" s="268" t="s">
        <v>255</v>
      </c>
      <c r="D62" s="269" t="s">
        <v>20</v>
      </c>
      <c r="E62" s="268" t="s">
        <v>21</v>
      </c>
    </row>
    <row r="63" spans="1:5" s="25" customFormat="1" ht="20" customHeight="1" x14ac:dyDescent="0.2">
      <c r="B63" s="270" t="s">
        <v>3121</v>
      </c>
      <c r="C63" s="271" t="str">
        <f>sample_wld_vc_fqdn</f>
        <v>sfo-w01-vc01.sfo.rainpole.io</v>
      </c>
      <c r="D63" s="140" t="str">
        <f>wld_vc_fqdn</f>
        <v>Value Missing</v>
      </c>
      <c r="E63" s="272"/>
    </row>
    <row r="64" spans="1:5" s="25" customFormat="1" ht="20" customHeight="1" x14ac:dyDescent="0.2">
      <c r="B64" s="270" t="s">
        <v>294</v>
      </c>
      <c r="C64" s="271" t="str">
        <f>sample_wld_datacenter</f>
        <v>sfo-w01-dc</v>
      </c>
      <c r="D64" s="140" t="str">
        <f>wld_datacenter</f>
        <v>Value Missing</v>
      </c>
      <c r="E64" s="272"/>
    </row>
    <row r="65" spans="2:5" s="25" customFormat="1" ht="20" customHeight="1" x14ac:dyDescent="0.2">
      <c r="B65" s="270" t="s">
        <v>3122</v>
      </c>
      <c r="C65" s="271" t="str">
        <f>sample_ccm_hcx_vm_folder</f>
        <v>sfo-w01-fd-hcx</v>
      </c>
      <c r="D65" s="140"/>
      <c r="E65" s="272"/>
    </row>
    <row r="66" spans="2:5" s="25" customFormat="1" ht="20" customHeight="1" x14ac:dyDescent="0.2">
      <c r="B66" s="270" t="s">
        <v>1954</v>
      </c>
      <c r="C66" s="271" t="str">
        <f>sample_ccm_hcx_resource_pool</f>
        <v>sfo-w01-cl01-rp-hcx</v>
      </c>
      <c r="D66" s="140"/>
      <c r="E66" s="272"/>
    </row>
    <row r="67" spans="2:5" s="25" customFormat="1" ht="20" customHeight="1" x14ac:dyDescent="0.2"/>
    <row r="68" spans="2:5" s="25" customFormat="1" ht="34" customHeight="1" x14ac:dyDescent="0.2">
      <c r="B68" s="679" t="s">
        <v>3123</v>
      </c>
      <c r="C68" s="679"/>
      <c r="D68" s="679"/>
      <c r="E68" s="679"/>
    </row>
    <row r="69" spans="2:5" s="25" customFormat="1" ht="20" customHeight="1" x14ac:dyDescent="0.2">
      <c r="B69" s="268" t="s">
        <v>254</v>
      </c>
      <c r="C69" s="268" t="s">
        <v>255</v>
      </c>
      <c r="D69" s="269" t="s">
        <v>20</v>
      </c>
      <c r="E69" s="268" t="s">
        <v>21</v>
      </c>
    </row>
    <row r="70" spans="2:5" s="25" customFormat="1" ht="20" customHeight="1" x14ac:dyDescent="0.2">
      <c r="B70" s="270" t="s">
        <v>3124</v>
      </c>
      <c r="C70" s="271" t="str">
        <f>sample_mgmt_vc_fqdn</f>
        <v>sfo-m01-vc01.sfo.rainpole.io</v>
      </c>
      <c r="D70" s="140" t="str">
        <f>wld_nsxt_hostname&amp;"."&amp;child_dns_zone</f>
        <v>Value Missing.Value Missing</v>
      </c>
      <c r="E70" s="272"/>
    </row>
    <row r="71" spans="2:5" s="25" customFormat="1" ht="20" customHeight="1" x14ac:dyDescent="0.2">
      <c r="B71" s="270" t="s">
        <v>47</v>
      </c>
      <c r="C71" s="271" t="str">
        <f>sample_svc_ccm_hcx_nsx_user&amp;"@"&amp;sample_child_dns_zone</f>
        <v>svc-hcx-nsx@sfo.rainpole.io</v>
      </c>
      <c r="D71" s="140" t="str">
        <f>ccm_hcx_nsx_svc_user&amp;"@"&amp;child_dns_zone</f>
        <v>Value Missing@Value Missing</v>
      </c>
      <c r="E71" s="272"/>
    </row>
    <row r="72" spans="2:5" s="25" customFormat="1" ht="20" customHeight="1" x14ac:dyDescent="0.2"/>
    <row r="73" spans="2:5" s="25" customFormat="1" ht="34" customHeight="1" x14ac:dyDescent="0.2">
      <c r="B73" s="679" t="s">
        <v>3125</v>
      </c>
      <c r="C73" s="679"/>
      <c r="D73" s="679"/>
      <c r="E73" s="679"/>
    </row>
    <row r="74" spans="2:5" s="25" customFormat="1" ht="20" customHeight="1" x14ac:dyDescent="0.2">
      <c r="B74" s="268" t="s">
        <v>254</v>
      </c>
      <c r="C74" s="268" t="s">
        <v>255</v>
      </c>
      <c r="D74" s="269" t="s">
        <v>20</v>
      </c>
      <c r="E74" s="268" t="s">
        <v>21</v>
      </c>
    </row>
    <row r="75" spans="2:5" s="25" customFormat="1" ht="20" customHeight="1" x14ac:dyDescent="0.2">
      <c r="B75" s="270" t="s">
        <v>3047</v>
      </c>
      <c r="C75" s="271" t="s">
        <v>3048</v>
      </c>
      <c r="D75" s="140" t="str">
        <f>C75</f>
        <v>console.cloud.vmware.com</v>
      </c>
      <c r="E75" s="272"/>
    </row>
    <row r="76" spans="2:5" s="25" customFormat="1" ht="20" customHeight="1" x14ac:dyDescent="0.2">
      <c r="B76" s="270" t="s">
        <v>3049</v>
      </c>
      <c r="C76" s="271" t="str">
        <f>sample_ccm_aws_sddc_name</f>
        <v>mobility-sddc</v>
      </c>
      <c r="D76" s="140" t="str">
        <f>ccm_aws_sddc_name</f>
        <v>Value Missing</v>
      </c>
      <c r="E76" s="272"/>
    </row>
    <row r="77" spans="2:5" s="25" customFormat="1" ht="20" customHeight="1" x14ac:dyDescent="0.2">
      <c r="B77" s="270" t="s">
        <v>1860</v>
      </c>
      <c r="C77" s="271" t="str">
        <f>sample_ccm_aws_region</f>
        <v>Europe (Ireland)</v>
      </c>
      <c r="D77" s="140" t="str">
        <f>ccm_aws_region</f>
        <v>Value Missing</v>
      </c>
      <c r="E77" s="272"/>
    </row>
    <row r="78" spans="2:5" s="25" customFormat="1" ht="20" customHeight="1" x14ac:dyDescent="0.2">
      <c r="B78" s="270" t="s">
        <v>1864</v>
      </c>
      <c r="C78" s="271" t="str">
        <f>sample_ccm_aws_host_type</f>
        <v>I3 (Local SSD)</v>
      </c>
      <c r="D78" s="140" t="str">
        <f>ccm_aws_host_type</f>
        <v>Value Missing</v>
      </c>
      <c r="E78" s="272"/>
    </row>
    <row r="79" spans="2:5" s="25" customFormat="1" ht="20" customHeight="1" x14ac:dyDescent="0.2">
      <c r="B79" s="270" t="s">
        <v>1869</v>
      </c>
      <c r="C79" s="271">
        <f>sample_ccm_aws_host_count</f>
        <v>2</v>
      </c>
      <c r="D79" s="140" t="str">
        <f>ccm_aws_host_count</f>
        <v>Value Missing</v>
      </c>
      <c r="E79" s="272"/>
    </row>
    <row r="80" spans="2:5" s="25" customFormat="1" ht="20" customHeight="1" x14ac:dyDescent="0.2">
      <c r="B80" s="270" t="s">
        <v>1874</v>
      </c>
      <c r="C80" s="271" t="str">
        <f>sample_ccm_aws_vpc</f>
        <v>&lt;generated&gt;</v>
      </c>
      <c r="D80" s="140" t="str">
        <f>ccm_aws_vpc</f>
        <v>Value Missing</v>
      </c>
      <c r="E80" s="272"/>
    </row>
    <row r="81" spans="2:5" s="25" customFormat="1" ht="20" customHeight="1" x14ac:dyDescent="0.2">
      <c r="B81" s="270" t="s">
        <v>1877</v>
      </c>
      <c r="C81" s="271" t="str">
        <f>sample_ccm_aws_subnet</f>
        <v>&lt;generated&gt;</v>
      </c>
      <c r="D81" s="140" t="str">
        <f>ccm_aws_subnet</f>
        <v>Value Missing</v>
      </c>
      <c r="E81" s="272"/>
    </row>
    <row r="82" spans="2:5" s="25" customFormat="1" ht="20" customHeight="1" x14ac:dyDescent="0.2">
      <c r="B82" s="270" t="s">
        <v>1882</v>
      </c>
      <c r="C82" s="271" t="str">
        <f>sample_ccm_aws_management_subnet</f>
        <v>10.2.0.0/16</v>
      </c>
      <c r="D82" s="140" t="str">
        <f>ccm_aws_management_subnet</f>
        <v>Value Missing</v>
      </c>
      <c r="E82" s="272"/>
    </row>
    <row r="83" spans="2:5" s="25" customFormat="1" ht="20" customHeight="1" x14ac:dyDescent="0.2"/>
    <row r="84" spans="2:5" s="25" customFormat="1" ht="34" customHeight="1" x14ac:dyDescent="0.2">
      <c r="B84" s="679" t="s">
        <v>3126</v>
      </c>
      <c r="C84" s="679"/>
      <c r="D84" s="679"/>
      <c r="E84" s="679"/>
    </row>
    <row r="85" spans="2:5" s="25" customFormat="1" ht="20" customHeight="1" x14ac:dyDescent="0.2">
      <c r="B85" s="268" t="s">
        <v>254</v>
      </c>
      <c r="C85" s="268" t="s">
        <v>255</v>
      </c>
      <c r="D85" s="269" t="s">
        <v>20</v>
      </c>
      <c r="E85" s="268" t="s">
        <v>21</v>
      </c>
    </row>
    <row r="86" spans="2:5" s="25" customFormat="1" ht="20" customHeight="1" x14ac:dyDescent="0.2">
      <c r="B86" s="270" t="s">
        <v>3047</v>
      </c>
      <c r="C86" s="271" t="s">
        <v>3048</v>
      </c>
      <c r="D86" s="140" t="s">
        <v>3048</v>
      </c>
      <c r="E86" s="272"/>
    </row>
    <row r="87" spans="2:5" s="25" customFormat="1" ht="20" customHeight="1" x14ac:dyDescent="0.2">
      <c r="B87" s="270" t="s">
        <v>3051</v>
      </c>
      <c r="C87" s="271" t="str">
        <f>sample_ccm_firewall_rule_vcenter</f>
        <v>vCenter Inbound Rule</v>
      </c>
      <c r="D87" s="140" t="str">
        <f>ccm_firewall_rule_vcenter</f>
        <v>Value Missing</v>
      </c>
      <c r="E87" s="272"/>
    </row>
    <row r="88" spans="2:5" s="25" customFormat="1" ht="20" customHeight="1" x14ac:dyDescent="0.2">
      <c r="B88" s="270" t="s">
        <v>3052</v>
      </c>
      <c r="C88" s="271" t="str">
        <f>sample_ccm_firewall_group</f>
        <v>External-Access</v>
      </c>
      <c r="D88" s="140" t="str">
        <f>ccm_firewall_group</f>
        <v>Value Missing</v>
      </c>
      <c r="E88" s="272"/>
    </row>
    <row r="89" spans="2:5" s="25" customFormat="1" ht="20" customHeight="1" x14ac:dyDescent="0.2">
      <c r="B89" s="270" t="s">
        <v>3053</v>
      </c>
      <c r="C89" s="271" t="s">
        <v>713</v>
      </c>
      <c r="D89" s="140" t="str">
        <f>C89</f>
        <v>vCenter</v>
      </c>
      <c r="E89" s="272"/>
    </row>
    <row r="90" spans="2:5" s="25" customFormat="1" ht="20" customHeight="1" x14ac:dyDescent="0.2">
      <c r="B90" s="270" t="s">
        <v>3054</v>
      </c>
      <c r="C90" s="271" t="s">
        <v>3055</v>
      </c>
      <c r="D90" s="140" t="str">
        <f>C90</f>
        <v>HTTPS (TCP 443)</v>
      </c>
      <c r="E90" s="272"/>
    </row>
    <row r="91" spans="2:5" s="25" customFormat="1" ht="20" customHeight="1" x14ac:dyDescent="0.2">
      <c r="B91" s="270" t="s">
        <v>3054</v>
      </c>
      <c r="C91" s="271" t="s">
        <v>3056</v>
      </c>
      <c r="D91" s="140" t="str">
        <f>C91</f>
        <v>SSO (TCP 7444)</v>
      </c>
      <c r="E91" s="272"/>
    </row>
    <row r="92" spans="2:5" s="25" customFormat="1" ht="20" customHeight="1" x14ac:dyDescent="0.2">
      <c r="B92" s="270" t="s">
        <v>3057</v>
      </c>
      <c r="C92" s="271" t="str">
        <f>sample_ccm_firewall_ip_addresses</f>
        <v>69.34.34.11</v>
      </c>
      <c r="D92" s="140" t="str">
        <f>ccm_firewall_ip_addresses</f>
        <v>Value Missing</v>
      </c>
      <c r="E92" s="272"/>
    </row>
    <row r="93" spans="2:5" s="25" customFormat="1" ht="20" customHeight="1" x14ac:dyDescent="0.2"/>
    <row r="94" spans="2:5" s="25" customFormat="1" ht="34" customHeight="1" x14ac:dyDescent="0.2">
      <c r="B94" s="679" t="s">
        <v>3127</v>
      </c>
      <c r="C94" s="679"/>
      <c r="D94" s="679"/>
      <c r="E94" s="679"/>
    </row>
    <row r="95" spans="2:5" s="25" customFormat="1" ht="20" customHeight="1" x14ac:dyDescent="0.2">
      <c r="B95" s="268" t="s">
        <v>254</v>
      </c>
      <c r="C95" s="268" t="s">
        <v>255</v>
      </c>
      <c r="D95" s="269" t="s">
        <v>20</v>
      </c>
      <c r="E95" s="268" t="s">
        <v>21</v>
      </c>
    </row>
    <row r="96" spans="2:5" s="25" customFormat="1" ht="20" customHeight="1" x14ac:dyDescent="0.2">
      <c r="B96" s="270" t="s">
        <v>3047</v>
      </c>
      <c r="C96" s="271" t="s">
        <v>3048</v>
      </c>
      <c r="D96" s="140" t="s">
        <v>3048</v>
      </c>
      <c r="E96" s="272"/>
    </row>
    <row r="97" spans="2:5" s="25" customFormat="1" ht="20" customHeight="1" x14ac:dyDescent="0.2">
      <c r="B97" s="270" t="s">
        <v>1964</v>
      </c>
      <c r="C97" s="271" t="str">
        <f>sample_ccm_aws_sddc_name</f>
        <v>mobility-sddc</v>
      </c>
      <c r="D97" s="140" t="str">
        <f>ccm_aws_sddc_name</f>
        <v>Value Missing</v>
      </c>
      <c r="E97" s="272"/>
    </row>
    <row r="98" spans="2:5" s="25" customFormat="1" ht="20" customHeight="1" x14ac:dyDescent="0.2"/>
    <row r="99" spans="2:5" s="25" customFormat="1" ht="34" customHeight="1" x14ac:dyDescent="0.2">
      <c r="B99" s="679" t="s">
        <v>3128</v>
      </c>
      <c r="C99" s="679"/>
      <c r="D99" s="679"/>
      <c r="E99" s="679"/>
    </row>
    <row r="100" spans="2:5" s="25" customFormat="1" ht="20" customHeight="1" x14ac:dyDescent="0.2">
      <c r="B100" s="268" t="s">
        <v>254</v>
      </c>
      <c r="C100" s="268" t="s">
        <v>255</v>
      </c>
      <c r="D100" s="269" t="s">
        <v>20</v>
      </c>
      <c r="E100" s="268" t="s">
        <v>21</v>
      </c>
    </row>
    <row r="101" spans="2:5" s="25" customFormat="1" ht="20" customHeight="1" x14ac:dyDescent="0.2">
      <c r="B101" s="270" t="s">
        <v>3047</v>
      </c>
      <c r="C101" s="271" t="s">
        <v>3048</v>
      </c>
      <c r="D101" s="140" t="str">
        <f>C101</f>
        <v>console.cloud.vmware.com</v>
      </c>
      <c r="E101" s="272"/>
    </row>
    <row r="102" spans="2:5" s="25" customFormat="1" ht="20" customHeight="1" x14ac:dyDescent="0.2">
      <c r="B102" s="277" t="s">
        <v>1964</v>
      </c>
      <c r="C102" s="278" t="str">
        <f>sample_ccm_aws_sddc_name</f>
        <v>mobility-sddc</v>
      </c>
      <c r="D102" s="279" t="str">
        <f>ccm_aws_sddc_name</f>
        <v>Value Missing</v>
      </c>
      <c r="E102" s="272"/>
    </row>
    <row r="103" spans="2:5" s="25" customFormat="1" ht="20" customHeight="1" x14ac:dyDescent="0.2">
      <c r="B103" s="702" t="s">
        <v>3129</v>
      </c>
      <c r="C103" s="702"/>
      <c r="D103" s="702"/>
      <c r="E103" s="703"/>
    </row>
    <row r="104" spans="2:5" s="25" customFormat="1" ht="20" customHeight="1" x14ac:dyDescent="0.2">
      <c r="B104" s="270" t="s">
        <v>2535</v>
      </c>
      <c r="C104" s="271" t="str">
        <f>sample_mgmt_vc_fqdn</f>
        <v>sfo-m01-vc01.sfo.rainpole.io</v>
      </c>
      <c r="D104" s="140" t="str">
        <f>mgmt_vc_fqdn</f>
        <v>Value Missing</v>
      </c>
      <c r="E104" s="272"/>
    </row>
    <row r="105" spans="2:5" s="25" customFormat="1" ht="20" customHeight="1" x14ac:dyDescent="0.2">
      <c r="B105" s="270" t="s">
        <v>3130</v>
      </c>
      <c r="C105" s="271" t="str">
        <f>sample_ccm_vm_folder</f>
        <v>sfo-m01-fd-ccm</v>
      </c>
      <c r="D105" s="140" t="str">
        <f>ccm_vm_folder</f>
        <v>Value Missing</v>
      </c>
      <c r="E105" s="272"/>
    </row>
    <row r="106" spans="2:5" s="25" customFormat="1" ht="20" customHeight="1" x14ac:dyDescent="0.2">
      <c r="B106" s="270" t="s">
        <v>2470</v>
      </c>
      <c r="C106" s="271" t="str">
        <f>sample_ccm_hcx_cdp_hostname</f>
        <v>sfo-ccm-hcx01</v>
      </c>
      <c r="D106" s="140" t="str">
        <f>ccm_hcx_cdp_hostname</f>
        <v>Value Missing</v>
      </c>
      <c r="E106" s="272"/>
    </row>
    <row r="107" spans="2:5" s="25" customFormat="1" ht="20" customHeight="1" x14ac:dyDescent="0.2">
      <c r="B107" s="270" t="s">
        <v>2472</v>
      </c>
      <c r="C107" s="271" t="str">
        <f>sample_mgmt_cl01_cluster</f>
        <v>sfo-m01-cl01</v>
      </c>
      <c r="D107" s="140" t="str">
        <f>mgmt_cl01_cluster</f>
        <v>Value Missing</v>
      </c>
      <c r="E107" s="272"/>
    </row>
    <row r="108" spans="2:5" s="25" customFormat="1" ht="20" customHeight="1" x14ac:dyDescent="0.2">
      <c r="B108" s="270" t="s">
        <v>3069</v>
      </c>
      <c r="C108" s="271" t="str">
        <f>sample_mgmt_cl01_vsan_datastore</f>
        <v>sfo-m01-cl01-ds-vsan01</v>
      </c>
      <c r="D108" s="140" t="str">
        <f>mgmt_cl01_vsan_datastore</f>
        <v>Value Missing</v>
      </c>
      <c r="E108" s="272"/>
    </row>
    <row r="109" spans="2:5" s="25" customFormat="1" ht="20" customHeight="1" x14ac:dyDescent="0.2">
      <c r="B109" s="270" t="s">
        <v>245</v>
      </c>
      <c r="C109" s="271" t="str">
        <f>sample_mgmt_cl01_az1_mgmt_pg</f>
        <v>sfo-m01-cl01-vds01-pg-esx-mgmt</v>
      </c>
      <c r="D109" s="140" t="str">
        <f>mgmt_cl01_az1_mgmt_pg</f>
        <v>Value Missing</v>
      </c>
      <c r="E109" s="272"/>
    </row>
    <row r="110" spans="2:5" s="25" customFormat="1" ht="20" customHeight="1" x14ac:dyDescent="0.2">
      <c r="B110" s="270" t="s">
        <v>3131</v>
      </c>
      <c r="C110" s="271" t="str">
        <f>sample_ccm_hcx_admin_password</f>
        <v>VMw@re1!</v>
      </c>
      <c r="D110" s="140" t="str">
        <f>ccm_hcx_admin_password</f>
        <v>Value Missing</v>
      </c>
      <c r="E110" s="272"/>
    </row>
    <row r="111" spans="2:5" s="25" customFormat="1" ht="20" customHeight="1" x14ac:dyDescent="0.2">
      <c r="B111" s="270" t="s">
        <v>3132</v>
      </c>
      <c r="C111" s="271" t="str">
        <f>sample_ccm_hcx_root_password</f>
        <v>VMw@re1!</v>
      </c>
      <c r="D111" s="140" t="str">
        <f>ccm_hcx_root_password</f>
        <v>Value Missing</v>
      </c>
      <c r="E111" s="272"/>
    </row>
    <row r="112" spans="2:5" s="25" customFormat="1" ht="20" customHeight="1" x14ac:dyDescent="0.2">
      <c r="B112" s="270" t="s">
        <v>295</v>
      </c>
      <c r="C112" s="271"/>
      <c r="D112" s="140" t="str">
        <f>ccm_hcx_cdp_hostname&amp;"."&amp;child_dns_zone</f>
        <v>Value Missing.Value Missing</v>
      </c>
      <c r="E112" s="272"/>
    </row>
    <row r="113" spans="2:5" s="25" customFormat="1" ht="20" customHeight="1" x14ac:dyDescent="0.2">
      <c r="B113" s="270" t="s">
        <v>3133</v>
      </c>
      <c r="C113" s="271" t="str">
        <f>sample_ccm_hcx_cdp_ip</f>
        <v>10.11.10.46</v>
      </c>
      <c r="D113" s="140" t="str">
        <f>ccm_hcx_cdp_ip</f>
        <v>Value Missing</v>
      </c>
      <c r="E113" s="272"/>
    </row>
    <row r="114" spans="2:5" s="25" customFormat="1" ht="20" customHeight="1" x14ac:dyDescent="0.2">
      <c r="B114" s="270" t="s">
        <v>3134</v>
      </c>
      <c r="C114" s="271"/>
      <c r="D114" s="140"/>
      <c r="E114" s="272"/>
    </row>
    <row r="115" spans="2:5" s="25" customFormat="1" ht="20" customHeight="1" x14ac:dyDescent="0.2">
      <c r="B115" s="270" t="s">
        <v>568</v>
      </c>
      <c r="C115" s="271" t="str">
        <f>sample_mgmt_az1_mgmt_gateway_cidr</f>
        <v>10.11.11.1/24</v>
      </c>
      <c r="D115" s="140" t="str">
        <f>mgmt_az1_mgmt_gateway_ip</f>
        <v>Value Missing</v>
      </c>
      <c r="E115" s="272"/>
    </row>
    <row r="116" spans="2:5" s="25" customFormat="1" ht="20" customHeight="1" x14ac:dyDescent="0.2">
      <c r="B116" s="270" t="s">
        <v>3135</v>
      </c>
      <c r="C116" s="271" t="str">
        <f>CONCATENATE(sample_region_dns1_ip," ",sample_region_dns2_ip)</f>
        <v>10.11.10.4 10.11.10.5</v>
      </c>
      <c r="D116" s="140" t="str">
        <f>CONCATENATE(region_dns1_ip," ",region_dns2_ip)</f>
        <v>Value Missing Value Missing</v>
      </c>
      <c r="E116" s="272"/>
    </row>
    <row r="117" spans="2:5" s="25" customFormat="1" ht="20" customHeight="1" x14ac:dyDescent="0.2">
      <c r="B117" s="270" t="s">
        <v>3136</v>
      </c>
      <c r="C117" s="271" t="str">
        <f>sample_child_dns_zone</f>
        <v>sfo.rainpole.io</v>
      </c>
      <c r="D117" s="140" t="str">
        <f>child_dns_zone</f>
        <v>Value Missing</v>
      </c>
      <c r="E117" s="272"/>
    </row>
    <row r="118" spans="2:5" s="25" customFormat="1" ht="20" customHeight="1" x14ac:dyDescent="0.2">
      <c r="B118" s="270" t="s">
        <v>3137</v>
      </c>
      <c r="C118" s="271" t="str">
        <f>sample_region_ntp1_server</f>
        <v>ntp0.sfo.rainpole.io</v>
      </c>
      <c r="D118" s="140" t="str">
        <f>region_ntp1_server</f>
        <v>Value Missing</v>
      </c>
      <c r="E118" s="272"/>
    </row>
    <row r="119" spans="2:5" s="25" customFormat="1" ht="20" customHeight="1" x14ac:dyDescent="0.2">
      <c r="B119" s="702" t="s">
        <v>3138</v>
      </c>
      <c r="C119" s="702"/>
      <c r="D119" s="702"/>
      <c r="E119" s="703"/>
    </row>
    <row r="120" spans="2:5" s="25" customFormat="1" ht="20" customHeight="1" x14ac:dyDescent="0.2">
      <c r="B120" s="270" t="s">
        <v>1993</v>
      </c>
      <c r="C120" s="271" t="str">
        <f>sample_ccm_hcx_license</f>
        <v>xxxxx-xxxxx-xxxxx-xxxxx-xxxxx</v>
      </c>
      <c r="D120" s="140" t="str">
        <f>ccm_hcx_license</f>
        <v>Value Missing</v>
      </c>
      <c r="E120" s="272"/>
    </row>
    <row r="121" spans="2:5" s="25" customFormat="1" ht="20" customHeight="1" x14ac:dyDescent="0.2">
      <c r="B121" s="270" t="s">
        <v>3139</v>
      </c>
      <c r="C121" s="271" t="str">
        <f>sample_ccm_hcx_dc_location</f>
        <v>San Francisco, United States of America</v>
      </c>
      <c r="D121" s="140" t="str">
        <f>ccm_hcx_dc_location</f>
        <v>Value Missing</v>
      </c>
      <c r="E121" s="272"/>
    </row>
    <row r="122" spans="2:5" s="25" customFormat="1" ht="20" customHeight="1" x14ac:dyDescent="0.2">
      <c r="B122" s="270" t="s">
        <v>3140</v>
      </c>
      <c r="C122" s="271" t="str">
        <f>CONCATENATE(sample_ccm_hcx_cdp_hostname,".",sample_child_dns_zone)</f>
        <v>sfo-ccm-hcx01.sfo.rainpole.io</v>
      </c>
      <c r="D122" s="140" t="str">
        <f>CONCATENATE(ccm_hcx_cdp_hostname,".",child_dns_zone)</f>
        <v>Value Missing.Value Missing</v>
      </c>
      <c r="E122" s="272"/>
    </row>
    <row r="123" spans="2:5" s="25" customFormat="1" ht="20" customHeight="1" x14ac:dyDescent="0.2">
      <c r="B123" s="270" t="s">
        <v>1415</v>
      </c>
      <c r="C123" s="271" t="str">
        <f>sample_wld_vc_fqdn</f>
        <v>sfo-w01-vc01.sfo.rainpole.io</v>
      </c>
      <c r="D123" s="140" t="str">
        <f>wld_vc_fqdn</f>
        <v>Value Missing</v>
      </c>
      <c r="E123" s="272"/>
    </row>
    <row r="124" spans="2:5" s="25" customFormat="1" ht="20" customHeight="1" x14ac:dyDescent="0.2">
      <c r="B124" s="270" t="s">
        <v>28</v>
      </c>
      <c r="C124" s="271" t="str">
        <f>sample_svc_ccm_hcx_vsphere_user&amp;"@"&amp;sample_child_dns_zone</f>
        <v>svc-hcx-vsphere@sfo.rainpole.io</v>
      </c>
      <c r="D124" s="140" t="str">
        <f>ccm_hcx_vsphere_svc_user&amp;"@"&amp;child_dns_zone</f>
        <v>Value Missing@Value Missing</v>
      </c>
      <c r="E124" s="272"/>
    </row>
    <row r="125" spans="2:5" s="25" customFormat="1" ht="20" customHeight="1" x14ac:dyDescent="0.2">
      <c r="B125" s="270" t="s">
        <v>30</v>
      </c>
      <c r="C125" s="271" t="str">
        <f>sample_svc_ccm_hcx_vsphere_password</f>
        <v>VMw@re1!</v>
      </c>
      <c r="D125" s="140" t="str">
        <f>ccm_hcx_vsphere_svc_password</f>
        <v>Value Missing</v>
      </c>
      <c r="E125" s="272"/>
    </row>
    <row r="126" spans="2:5" s="25" customFormat="1" ht="20" customHeight="1" x14ac:dyDescent="0.2">
      <c r="B126" s="270" t="s">
        <v>680</v>
      </c>
      <c r="C126" s="271" t="str">
        <f>sample_wld_nsxt_vip_fqdn</f>
        <v>sfo-w01-nsx01.sfo.rainpole.io</v>
      </c>
      <c r="D126" s="140" t="str">
        <f>wld_nsxt_mgra_fqdn</f>
        <v>Value Missing</v>
      </c>
      <c r="E126" s="272"/>
    </row>
    <row r="127" spans="2:5" s="25" customFormat="1" ht="20" customHeight="1" x14ac:dyDescent="0.2">
      <c r="B127" s="270" t="s">
        <v>28</v>
      </c>
      <c r="C127" s="271" t="str">
        <f>sample_svc_ccm_hcx_nsx_user&amp;"@"&amp;sample_child_dns_zone</f>
        <v>svc-hcx-nsx@sfo.rainpole.io</v>
      </c>
      <c r="D127" s="140" t="str">
        <f>ccm_hcx_nsx_svc_user&amp;"@"&amp;child_dns_zone</f>
        <v>Value Missing@Value Missing</v>
      </c>
      <c r="E127" s="272"/>
    </row>
    <row r="128" spans="2:5" s="25" customFormat="1" ht="20" customHeight="1" x14ac:dyDescent="0.2">
      <c r="B128" s="270" t="s">
        <v>30</v>
      </c>
      <c r="C128" s="271" t="str">
        <f>sample_svc_ccm_hcx_nsx_password</f>
        <v>VMw@re1!</v>
      </c>
      <c r="D128" s="140" t="str">
        <f>ccm_hcx_nsx_svc_password</f>
        <v>Value Missing</v>
      </c>
      <c r="E128" s="272"/>
    </row>
    <row r="129" spans="2:5" s="25" customFormat="1" ht="20" customHeight="1" x14ac:dyDescent="0.2">
      <c r="B129" s="270" t="s">
        <v>3141</v>
      </c>
      <c r="C129" s="271" t="str">
        <f>sample_wld_vc_fqdn</f>
        <v>sfo-w01-vc01.sfo.rainpole.io</v>
      </c>
      <c r="D129" s="140" t="str">
        <f>wld_vc_fqdn</f>
        <v>Value Missing</v>
      </c>
      <c r="E129" s="272"/>
    </row>
    <row r="130" spans="2:5" s="25" customFormat="1" ht="20" customHeight="1" x14ac:dyDescent="0.2"/>
    <row r="131" spans="2:5" s="25" customFormat="1" ht="34" customHeight="1" x14ac:dyDescent="0.2">
      <c r="B131" s="679" t="s">
        <v>3142</v>
      </c>
      <c r="C131" s="679"/>
      <c r="D131" s="679"/>
      <c r="E131" s="679"/>
    </row>
    <row r="132" spans="2:5" s="25" customFormat="1" ht="20" customHeight="1" x14ac:dyDescent="0.2">
      <c r="B132" s="268" t="s">
        <v>254</v>
      </c>
      <c r="C132" s="268" t="s">
        <v>255</v>
      </c>
      <c r="D132" s="269" t="s">
        <v>20</v>
      </c>
      <c r="E132" s="268" t="s">
        <v>21</v>
      </c>
    </row>
    <row r="133" spans="2:5" s="25" customFormat="1" ht="20" customHeight="1" x14ac:dyDescent="0.2">
      <c r="B133" s="270" t="s">
        <v>3143</v>
      </c>
      <c r="C133" s="271" t="str">
        <f>CONCATENATE(sample_ccm_hcx_cdp_hostname,".",sample_child_dns_zone)</f>
        <v>sfo-ccm-hcx01.sfo.rainpole.io</v>
      </c>
      <c r="D133" s="140" t="str">
        <f>CONCATENATE(ccm_hcx_cdp_hostname,".",child_dns_zone)</f>
        <v>Value Missing.Value Missing</v>
      </c>
      <c r="E133" s="272"/>
    </row>
    <row r="134" spans="2:5" s="25" customFormat="1" ht="20" customHeight="1" x14ac:dyDescent="0.2">
      <c r="B134" s="270" t="s">
        <v>3131</v>
      </c>
      <c r="C134" s="271" t="str">
        <f>sample_ccm_hcx_admin_password</f>
        <v>VMw@re1!</v>
      </c>
      <c r="D134" s="140" t="str">
        <f>ccm_hcx_admin_password</f>
        <v>Value Missing</v>
      </c>
      <c r="E134" s="272"/>
    </row>
    <row r="135" spans="2:5" s="25" customFormat="1" ht="20" customHeight="1" x14ac:dyDescent="0.2"/>
    <row r="136" spans="2:5" s="25" customFormat="1" ht="34" customHeight="1" x14ac:dyDescent="0.2">
      <c r="B136" s="679" t="s">
        <v>3144</v>
      </c>
      <c r="C136" s="679"/>
      <c r="D136" s="679"/>
      <c r="E136" s="679"/>
    </row>
    <row r="137" spans="2:5" s="25" customFormat="1" ht="20" customHeight="1" x14ac:dyDescent="0.2">
      <c r="B137" s="268" t="s">
        <v>254</v>
      </c>
      <c r="C137" s="268" t="s">
        <v>255</v>
      </c>
      <c r="D137" s="269" t="s">
        <v>20</v>
      </c>
      <c r="E137" s="268" t="s">
        <v>21</v>
      </c>
    </row>
    <row r="138" spans="2:5" s="25" customFormat="1" ht="20" customHeight="1" x14ac:dyDescent="0.2">
      <c r="B138" s="270" t="s">
        <v>2535</v>
      </c>
      <c r="C138" s="271" t="str">
        <f>sample_mgmt_vc_fqdn</f>
        <v>sfo-m01-vc01.sfo.rainpole.io</v>
      </c>
      <c r="D138" s="140" t="str">
        <f>mgmt_vc_fqdn</f>
        <v>Value Missing</v>
      </c>
      <c r="E138" s="272"/>
    </row>
    <row r="139" spans="2:5" s="25" customFormat="1" ht="20" customHeight="1" x14ac:dyDescent="0.2">
      <c r="B139" s="270" t="s">
        <v>254</v>
      </c>
      <c r="C139" s="271" t="str">
        <f>CONCATENATE(sample_mgmt_cl01_cluster,"_primary-az-vmgroup")</f>
        <v>sfo-m01-cl01_primary-az-vmgroup</v>
      </c>
      <c r="D139" s="140" t="str">
        <f>CONCATENATE(mgmt_cl01_cluster,"_primary-az-vmgroup")</f>
        <v>Value Missing_primary-az-vmgroup</v>
      </c>
      <c r="E139" s="272"/>
    </row>
    <row r="140" spans="2:5" s="25" customFormat="1" ht="20" customHeight="1" x14ac:dyDescent="0.2">
      <c r="B140" s="277" t="s">
        <v>3145</v>
      </c>
      <c r="C140" s="278" t="str">
        <f>sample_ccm_hcx_cdp_hostname</f>
        <v>sfo-ccm-hcx01</v>
      </c>
      <c r="D140" s="279" t="str">
        <f>ccm_hcx_cdp_hostname</f>
        <v>Value Missing</v>
      </c>
      <c r="E140" s="272"/>
    </row>
    <row r="141" spans="2:5" s="25" customFormat="1" ht="20" customHeight="1" x14ac:dyDescent="0.2"/>
    <row r="142" spans="2:5" s="25" customFormat="1" ht="34" customHeight="1" x14ac:dyDescent="0.2">
      <c r="B142" s="679" t="s">
        <v>3146</v>
      </c>
      <c r="C142" s="679"/>
      <c r="D142" s="679"/>
      <c r="E142" s="679"/>
    </row>
    <row r="143" spans="2:5" s="25" customFormat="1" ht="20" customHeight="1" x14ac:dyDescent="0.2">
      <c r="B143" s="268" t="s">
        <v>254</v>
      </c>
      <c r="C143" s="268" t="s">
        <v>255</v>
      </c>
      <c r="D143" s="269" t="s">
        <v>20</v>
      </c>
      <c r="E143" s="268" t="s">
        <v>21</v>
      </c>
    </row>
    <row r="144" spans="2:5" s="25" customFormat="1" ht="20" customHeight="1" x14ac:dyDescent="0.2">
      <c r="B144" s="270" t="s">
        <v>3047</v>
      </c>
      <c r="C144" s="271" t="s">
        <v>3048</v>
      </c>
      <c r="D144" s="140" t="s">
        <v>3048</v>
      </c>
      <c r="E144" s="272"/>
    </row>
    <row r="145" spans="2:5" s="25" customFormat="1" ht="20" customHeight="1" x14ac:dyDescent="0.2">
      <c r="B145" s="270" t="s">
        <v>3051</v>
      </c>
      <c r="C145" s="271" t="str">
        <f>sample_ccm_firewall_rule_hcx</f>
        <v>HCX Inbound Rule</v>
      </c>
      <c r="D145" s="140" t="str">
        <f>ccm_firewall_rule_hcx</f>
        <v>Value Missing</v>
      </c>
      <c r="E145" s="272"/>
    </row>
    <row r="146" spans="2:5" s="25" customFormat="1" ht="20" customHeight="1" x14ac:dyDescent="0.2">
      <c r="B146" s="270" t="s">
        <v>3052</v>
      </c>
      <c r="C146" s="271" t="str">
        <f>sample_ccm_firewall_group</f>
        <v>External-Access</v>
      </c>
      <c r="D146" s="140" t="str">
        <f>ccm_firewall_group</f>
        <v>Value Missing</v>
      </c>
      <c r="E146" s="272"/>
    </row>
    <row r="147" spans="2:5" s="25" customFormat="1" ht="20" customHeight="1" x14ac:dyDescent="0.2">
      <c r="B147" s="270" t="s">
        <v>3053</v>
      </c>
      <c r="C147" s="271" t="s">
        <v>3147</v>
      </c>
      <c r="D147" s="140" t="str">
        <f>C147</f>
        <v>HCX</v>
      </c>
      <c r="E147" s="272"/>
    </row>
    <row r="148" spans="2:5" s="25" customFormat="1" ht="20" customHeight="1" x14ac:dyDescent="0.2">
      <c r="B148" s="270" t="s">
        <v>3054</v>
      </c>
      <c r="C148" s="271" t="s">
        <v>3148</v>
      </c>
      <c r="D148" s="140" t="str">
        <f>C148</f>
        <v>Appliance Management (TCP 9443)</v>
      </c>
      <c r="E148" s="272"/>
    </row>
    <row r="149" spans="2:5" s="25" customFormat="1" ht="20" customHeight="1" x14ac:dyDescent="0.2">
      <c r="B149" s="270" t="s">
        <v>3054</v>
      </c>
      <c r="C149" s="271" t="s">
        <v>3055</v>
      </c>
      <c r="D149" s="140" t="str">
        <f>C149</f>
        <v>HTTPS (TCP 443)</v>
      </c>
      <c r="E149" s="272"/>
    </row>
    <row r="150" spans="2:5" s="25" customFormat="1" ht="20" customHeight="1" x14ac:dyDescent="0.2">
      <c r="B150" s="270" t="s">
        <v>3057</v>
      </c>
      <c r="C150" s="271" t="str">
        <f>sample_ccm_firewall_ip_addresses</f>
        <v>69.34.34.11</v>
      </c>
      <c r="D150" s="140" t="str">
        <f>ccm_firewall_ip_addresses</f>
        <v>Value Missing</v>
      </c>
      <c r="E150" s="272"/>
    </row>
    <row r="151" spans="2:5" s="25" customFormat="1" ht="20" customHeight="1" x14ac:dyDescent="0.2"/>
    <row r="152" spans="2:5" s="25" customFormat="1" ht="34" customHeight="1" x14ac:dyDescent="0.2">
      <c r="B152" s="679" t="s">
        <v>3149</v>
      </c>
      <c r="C152" s="679"/>
      <c r="D152" s="679"/>
      <c r="E152" s="679"/>
    </row>
    <row r="153" spans="2:5" s="25" customFormat="1" ht="20" customHeight="1" x14ac:dyDescent="0.2">
      <c r="B153" s="268" t="s">
        <v>254</v>
      </c>
      <c r="C153" s="268" t="s">
        <v>255</v>
      </c>
      <c r="D153" s="269" t="s">
        <v>20</v>
      </c>
      <c r="E153" s="268" t="s">
        <v>21</v>
      </c>
    </row>
    <row r="154" spans="2:5" s="25" customFormat="1" ht="20" customHeight="1" x14ac:dyDescent="0.2">
      <c r="B154" s="270" t="s">
        <v>3121</v>
      </c>
      <c r="C154" s="271" t="str">
        <f>sample_wld_vc_fqdn</f>
        <v>sfo-w01-vc01.sfo.rainpole.io</v>
      </c>
      <c r="D154" s="140" t="str">
        <f>wld_vc_fqdn</f>
        <v>Value Missing</v>
      </c>
      <c r="E154" s="272"/>
    </row>
    <row r="155" spans="2:5" s="25" customFormat="1" ht="20" customHeight="1" x14ac:dyDescent="0.2">
      <c r="B155" s="270" t="s">
        <v>2009</v>
      </c>
      <c r="C155" s="271" t="str">
        <f>sample_ccm_hcx_remote_url</f>
        <v>https://hcx.sddc-44-231-98-23.vmwarevmc.com/</v>
      </c>
      <c r="D155" s="140" t="str">
        <f>ccm_hcx_remote_url</f>
        <v>Value Missing</v>
      </c>
      <c r="E155" s="272"/>
    </row>
    <row r="156" spans="2:5" s="25" customFormat="1" ht="20" customHeight="1" x14ac:dyDescent="0.2">
      <c r="B156" s="270" t="s">
        <v>28</v>
      </c>
      <c r="C156" s="271" t="str">
        <f>sample_ccm_aws_admin_ssouser</f>
        <v>cloudadmin@vmc.local</v>
      </c>
      <c r="D156" s="140" t="str">
        <f>ccm_aws_admin_ssouser</f>
        <v>Value Missing</v>
      </c>
      <c r="E156" s="272"/>
    </row>
    <row r="157" spans="2:5" s="25" customFormat="1" ht="20" customHeight="1" x14ac:dyDescent="0.2">
      <c r="B157" s="270" t="s">
        <v>30</v>
      </c>
      <c r="C157" s="271" t="str">
        <f>sample_ccm_aws_admin_password</f>
        <v>TBvAZf-Aj*1ap6T</v>
      </c>
      <c r="D157" s="140" t="str">
        <f>ccm_aws_admin_password</f>
        <v>Value Missing</v>
      </c>
      <c r="E157" s="272"/>
    </row>
    <row r="158" spans="2:5" s="25" customFormat="1" ht="20" customHeight="1" x14ac:dyDescent="0.2"/>
    <row r="159" spans="2:5" s="25" customFormat="1" ht="34" customHeight="1" x14ac:dyDescent="0.2">
      <c r="B159" s="679" t="s">
        <v>3150</v>
      </c>
      <c r="C159" s="679"/>
      <c r="D159" s="679"/>
      <c r="E159" s="679"/>
    </row>
    <row r="160" spans="2:5" s="25" customFormat="1" ht="20" customHeight="1" x14ac:dyDescent="0.2">
      <c r="B160" s="268" t="s">
        <v>254</v>
      </c>
      <c r="C160" s="268" t="s">
        <v>255</v>
      </c>
      <c r="D160" s="269" t="s">
        <v>20</v>
      </c>
      <c r="E160" s="268" t="s">
        <v>21</v>
      </c>
    </row>
    <row r="161" spans="2:5" s="25" customFormat="1" ht="20" customHeight="1" x14ac:dyDescent="0.2">
      <c r="B161" s="270" t="s">
        <v>3121</v>
      </c>
      <c r="C161" s="271" t="str">
        <f>sample_wld_vc_fqdn</f>
        <v>sfo-w01-vc01.sfo.rainpole.io</v>
      </c>
      <c r="D161" s="140" t="str">
        <f>wld_vc_fqdn</f>
        <v>Value Missing</v>
      </c>
      <c r="E161" s="272"/>
    </row>
    <row r="162" spans="2:5" s="25" customFormat="1" ht="20" customHeight="1" x14ac:dyDescent="0.2">
      <c r="B162" s="702" t="s">
        <v>3151</v>
      </c>
      <c r="C162" s="702"/>
      <c r="D162" s="702"/>
      <c r="E162" s="703"/>
    </row>
    <row r="163" spans="2:5" s="25" customFormat="1" ht="20" customHeight="1" x14ac:dyDescent="0.2">
      <c r="B163" s="270" t="s">
        <v>713</v>
      </c>
      <c r="C163" s="271" t="str">
        <f>sample_wld_vc_fqdn</f>
        <v>sfo-w01-vc01.sfo.rainpole.io</v>
      </c>
      <c r="D163" s="140" t="str">
        <f>wld_vc_fqdn</f>
        <v>Value Missing</v>
      </c>
      <c r="E163" s="272"/>
    </row>
    <row r="164" spans="2:5" s="25" customFormat="1" ht="20" customHeight="1" x14ac:dyDescent="0.2">
      <c r="B164" s="270" t="s">
        <v>245</v>
      </c>
      <c r="C164" s="271" t="str">
        <f>sample_wld_cl01_az1_mgmt_pg</f>
        <v>sfo-w01-cl01-vds01-pg-esx-mgmt</v>
      </c>
      <c r="D164" s="140" t="str">
        <f>wld_cl01_az1_mgmt_pg</f>
        <v>Value Missing</v>
      </c>
      <c r="E164" s="272"/>
    </row>
    <row r="165" spans="2:5" s="25" customFormat="1" ht="20" customHeight="1" x14ac:dyDescent="0.2">
      <c r="B165" s="270" t="s">
        <v>254</v>
      </c>
      <c r="C165" s="271" t="str">
        <f>sample_wld_cl01_az1_mgmt_pg</f>
        <v>sfo-w01-cl01-vds01-pg-esx-mgmt</v>
      </c>
      <c r="D165" s="140" t="str">
        <f>wld_cl01_az1_mgmt_pg</f>
        <v>Value Missing</v>
      </c>
      <c r="E165" s="272"/>
    </row>
    <row r="166" spans="2:5" s="25" customFormat="1" ht="20" customHeight="1" x14ac:dyDescent="0.2">
      <c r="B166" s="270" t="s">
        <v>3152</v>
      </c>
      <c r="C166" s="271" t="str">
        <f>sample_ccm_hcx_mgmt_network_ip_range</f>
        <v>10.13.10.221-10.13.10.225</v>
      </c>
      <c r="D166" s="140" t="str">
        <f>ccm_hcx_mgmt_network_ip_range</f>
        <v>Value Missing</v>
      </c>
      <c r="E166" s="272"/>
    </row>
    <row r="167" spans="2:5" s="25" customFormat="1" ht="20" customHeight="1" x14ac:dyDescent="0.2">
      <c r="B167" s="270" t="s">
        <v>3153</v>
      </c>
      <c r="C167" s="271"/>
      <c r="D167" s="140"/>
      <c r="E167" s="272"/>
    </row>
    <row r="168" spans="2:5" s="25" customFormat="1" ht="20" customHeight="1" x14ac:dyDescent="0.2">
      <c r="B168" s="270" t="s">
        <v>182</v>
      </c>
      <c r="C168" s="271"/>
      <c r="D168" s="140" t="str">
        <f>wld_az1_mgmt_gateway_ip</f>
        <v>Value Missing</v>
      </c>
      <c r="E168" s="272"/>
    </row>
    <row r="169" spans="2:5" s="25" customFormat="1" ht="20" customHeight="1" x14ac:dyDescent="0.2">
      <c r="B169" s="270" t="s">
        <v>3154</v>
      </c>
      <c r="C169" s="271" t="str">
        <f>sample_region_dns1_ip</f>
        <v>10.11.10.4</v>
      </c>
      <c r="D169" s="140" t="str">
        <f>region_dns1_ip</f>
        <v>Value Missing</v>
      </c>
      <c r="E169" s="272"/>
    </row>
    <row r="170" spans="2:5" s="25" customFormat="1" ht="20" customHeight="1" x14ac:dyDescent="0.2">
      <c r="B170" s="270" t="s">
        <v>3155</v>
      </c>
      <c r="C170" s="271" t="str">
        <f>sample_region_dns2_ip</f>
        <v>10.11.10.5</v>
      </c>
      <c r="D170" s="140" t="str">
        <f>region_dns2_ip</f>
        <v>Value Missing</v>
      </c>
      <c r="E170" s="272"/>
    </row>
    <row r="171" spans="2:5" s="25" customFormat="1" ht="20" customHeight="1" x14ac:dyDescent="0.2">
      <c r="B171" s="270" t="s">
        <v>3156</v>
      </c>
      <c r="C171" s="271" t="str">
        <f>sample_child_dns_zone</f>
        <v>sfo.rainpole.io</v>
      </c>
      <c r="D171" s="140" t="str">
        <f>child_dns_zone</f>
        <v>Value Missing</v>
      </c>
      <c r="E171" s="272"/>
    </row>
    <row r="172" spans="2:5" s="25" customFormat="1" ht="20" customHeight="1" x14ac:dyDescent="0.2">
      <c r="B172" s="702" t="s">
        <v>3157</v>
      </c>
      <c r="C172" s="702"/>
      <c r="D172" s="702"/>
      <c r="E172" s="703"/>
    </row>
    <row r="173" spans="2:5" s="25" customFormat="1" ht="20" customHeight="1" x14ac:dyDescent="0.2">
      <c r="B173" s="270" t="s">
        <v>713</v>
      </c>
      <c r="C173" s="271" t="str">
        <f>sample_wld_vc_fqdn</f>
        <v>sfo-w01-vc01.sfo.rainpole.io</v>
      </c>
      <c r="D173" s="140" t="str">
        <f>wld_vc_fqdn</f>
        <v>Value Missing</v>
      </c>
      <c r="E173" s="272"/>
    </row>
    <row r="174" spans="2:5" s="25" customFormat="1" ht="20" customHeight="1" x14ac:dyDescent="0.2">
      <c r="B174" s="270" t="s">
        <v>245</v>
      </c>
      <c r="C174" s="271" t="str">
        <f>sample_wld_cl01_az1_vmotion_pg</f>
        <v>sfo-w01-cl01-vds01-pg-vmotion</v>
      </c>
      <c r="D174" s="140" t="str">
        <f>wld_cl01_az1_vmotion_pg</f>
        <v>Value Missing</v>
      </c>
      <c r="E174" s="272"/>
    </row>
    <row r="175" spans="2:5" s="25" customFormat="1" ht="20" customHeight="1" x14ac:dyDescent="0.2">
      <c r="B175" s="270" t="s">
        <v>254</v>
      </c>
      <c r="C175" s="271" t="str">
        <f>sample_wld_cl01_az1_vmotion_pg</f>
        <v>sfo-w01-cl01-vds01-pg-vmotion</v>
      </c>
      <c r="D175" s="140" t="str">
        <f>wld_cl01_az1_vmotion_pg</f>
        <v>Value Missing</v>
      </c>
      <c r="E175" s="272"/>
    </row>
    <row r="176" spans="2:5" s="25" customFormat="1" ht="20" customHeight="1" x14ac:dyDescent="0.2">
      <c r="B176" s="270" t="s">
        <v>3152</v>
      </c>
      <c r="C176" s="271" t="str">
        <f>sample_ccm_hcx_vmotion_network_ip_range</f>
        <v>10.13.12.221-10.13.12.225</v>
      </c>
      <c r="D176" s="140" t="str">
        <f>ccm_hcx_vmotion_network_ip_range</f>
        <v>Value Missing</v>
      </c>
      <c r="E176" s="272"/>
    </row>
    <row r="177" spans="2:5" s="25" customFormat="1" ht="20" customHeight="1" x14ac:dyDescent="0.2">
      <c r="B177" s="270" t="s">
        <v>3153</v>
      </c>
      <c r="C177" s="271"/>
      <c r="D177" s="140"/>
      <c r="E177" s="272"/>
    </row>
    <row r="178" spans="2:5" s="25" customFormat="1" ht="20" customHeight="1" x14ac:dyDescent="0.2">
      <c r="B178" s="270" t="s">
        <v>182</v>
      </c>
      <c r="C178" s="271"/>
      <c r="D178" s="140" t="str">
        <f>wld_az1_vmotion_gateway_ip</f>
        <v>Value Missing</v>
      </c>
      <c r="E178" s="272"/>
    </row>
    <row r="179" spans="2:5" s="25" customFormat="1" ht="20" customHeight="1" x14ac:dyDescent="0.2">
      <c r="B179" s="270" t="s">
        <v>157</v>
      </c>
      <c r="C179" s="271">
        <f>sample_wld_az1_vmotion_mtu</f>
        <v>9000</v>
      </c>
      <c r="D179" s="140" t="str">
        <f>wld_az1_vmotion_mtu</f>
        <v>Value Missing</v>
      </c>
      <c r="E179" s="272"/>
    </row>
    <row r="180" spans="2:5" s="25" customFormat="1" ht="20" customHeight="1" x14ac:dyDescent="0.2"/>
    <row r="181" spans="2:5" s="25" customFormat="1" ht="34" customHeight="1" x14ac:dyDescent="0.2">
      <c r="B181" s="679" t="s">
        <v>3158</v>
      </c>
      <c r="C181" s="679"/>
      <c r="D181" s="679"/>
      <c r="E181" s="679"/>
    </row>
    <row r="182" spans="2:5" s="25" customFormat="1" ht="20" customHeight="1" x14ac:dyDescent="0.2">
      <c r="B182" s="268" t="s">
        <v>254</v>
      </c>
      <c r="C182" s="268" t="s">
        <v>255</v>
      </c>
      <c r="D182" s="269" t="s">
        <v>20</v>
      </c>
      <c r="E182" s="268" t="s">
        <v>21</v>
      </c>
    </row>
    <row r="183" spans="2:5" s="25" customFormat="1" ht="20" customHeight="1" x14ac:dyDescent="0.2">
      <c r="B183" s="270" t="s">
        <v>3121</v>
      </c>
      <c r="C183" s="271" t="str">
        <f>sample_wld_vc_fqdn</f>
        <v>sfo-w01-vc01.sfo.rainpole.io</v>
      </c>
      <c r="D183" s="140" t="str">
        <f>wld_vc_fqdn</f>
        <v>Value Missing</v>
      </c>
      <c r="E183" s="272"/>
    </row>
    <row r="184" spans="2:5" s="25" customFormat="1" ht="20" customHeight="1" x14ac:dyDescent="0.2">
      <c r="B184" s="270" t="s">
        <v>3159</v>
      </c>
      <c r="C184" s="271" t="str">
        <f>sample_ccm_hcx_compute_profile</f>
        <v>sfo-w01-compute-profile</v>
      </c>
      <c r="D184" s="140" t="str">
        <f>ccm_hcx_compute_profile</f>
        <v>Value Missing</v>
      </c>
      <c r="E184" s="272"/>
    </row>
    <row r="185" spans="2:5" s="25" customFormat="1" ht="20" customHeight="1" x14ac:dyDescent="0.2">
      <c r="B185" s="270" t="s">
        <v>3160</v>
      </c>
      <c r="C185" s="271" t="str">
        <f>sample_wld_datacenter</f>
        <v>sfo-w01-dc</v>
      </c>
      <c r="D185" s="140" t="str">
        <f>wld_datacenter</f>
        <v>Value Missing</v>
      </c>
      <c r="E185" s="272"/>
    </row>
    <row r="186" spans="2:5" s="25" customFormat="1" ht="20" customHeight="1" x14ac:dyDescent="0.2">
      <c r="B186" s="270" t="s">
        <v>3161</v>
      </c>
      <c r="C186" s="271" t="str">
        <f>sample_ccm_hcx_resource_pool</f>
        <v>sfo-w01-cl01-rp-hcx</v>
      </c>
      <c r="D186" s="140" t="str">
        <f>ccm_hcx_resource_pool</f>
        <v>Value Missing</v>
      </c>
      <c r="E186" s="272"/>
    </row>
    <row r="187" spans="2:5" s="25" customFormat="1" ht="20" customHeight="1" x14ac:dyDescent="0.2">
      <c r="B187" s="270" t="s">
        <v>562</v>
      </c>
      <c r="C187" s="271" t="str">
        <f>sample_wld_cl01_vsan_datastore</f>
        <v>sfo-w01-sfo-w01-cl01-vsan01</v>
      </c>
      <c r="D187" s="140" t="str">
        <f>wld_cl01_vsan_datastore</f>
        <v>Value Missing</v>
      </c>
      <c r="E187" s="272"/>
    </row>
    <row r="188" spans="2:5" s="25" customFormat="1" ht="20" customHeight="1" x14ac:dyDescent="0.2">
      <c r="B188" s="270" t="s">
        <v>558</v>
      </c>
      <c r="C188" s="271" t="str">
        <f>sample_ccm_hcx_vm_folder</f>
        <v>sfo-w01-fd-hcx</v>
      </c>
      <c r="D188" s="140" t="str">
        <f>ccm_hcx_vm_folder</f>
        <v>Value Missing</v>
      </c>
      <c r="E188" s="272"/>
    </row>
    <row r="189" spans="2:5" s="25" customFormat="1" ht="20" customHeight="1" x14ac:dyDescent="0.2">
      <c r="B189" s="270" t="s">
        <v>3162</v>
      </c>
      <c r="C189" s="271" t="str">
        <f>sample_wld_cl01_az1_mgmt_pg</f>
        <v>sfo-w01-cl01-vds01-pg-esx-mgmt</v>
      </c>
      <c r="D189" s="140" t="str">
        <f>wld_cl01_az1_mgmt_pg</f>
        <v>Value Missing</v>
      </c>
      <c r="E189" s="272"/>
    </row>
    <row r="190" spans="2:5" s="25" customFormat="1" ht="20" customHeight="1" x14ac:dyDescent="0.2">
      <c r="B190" s="270" t="s">
        <v>3163</v>
      </c>
      <c r="C190" s="271" t="str">
        <f>sample_wld_cl01_az1_mgmt_pg</f>
        <v>sfo-w01-cl01-vds01-pg-esx-mgmt</v>
      </c>
      <c r="D190" s="140" t="str">
        <f>wld_cl01_az1_mgmt_pg</f>
        <v>Value Missing</v>
      </c>
      <c r="E190" s="272"/>
    </row>
    <row r="191" spans="2:5" s="25" customFormat="1" ht="20" customHeight="1" x14ac:dyDescent="0.2">
      <c r="B191" s="270" t="s">
        <v>3164</v>
      </c>
      <c r="C191" s="271" t="str">
        <f>sample_wld_cl01_az1_vmotion_pg</f>
        <v>sfo-w01-cl01-vds01-pg-vmotion</v>
      </c>
      <c r="D191" s="140" t="str">
        <f>wld_cl01_az1_vmotion_pg</f>
        <v>Value Missing</v>
      </c>
      <c r="E191" s="272"/>
    </row>
    <row r="192" spans="2:5" s="25" customFormat="1" ht="20" customHeight="1" x14ac:dyDescent="0.2">
      <c r="B192" s="270" t="s">
        <v>3165</v>
      </c>
      <c r="C192" s="271" t="str">
        <f>sample_wld_cl01_az1_mgmt_pg</f>
        <v>sfo-w01-cl01-vds01-pg-esx-mgmt</v>
      </c>
      <c r="D192" s="140" t="str">
        <f>wld_cl01_az1_mgmt_pg</f>
        <v>Value Missing</v>
      </c>
      <c r="E192" s="272"/>
    </row>
    <row r="193" spans="1:6" s="25" customFormat="1" ht="20" customHeight="1" x14ac:dyDescent="0.2">
      <c r="B193" s="270" t="s">
        <v>3166</v>
      </c>
      <c r="C193" s="271" t="str">
        <f>IF(mgmt_consolidated_result="Included",CONCATENATE("overlay-tz-",sample_mgmt_nsxt_vip_fqdn),CONCATENATE("overlay-tz-",sample_wld_nsxt_vip_fqdn))</f>
        <v>overlay-tz-sfo-w01-nsx01.sfo.rainpole.io</v>
      </c>
      <c r="D193" s="140" t="str">
        <f>IF(mgmt_consolidated_result="Included","overlay-tz-"&amp;mgmt_nsxt_vip_fqdn,"overlay-tz-"&amp;wld_nsxt_vip_fqdn)</f>
        <v>overlay-tz-Value Missing</v>
      </c>
      <c r="E193" s="272"/>
    </row>
    <row r="194" spans="1:6" s="25" customFormat="1" ht="20" customHeight="1" x14ac:dyDescent="0.2"/>
    <row r="195" spans="1:6" s="25" customFormat="1" ht="34" customHeight="1" x14ac:dyDescent="0.2">
      <c r="B195" s="679" t="s">
        <v>3167</v>
      </c>
      <c r="C195" s="679"/>
      <c r="D195" s="679"/>
      <c r="E195" s="679"/>
    </row>
    <row r="196" spans="1:6" s="25" customFormat="1" ht="20" customHeight="1" x14ac:dyDescent="0.2">
      <c r="B196" s="268" t="s">
        <v>254</v>
      </c>
      <c r="C196" s="268" t="s">
        <v>255</v>
      </c>
      <c r="D196" s="269" t="s">
        <v>20</v>
      </c>
      <c r="E196" s="268" t="s">
        <v>21</v>
      </c>
    </row>
    <row r="197" spans="1:6" s="25" customFormat="1" ht="20" customHeight="1" x14ac:dyDescent="0.2">
      <c r="B197" s="270" t="s">
        <v>3121</v>
      </c>
      <c r="C197" s="271" t="str">
        <f>sample_wld_vc_fqdn</f>
        <v>sfo-w01-vc01.sfo.rainpole.io</v>
      </c>
      <c r="D197" s="140" t="str">
        <f>wld_vc_fqdn</f>
        <v>Value Missing</v>
      </c>
      <c r="E197" s="272"/>
    </row>
    <row r="198" spans="1:6" s="25" customFormat="1" ht="20" customHeight="1" x14ac:dyDescent="0.2">
      <c r="B198" s="270" t="s">
        <v>3168</v>
      </c>
      <c r="C198" s="271" t="str">
        <f>sample_ccm_hcx_compute_profile</f>
        <v>sfo-w01-compute-profile</v>
      </c>
      <c r="D198" s="140" t="str">
        <f>ccm_hcx_compute_profile</f>
        <v>Value Missing</v>
      </c>
      <c r="E198" s="272"/>
    </row>
    <row r="199" spans="1:6" s="25" customFormat="1" ht="20" customHeight="1" x14ac:dyDescent="0.2">
      <c r="B199" s="270" t="s">
        <v>3169</v>
      </c>
      <c r="C199" s="271" t="s">
        <v>3170</v>
      </c>
      <c r="D199" s="140" t="str">
        <f>C199</f>
        <v>ComputeProfile(vcenter)</v>
      </c>
      <c r="E199" s="272"/>
    </row>
    <row r="200" spans="1:6" s="25" customFormat="1" ht="20" customHeight="1" x14ac:dyDescent="0.2">
      <c r="B200" s="270" t="s">
        <v>3171</v>
      </c>
      <c r="C200" s="271" t="str">
        <f>sample_ccm_hcx_service_mesh</f>
        <v>sfo-w01-service-mesh</v>
      </c>
      <c r="D200" s="140" t="str">
        <f>ccm_hcx_service_mesh</f>
        <v>Value Missing</v>
      </c>
      <c r="E200" s="272"/>
    </row>
    <row r="201" spans="1:6" s="25" customFormat="1" ht="20" customHeight="1" x14ac:dyDescent="0.2"/>
    <row r="202" spans="1:6" s="25" customFormat="1" ht="34" customHeight="1" x14ac:dyDescent="0.2">
      <c r="A202" s="260"/>
      <c r="B202" s="680" t="s">
        <v>2604</v>
      </c>
      <c r="C202" s="680"/>
      <c r="D202" s="680"/>
      <c r="E202" s="680"/>
      <c r="F202" s="260"/>
    </row>
    <row r="203" spans="1:6" s="25" customFormat="1" ht="20" customHeight="1" x14ac:dyDescent="0.2"/>
    <row r="204" spans="1:6" s="25" customFormat="1" ht="34" customHeight="1" x14ac:dyDescent="0.2">
      <c r="B204" s="683" t="s">
        <v>3091</v>
      </c>
      <c r="C204" s="684"/>
      <c r="D204" s="684"/>
      <c r="E204" s="684"/>
    </row>
    <row r="205" spans="1:6" s="25" customFormat="1" ht="20" customHeight="1" x14ac:dyDescent="0.2"/>
    <row r="206" spans="1:6" s="25" customFormat="1" ht="34" customHeight="1" x14ac:dyDescent="0.2">
      <c r="B206" s="679" t="s">
        <v>3172</v>
      </c>
      <c r="C206" s="679"/>
      <c r="D206" s="679"/>
      <c r="E206" s="679"/>
    </row>
    <row r="207" spans="1:6" s="25" customFormat="1" ht="20" customHeight="1" x14ac:dyDescent="0.2">
      <c r="B207" s="268" t="s">
        <v>254</v>
      </c>
      <c r="C207" s="268" t="s">
        <v>255</v>
      </c>
      <c r="D207" s="269" t="s">
        <v>20</v>
      </c>
      <c r="E207" s="268" t="s">
        <v>21</v>
      </c>
    </row>
    <row r="208" spans="1:6" s="25" customFormat="1" ht="20" customHeight="1" x14ac:dyDescent="0.2">
      <c r="B208" s="270" t="s">
        <v>2772</v>
      </c>
      <c r="C208" s="271" t="str">
        <f>sample_xreg_vrops_virtual_fqdn</f>
        <v>flt-ops01.rainpole.io</v>
      </c>
      <c r="D208" s="140" t="str">
        <f>xreg_vrops_virtual_fqdn</f>
        <v>Value Missing</v>
      </c>
      <c r="E208" s="272"/>
    </row>
    <row r="209" spans="2:5" s="25" customFormat="1" ht="20" customHeight="1" x14ac:dyDescent="0.2">
      <c r="B209" s="270" t="s">
        <v>254</v>
      </c>
      <c r="C209" s="271" t="str">
        <f>"cross-cloud-proxies"</f>
        <v>cross-cloud-proxies</v>
      </c>
      <c r="D209" s="140" t="str">
        <f>C209</f>
        <v>cross-cloud-proxies</v>
      </c>
      <c r="E209" s="272"/>
    </row>
    <row r="210" spans="2:5" s="25" customFormat="1" ht="20" customHeight="1" x14ac:dyDescent="0.2">
      <c r="B210" s="270" t="s">
        <v>3093</v>
      </c>
      <c r="C210" s="271" t="str">
        <f>C209</f>
        <v>cross-cloud-proxies</v>
      </c>
      <c r="D210" s="140" t="str">
        <f>C210</f>
        <v>cross-cloud-proxies</v>
      </c>
      <c r="E210" s="272"/>
    </row>
    <row r="211" spans="2:5" s="25" customFormat="1" ht="20" customHeight="1" x14ac:dyDescent="0.2">
      <c r="B211" s="270" t="s">
        <v>3094</v>
      </c>
      <c r="C211" s="271" t="str">
        <f>sample_ccm_hcx_cdp_ip</f>
        <v>10.11.10.46</v>
      </c>
      <c r="D211" s="140" t="str">
        <f>ccm_hcx_cdp_ip</f>
        <v>Value Missing</v>
      </c>
      <c r="E211" s="272"/>
    </row>
    <row r="212" spans="2:5" s="25" customFormat="1" ht="20" customHeight="1" x14ac:dyDescent="0.2">
      <c r="B212" s="270" t="s">
        <v>3095</v>
      </c>
      <c r="C212" s="271" t="str">
        <f>CONCATENATE(sample_mgmt_sddc_domain,"-collector-group")</f>
        <v>sfo-m01-collector-group</v>
      </c>
      <c r="D212" s="140" t="str">
        <f>CONCATENATE(mgmt_sddc_domain,"-collector-group")</f>
        <v>Value Missing-collector-group</v>
      </c>
      <c r="E212" s="272"/>
    </row>
    <row r="213" spans="2:5" s="25" customFormat="1" ht="20" customHeight="1" x14ac:dyDescent="0.2"/>
    <row r="214" spans="2:5" s="25" customFormat="1" ht="34" customHeight="1" x14ac:dyDescent="0.2">
      <c r="B214" s="683" t="s">
        <v>3173</v>
      </c>
      <c r="C214" s="684"/>
      <c r="D214" s="684"/>
      <c r="E214" s="684"/>
    </row>
    <row r="215" spans="2:5" s="25" customFormat="1" ht="20" customHeight="1" x14ac:dyDescent="0.2"/>
    <row r="216" spans="2:5" s="25" customFormat="1" ht="34" customHeight="1" x14ac:dyDescent="0.2">
      <c r="B216" s="679" t="s">
        <v>3174</v>
      </c>
      <c r="C216" s="679"/>
      <c r="D216" s="679"/>
      <c r="E216" s="679"/>
    </row>
    <row r="217" spans="2:5" s="25" customFormat="1" ht="20" customHeight="1" x14ac:dyDescent="0.2">
      <c r="B217" s="268" t="s">
        <v>254</v>
      </c>
      <c r="C217" s="268" t="s">
        <v>255</v>
      </c>
      <c r="D217" s="269" t="s">
        <v>20</v>
      </c>
      <c r="E217" s="268" t="s">
        <v>21</v>
      </c>
    </row>
    <row r="218" spans="2:5" s="25" customFormat="1" ht="20" customHeight="1" x14ac:dyDescent="0.2">
      <c r="B218" s="270" t="s">
        <v>3175</v>
      </c>
      <c r="C218" s="271" t="str">
        <f>sample_sftp_server</f>
        <v>20.10.5.10</v>
      </c>
      <c r="D218" s="140" t="str">
        <f>sftp_server_ip</f>
        <v>Value Missing</v>
      </c>
      <c r="E218" s="272"/>
    </row>
    <row r="219" spans="2:5" s="25" customFormat="1" ht="20" customHeight="1" x14ac:dyDescent="0.2">
      <c r="B219" s="270" t="s">
        <v>3176</v>
      </c>
      <c r="C219" s="271">
        <f>sample_sftp_server_port</f>
        <v>22</v>
      </c>
      <c r="D219" s="140" t="str">
        <f>sftp_server_port</f>
        <v>Value Missing</v>
      </c>
      <c r="E219" s="272"/>
    </row>
    <row r="220" spans="2:5" s="25" customFormat="1" ht="20" customHeight="1" x14ac:dyDescent="0.2">
      <c r="B220" s="270" t="s">
        <v>25</v>
      </c>
      <c r="C220" s="271" t="str">
        <f>sample_sftp_server_protocol</f>
        <v>SFTP</v>
      </c>
      <c r="D220" s="140" t="str">
        <f>sftp_server_protocol</f>
        <v>Value Missing</v>
      </c>
      <c r="E220" s="272"/>
    </row>
    <row r="221" spans="2:5" s="25" customFormat="1" ht="20" customHeight="1" x14ac:dyDescent="0.2">
      <c r="B221" s="270" t="s">
        <v>28</v>
      </c>
      <c r="C221" s="271" t="str">
        <f>sample_svc_vcf_bck_user</f>
        <v>svc-vcf-bck</v>
      </c>
      <c r="D221" s="140" t="str">
        <f>user_svc_vcf_bck</f>
        <v>Value Missing</v>
      </c>
      <c r="E221" s="272"/>
    </row>
    <row r="222" spans="2:5" s="25" customFormat="1" ht="20" customHeight="1" x14ac:dyDescent="0.2">
      <c r="B222" s="270" t="s">
        <v>30</v>
      </c>
      <c r="C222" s="271" t="str">
        <f>sample_svc_vcf_bck_password</f>
        <v>VMw@re1!</v>
      </c>
      <c r="D222" s="140" t="str">
        <f>svc_vcf_bck_password</f>
        <v>Value Missing</v>
      </c>
      <c r="E222" s="272"/>
    </row>
    <row r="223" spans="2:5" s="25" customFormat="1" ht="20" customHeight="1" x14ac:dyDescent="0.2">
      <c r="B223" s="270" t="s">
        <v>3177</v>
      </c>
      <c r="C223" s="271" t="str">
        <f>sample_sftp_server_backup_dir</f>
        <v>/backups/</v>
      </c>
      <c r="D223" s="140" t="str">
        <f>sftp_server_backup_dir</f>
        <v>Value Missing</v>
      </c>
      <c r="E223" s="272"/>
    </row>
    <row r="224" spans="2:5" s="25" customFormat="1" ht="20" customHeight="1" x14ac:dyDescent="0.2"/>
    <row r="225" spans="2:5" s="25" customFormat="1" ht="34" customHeight="1" x14ac:dyDescent="0.2">
      <c r="B225" s="679" t="s">
        <v>3178</v>
      </c>
      <c r="C225" s="679"/>
      <c r="D225" s="679"/>
      <c r="E225" s="679"/>
    </row>
    <row r="226" spans="2:5" s="25" customFormat="1" ht="20" customHeight="1" x14ac:dyDescent="0.2">
      <c r="B226" s="268" t="s">
        <v>254</v>
      </c>
      <c r="C226" s="268" t="s">
        <v>255</v>
      </c>
      <c r="D226" s="269" t="s">
        <v>20</v>
      </c>
      <c r="E226" s="268" t="s">
        <v>21</v>
      </c>
    </row>
    <row r="227" spans="2:5" s="25" customFormat="1" ht="20" customHeight="1" x14ac:dyDescent="0.2">
      <c r="B227" s="270" t="s">
        <v>3179</v>
      </c>
      <c r="C227" s="271" t="s">
        <v>3180</v>
      </c>
      <c r="D227" s="140" t="str">
        <f>C227</f>
        <v>DAILY</v>
      </c>
      <c r="E227" s="272"/>
    </row>
    <row r="228" spans="2:5" s="25" customFormat="1" ht="20" customHeight="1" x14ac:dyDescent="0.2">
      <c r="B228" s="270" t="s">
        <v>3181</v>
      </c>
      <c r="C228" s="271">
        <v>3</v>
      </c>
      <c r="D228" s="140">
        <f>C228</f>
        <v>3</v>
      </c>
      <c r="E228" s="272"/>
    </row>
    <row r="229" spans="2:5" s="25" customFormat="1" ht="20" customHeight="1" x14ac:dyDescent="0.2">
      <c r="B229" s="270" t="s">
        <v>3182</v>
      </c>
      <c r="C229" s="271">
        <v>30</v>
      </c>
      <c r="D229" s="140">
        <f>C229</f>
        <v>30</v>
      </c>
      <c r="E229" s="272"/>
    </row>
    <row r="230" spans="2:5" s="25" customFormat="1" x14ac:dyDescent="0.2"/>
    <row r="231" spans="2:5" s="25" customFormat="1" x14ac:dyDescent="0.2"/>
    <row r="232" spans="2:5" s="25" customFormat="1" x14ac:dyDescent="0.2"/>
    <row r="233" spans="2:5" s="25" customFormat="1" x14ac:dyDescent="0.2"/>
    <row r="234" spans="2:5" s="25" customFormat="1" x14ac:dyDescent="0.2"/>
    <row r="235" spans="2:5" s="25" customFormat="1" x14ac:dyDescent="0.2"/>
    <row r="236" spans="2:5" s="25" customFormat="1" x14ac:dyDescent="0.2"/>
    <row r="237" spans="2:5" s="25" customFormat="1" x14ac:dyDescent="0.2"/>
    <row r="238" spans="2:5" s="25" customFormat="1" x14ac:dyDescent="0.2"/>
    <row r="239" spans="2:5" s="25" customFormat="1" x14ac:dyDescent="0.2"/>
    <row r="240" spans="2:5" s="25" customFormat="1" x14ac:dyDescent="0.2"/>
    <row r="241" s="25" customFormat="1" x14ac:dyDescent="0.2"/>
    <row r="242" s="25" customFormat="1" x14ac:dyDescent="0.2"/>
    <row r="243" s="25" customFormat="1" x14ac:dyDescent="0.2"/>
    <row r="244" s="25" customFormat="1" x14ac:dyDescent="0.2"/>
    <row r="245" s="25" customFormat="1" x14ac:dyDescent="0.2"/>
    <row r="246" s="25" customFormat="1" x14ac:dyDescent="0.2"/>
    <row r="247" s="25" customFormat="1" x14ac:dyDescent="0.2"/>
    <row r="248" s="25" customFormat="1" x14ac:dyDescent="0.2"/>
    <row r="249" s="25" customFormat="1" x14ac:dyDescent="0.2"/>
    <row r="250" s="25" customFormat="1" x14ac:dyDescent="0.2"/>
    <row r="251" s="25" customFormat="1" x14ac:dyDescent="0.2"/>
    <row r="252" s="25" customFormat="1" x14ac:dyDescent="0.2"/>
    <row r="253" s="25" customFormat="1" x14ac:dyDescent="0.2"/>
    <row r="254" s="25" customFormat="1" x14ac:dyDescent="0.2"/>
    <row r="255" s="25" customFormat="1" x14ac:dyDescent="0.2"/>
    <row r="256" s="25" customFormat="1" x14ac:dyDescent="0.2"/>
    <row r="257" s="25" customFormat="1" x14ac:dyDescent="0.2"/>
    <row r="258" s="25" customFormat="1" x14ac:dyDescent="0.2"/>
    <row r="259" s="25" customFormat="1" x14ac:dyDescent="0.2"/>
    <row r="260" s="25" customFormat="1" x14ac:dyDescent="0.2"/>
    <row r="261" s="25" customFormat="1" x14ac:dyDescent="0.2"/>
    <row r="262" s="25" customFormat="1" x14ac:dyDescent="0.2"/>
    <row r="263" s="25" customFormat="1" x14ac:dyDescent="0.2"/>
    <row r="264" s="25" customFormat="1" x14ac:dyDescent="0.2"/>
    <row r="265" s="25" customFormat="1" x14ac:dyDescent="0.2"/>
    <row r="266" s="25" customFormat="1" x14ac:dyDescent="0.2"/>
    <row r="267" s="25" customFormat="1" x14ac:dyDescent="0.2"/>
    <row r="268" s="25" customFormat="1" x14ac:dyDescent="0.2"/>
    <row r="269" s="25" customFormat="1" x14ac:dyDescent="0.2"/>
    <row r="270" s="25" customFormat="1" x14ac:dyDescent="0.2"/>
    <row r="271" s="25" customFormat="1" x14ac:dyDescent="0.2"/>
    <row r="272" s="25" customFormat="1" x14ac:dyDescent="0.2"/>
    <row r="273" s="25" customFormat="1" x14ac:dyDescent="0.2"/>
    <row r="274" s="25" customFormat="1" x14ac:dyDescent="0.2"/>
    <row r="275" s="25" customFormat="1" x14ac:dyDescent="0.2"/>
    <row r="276" s="25" customFormat="1" x14ac:dyDescent="0.2"/>
    <row r="277" s="25" customFormat="1" x14ac:dyDescent="0.2"/>
    <row r="278" s="25" customFormat="1" x14ac:dyDescent="0.2"/>
    <row r="279" s="25" customFormat="1" x14ac:dyDescent="0.2"/>
    <row r="280" s="25" customFormat="1" x14ac:dyDescent="0.2"/>
    <row r="281" s="25" customFormat="1" x14ac:dyDescent="0.2"/>
    <row r="282" s="25" customFormat="1" x14ac:dyDescent="0.2"/>
    <row r="283" s="25" customFormat="1" x14ac:dyDescent="0.2"/>
    <row r="284" s="25" customFormat="1" x14ac:dyDescent="0.2"/>
    <row r="285" s="25" customFormat="1" x14ac:dyDescent="0.2"/>
    <row r="286" s="25" customFormat="1" x14ac:dyDescent="0.2"/>
    <row r="287" s="25" customFormat="1" x14ac:dyDescent="0.2"/>
    <row r="288" s="25" customFormat="1" x14ac:dyDescent="0.2"/>
    <row r="289" s="25" customFormat="1" x14ac:dyDescent="0.2"/>
    <row r="290" s="25" customFormat="1" x14ac:dyDescent="0.2"/>
    <row r="291" s="25" customFormat="1" x14ac:dyDescent="0.2"/>
    <row r="292" s="25" customFormat="1" x14ac:dyDescent="0.2"/>
    <row r="293" s="25" customFormat="1" x14ac:dyDescent="0.2"/>
    <row r="294" s="25" customFormat="1" x14ac:dyDescent="0.2"/>
    <row r="295" s="25" customFormat="1" x14ac:dyDescent="0.2"/>
    <row r="296" s="25" customFormat="1" x14ac:dyDescent="0.2"/>
    <row r="297" s="25" customFormat="1" x14ac:dyDescent="0.2"/>
    <row r="298" s="25" customFormat="1" x14ac:dyDescent="0.2"/>
    <row r="299" s="25" customFormat="1" x14ac:dyDescent="0.2"/>
    <row r="300" s="25" customFormat="1" x14ac:dyDescent="0.2"/>
    <row r="301" s="25" customFormat="1" x14ac:dyDescent="0.2"/>
    <row r="302" s="25" customFormat="1" x14ac:dyDescent="0.2"/>
    <row r="303" s="25" customFormat="1" x14ac:dyDescent="0.2"/>
    <row r="304" s="25" customFormat="1" x14ac:dyDescent="0.2"/>
    <row r="305" s="25" customFormat="1" x14ac:dyDescent="0.2"/>
    <row r="306" s="25" customFormat="1" x14ac:dyDescent="0.2"/>
    <row r="307" s="25" customFormat="1" x14ac:dyDescent="0.2"/>
    <row r="308" s="25" customFormat="1" x14ac:dyDescent="0.2"/>
    <row r="309" s="25" customFormat="1" x14ac:dyDescent="0.2"/>
    <row r="310" s="25" customFormat="1" x14ac:dyDescent="0.2"/>
    <row r="311" s="25" customFormat="1" x14ac:dyDescent="0.2"/>
    <row r="312" s="25" customFormat="1" x14ac:dyDescent="0.2"/>
    <row r="313" s="25" customFormat="1" x14ac:dyDescent="0.2"/>
    <row r="314" s="25" customFormat="1" x14ac:dyDescent="0.2"/>
    <row r="315" s="25" customFormat="1" x14ac:dyDescent="0.2"/>
    <row r="316" s="25" customFormat="1" x14ac:dyDescent="0.2"/>
    <row r="317" s="25" customFormat="1" x14ac:dyDescent="0.2"/>
    <row r="318" s="25" customFormat="1" x14ac:dyDescent="0.2"/>
    <row r="319" s="25" customFormat="1" x14ac:dyDescent="0.2"/>
    <row r="320" s="25" customFormat="1" x14ac:dyDescent="0.2"/>
    <row r="321" s="25" customFormat="1" x14ac:dyDescent="0.2"/>
    <row r="322" s="25" customFormat="1" x14ac:dyDescent="0.2"/>
    <row r="323" s="25" customFormat="1" x14ac:dyDescent="0.2"/>
    <row r="324" s="25" customFormat="1" x14ac:dyDescent="0.2"/>
    <row r="325" s="25" customFormat="1" x14ac:dyDescent="0.2"/>
    <row r="326" s="25" customFormat="1" x14ac:dyDescent="0.2"/>
    <row r="327" s="25" customFormat="1" x14ac:dyDescent="0.2"/>
    <row r="328" s="25" customFormat="1" x14ac:dyDescent="0.2"/>
    <row r="329" s="25" customFormat="1" x14ac:dyDescent="0.2"/>
    <row r="330" s="25" customFormat="1" x14ac:dyDescent="0.2"/>
    <row r="331" s="25" customFormat="1" x14ac:dyDescent="0.2"/>
    <row r="332" s="25" customFormat="1" x14ac:dyDescent="0.2"/>
    <row r="333" s="25" customFormat="1" x14ac:dyDescent="0.2"/>
    <row r="334" s="25" customFormat="1" x14ac:dyDescent="0.2"/>
    <row r="335" s="25" customFormat="1" x14ac:dyDescent="0.2"/>
    <row r="336" s="25" customFormat="1" x14ac:dyDescent="0.2"/>
    <row r="337" s="25" customFormat="1" x14ac:dyDescent="0.2"/>
    <row r="338" s="25" customFormat="1" x14ac:dyDescent="0.2"/>
    <row r="339" s="25" customFormat="1" x14ac:dyDescent="0.2"/>
    <row r="340" s="25" customFormat="1" x14ac:dyDescent="0.2"/>
    <row r="341" s="25" customFormat="1" x14ac:dyDescent="0.2"/>
    <row r="342" s="25" customFormat="1" x14ac:dyDescent="0.2"/>
    <row r="343" s="25" customFormat="1" x14ac:dyDescent="0.2"/>
    <row r="344" s="25" customFormat="1" x14ac:dyDescent="0.2"/>
    <row r="345" s="25" customFormat="1" x14ac:dyDescent="0.2"/>
    <row r="346" s="25" customFormat="1" x14ac:dyDescent="0.2"/>
    <row r="347" s="25" customFormat="1" x14ac:dyDescent="0.2"/>
    <row r="348" s="25" customFormat="1" x14ac:dyDescent="0.2"/>
    <row r="349" s="25" customFormat="1" x14ac:dyDescent="0.2"/>
    <row r="350" s="25" customFormat="1" x14ac:dyDescent="0.2"/>
    <row r="351" s="25" customFormat="1" x14ac:dyDescent="0.2"/>
    <row r="352" s="25" customFormat="1" x14ac:dyDescent="0.2"/>
    <row r="353" s="25" customFormat="1" x14ac:dyDescent="0.2"/>
    <row r="354" s="25" customFormat="1" x14ac:dyDescent="0.2"/>
    <row r="355" s="25" customFormat="1" x14ac:dyDescent="0.2"/>
    <row r="356" s="25" customFormat="1" x14ac:dyDescent="0.2"/>
    <row r="357" s="25" customFormat="1" x14ac:dyDescent="0.2"/>
    <row r="358" s="25" customFormat="1" x14ac:dyDescent="0.2"/>
    <row r="359" s="25" customFormat="1" x14ac:dyDescent="0.2"/>
    <row r="360" s="25" customFormat="1" x14ac:dyDescent="0.2"/>
    <row r="361" s="25" customFormat="1" x14ac:dyDescent="0.2"/>
    <row r="362" s="25" customFormat="1" x14ac:dyDescent="0.2"/>
    <row r="363" s="25" customFormat="1" x14ac:dyDescent="0.2"/>
    <row r="364" s="25" customFormat="1" x14ac:dyDescent="0.2"/>
    <row r="365" s="25" customFormat="1" x14ac:dyDescent="0.2"/>
    <row r="366" s="25" customFormat="1" x14ac:dyDescent="0.2"/>
    <row r="367" s="25" customFormat="1" x14ac:dyDescent="0.2"/>
    <row r="368" s="25" customFormat="1" x14ac:dyDescent="0.2"/>
    <row r="369" s="25" customFormat="1" x14ac:dyDescent="0.2"/>
    <row r="370" s="25" customFormat="1" x14ac:dyDescent="0.2"/>
    <row r="371" s="25" customFormat="1" x14ac:dyDescent="0.2"/>
    <row r="372" s="25" customFormat="1" x14ac:dyDescent="0.2"/>
    <row r="373" s="25" customFormat="1" x14ac:dyDescent="0.2"/>
    <row r="374" s="25" customFormat="1" x14ac:dyDescent="0.2"/>
    <row r="375" s="25" customFormat="1" x14ac:dyDescent="0.2"/>
    <row r="376" s="25" customFormat="1" x14ac:dyDescent="0.2"/>
    <row r="377" s="25" customFormat="1" x14ac:dyDescent="0.2"/>
    <row r="378" s="25" customFormat="1" x14ac:dyDescent="0.2"/>
    <row r="379" s="25" customFormat="1" x14ac:dyDescent="0.2"/>
    <row r="380" s="25" customFormat="1" x14ac:dyDescent="0.2"/>
    <row r="381" s="25" customFormat="1" x14ac:dyDescent="0.2"/>
    <row r="382" s="25" customFormat="1" x14ac:dyDescent="0.2"/>
    <row r="383" s="25" customFormat="1" x14ac:dyDescent="0.2"/>
    <row r="384" s="25" customFormat="1" x14ac:dyDescent="0.2"/>
    <row r="385" s="25" customFormat="1" x14ac:dyDescent="0.2"/>
    <row r="386" s="25" customFormat="1" x14ac:dyDescent="0.2"/>
    <row r="387" s="25" customFormat="1" x14ac:dyDescent="0.2"/>
    <row r="388" s="25" customFormat="1" x14ac:dyDescent="0.2"/>
    <row r="389" s="25" customFormat="1" x14ac:dyDescent="0.2"/>
    <row r="390" s="25" customFormat="1" x14ac:dyDescent="0.2"/>
    <row r="391" s="25" customFormat="1" x14ac:dyDescent="0.2"/>
    <row r="392" s="25" customFormat="1" x14ac:dyDescent="0.2"/>
    <row r="393" s="25" customFormat="1" x14ac:dyDescent="0.2"/>
    <row r="394" s="25" customFormat="1" x14ac:dyDescent="0.2"/>
    <row r="395" s="25" customFormat="1" x14ac:dyDescent="0.2"/>
    <row r="396" s="25" customFormat="1" x14ac:dyDescent="0.2"/>
    <row r="397" s="25" customFormat="1" x14ac:dyDescent="0.2"/>
    <row r="398" s="25" customFormat="1" x14ac:dyDescent="0.2"/>
    <row r="399" s="25" customFormat="1" x14ac:dyDescent="0.2"/>
    <row r="400" s="25" customFormat="1" x14ac:dyDescent="0.2"/>
    <row r="401" s="25" customFormat="1" x14ac:dyDescent="0.2"/>
    <row r="402" s="25" customFormat="1" x14ac:dyDescent="0.2"/>
    <row r="403" s="25" customFormat="1" x14ac:dyDescent="0.2"/>
    <row r="404" s="25" customFormat="1" x14ac:dyDescent="0.2"/>
    <row r="405" s="25" customFormat="1" x14ac:dyDescent="0.2"/>
    <row r="406" s="25" customFormat="1" x14ac:dyDescent="0.2"/>
    <row r="407" s="25" customFormat="1" x14ac:dyDescent="0.2"/>
    <row r="408" s="25" customFormat="1" x14ac:dyDescent="0.2"/>
    <row r="409" s="25" customFormat="1" x14ac:dyDescent="0.2"/>
    <row r="410" s="25" customFormat="1" x14ac:dyDescent="0.2"/>
    <row r="411" s="25" customFormat="1" x14ac:dyDescent="0.2"/>
    <row r="412" s="25" customFormat="1" x14ac:dyDescent="0.2"/>
    <row r="413" s="25" customFormat="1" x14ac:dyDescent="0.2"/>
    <row r="414" s="25" customFormat="1" x14ac:dyDescent="0.2"/>
    <row r="415" s="25" customFormat="1" x14ac:dyDescent="0.2"/>
    <row r="416" s="25" customFormat="1" x14ac:dyDescent="0.2"/>
    <row r="417" s="25" customFormat="1" x14ac:dyDescent="0.2"/>
    <row r="418" s="25" customFormat="1" x14ac:dyDescent="0.2"/>
    <row r="419" s="25" customFormat="1" x14ac:dyDescent="0.2"/>
    <row r="420" s="25" customFormat="1" x14ac:dyDescent="0.2"/>
    <row r="421" s="25" customFormat="1" x14ac:dyDescent="0.2"/>
    <row r="422" s="25" customFormat="1" x14ac:dyDescent="0.2"/>
    <row r="423" s="25" customFormat="1" x14ac:dyDescent="0.2"/>
    <row r="424" s="25" customFormat="1" x14ac:dyDescent="0.2"/>
    <row r="425" s="25" customFormat="1" x14ac:dyDescent="0.2"/>
    <row r="426" s="25" customFormat="1" x14ac:dyDescent="0.2"/>
    <row r="427" s="25" customFormat="1" x14ac:dyDescent="0.2"/>
    <row r="428" s="25" customFormat="1" x14ac:dyDescent="0.2"/>
    <row r="429" s="25" customFormat="1" x14ac:dyDescent="0.2"/>
    <row r="430" s="25" customFormat="1" x14ac:dyDescent="0.2"/>
    <row r="431" s="25" customFormat="1" x14ac:dyDescent="0.2"/>
    <row r="432" s="25" customFormat="1" x14ac:dyDescent="0.2"/>
    <row r="433" s="25" customFormat="1" x14ac:dyDescent="0.2"/>
    <row r="434" s="25" customFormat="1" x14ac:dyDescent="0.2"/>
    <row r="435" s="25" customFormat="1" x14ac:dyDescent="0.2"/>
    <row r="436" s="25" customFormat="1" x14ac:dyDescent="0.2"/>
    <row r="437" s="25" customFormat="1" x14ac:dyDescent="0.2"/>
    <row r="438" s="25" customFormat="1" x14ac:dyDescent="0.2"/>
    <row r="439" s="25" customFormat="1" x14ac:dyDescent="0.2"/>
    <row r="440" s="25" customFormat="1" x14ac:dyDescent="0.2"/>
    <row r="441" s="25" customFormat="1" x14ac:dyDescent="0.2"/>
    <row r="442" s="25" customFormat="1" x14ac:dyDescent="0.2"/>
    <row r="443" s="25" customFormat="1" x14ac:dyDescent="0.2"/>
    <row r="444" s="25" customFormat="1" x14ac:dyDescent="0.2"/>
    <row r="445" s="25" customFormat="1" x14ac:dyDescent="0.2"/>
    <row r="446" s="25" customFormat="1" x14ac:dyDescent="0.2"/>
    <row r="447" s="25" customFormat="1" x14ac:dyDescent="0.2"/>
    <row r="448" s="25" customFormat="1" x14ac:dyDescent="0.2"/>
    <row r="449" s="25" customFormat="1" x14ac:dyDescent="0.2"/>
    <row r="450" s="25" customFormat="1" x14ac:dyDescent="0.2"/>
    <row r="451" s="25" customFormat="1" x14ac:dyDescent="0.2"/>
    <row r="452" s="25" customFormat="1" x14ac:dyDescent="0.2"/>
    <row r="453" s="25" customFormat="1" x14ac:dyDescent="0.2"/>
    <row r="454" s="25" customFormat="1" x14ac:dyDescent="0.2"/>
    <row r="455" s="25" customFormat="1" x14ac:dyDescent="0.2"/>
    <row r="456" s="25" customFormat="1" x14ac:dyDescent="0.2"/>
    <row r="457" s="25" customFormat="1" x14ac:dyDescent="0.2"/>
    <row r="458" s="25" customFormat="1" x14ac:dyDescent="0.2"/>
    <row r="459" s="25" customFormat="1" x14ac:dyDescent="0.2"/>
    <row r="460" s="25" customFormat="1" x14ac:dyDescent="0.2"/>
    <row r="461" s="25" customFormat="1" x14ac:dyDescent="0.2"/>
    <row r="462" s="25" customFormat="1" x14ac:dyDescent="0.2"/>
    <row r="463" s="25" customFormat="1" x14ac:dyDescent="0.2"/>
    <row r="464" s="25" customFormat="1" x14ac:dyDescent="0.2"/>
    <row r="465" s="25" customFormat="1" x14ac:dyDescent="0.2"/>
    <row r="466" s="25" customFormat="1" x14ac:dyDescent="0.2"/>
    <row r="467" s="25" customFormat="1" x14ac:dyDescent="0.2"/>
    <row r="468" s="25" customFormat="1" x14ac:dyDescent="0.2"/>
    <row r="469" s="25" customFormat="1" x14ac:dyDescent="0.2"/>
    <row r="470" s="25" customFormat="1" x14ac:dyDescent="0.2"/>
    <row r="471" s="25" customFormat="1" x14ac:dyDescent="0.2"/>
    <row r="472" s="25" customFormat="1" x14ac:dyDescent="0.2"/>
    <row r="473" s="25" customFormat="1" x14ac:dyDescent="0.2"/>
    <row r="474" s="25" customFormat="1" x14ac:dyDescent="0.2"/>
    <row r="475" s="25" customFormat="1" x14ac:dyDescent="0.2"/>
    <row r="476" s="25" customFormat="1" x14ac:dyDescent="0.2"/>
    <row r="477" s="25" customFormat="1" x14ac:dyDescent="0.2"/>
    <row r="478" s="25" customFormat="1" x14ac:dyDescent="0.2"/>
    <row r="479" s="25" customFormat="1" x14ac:dyDescent="0.2"/>
    <row r="480" s="25" customFormat="1" x14ac:dyDescent="0.2"/>
    <row r="481" s="25" customFormat="1" x14ac:dyDescent="0.2"/>
    <row r="482" s="25" customFormat="1" x14ac:dyDescent="0.2"/>
    <row r="483" s="25" customFormat="1" x14ac:dyDescent="0.2"/>
    <row r="484" s="25" customFormat="1" x14ac:dyDescent="0.2"/>
    <row r="485" s="25" customFormat="1" x14ac:dyDescent="0.2"/>
    <row r="486" s="25" customFormat="1" x14ac:dyDescent="0.2"/>
    <row r="487" s="25" customFormat="1" x14ac:dyDescent="0.2"/>
    <row r="488" s="25" customFormat="1" x14ac:dyDescent="0.2"/>
    <row r="489" s="25" customFormat="1" x14ac:dyDescent="0.2"/>
    <row r="490" s="25" customFormat="1" x14ac:dyDescent="0.2"/>
    <row r="491" s="25" customFormat="1" x14ac:dyDescent="0.2"/>
    <row r="492" s="25" customFormat="1" x14ac:dyDescent="0.2"/>
    <row r="493" s="25" customFormat="1" x14ac:dyDescent="0.2"/>
    <row r="494" s="25" customFormat="1" x14ac:dyDescent="0.2"/>
    <row r="495" s="25" customFormat="1" x14ac:dyDescent="0.2"/>
    <row r="496" s="25" customFormat="1" x14ac:dyDescent="0.2"/>
    <row r="497" s="25" customFormat="1" x14ac:dyDescent="0.2"/>
    <row r="498" s="25" customFormat="1" x14ac:dyDescent="0.2"/>
    <row r="499" s="25" customFormat="1" x14ac:dyDescent="0.2"/>
    <row r="500" s="25" customFormat="1" x14ac:dyDescent="0.2"/>
    <row r="501" s="25" customFormat="1" x14ac:dyDescent="0.2"/>
    <row r="502" s="25" customFormat="1" x14ac:dyDescent="0.2"/>
    <row r="503" s="25" customFormat="1" x14ac:dyDescent="0.2"/>
    <row r="504" s="25" customFormat="1" x14ac:dyDescent="0.2"/>
    <row r="505" s="25" customFormat="1" x14ac:dyDescent="0.2"/>
    <row r="506" s="25" customFormat="1" x14ac:dyDescent="0.2"/>
    <row r="507" s="25" customFormat="1" x14ac:dyDescent="0.2"/>
    <row r="508" s="25" customFormat="1" x14ac:dyDescent="0.2"/>
    <row r="509" s="25" customFormat="1" x14ac:dyDescent="0.2"/>
    <row r="510" s="25" customFormat="1" x14ac:dyDescent="0.2"/>
    <row r="511" s="25" customFormat="1" x14ac:dyDescent="0.2"/>
    <row r="512" s="25" customFormat="1" x14ac:dyDescent="0.2"/>
    <row r="513" s="25" customFormat="1" x14ac:dyDescent="0.2"/>
    <row r="514" s="25" customFormat="1" x14ac:dyDescent="0.2"/>
    <row r="515" s="25" customFormat="1" x14ac:dyDescent="0.2"/>
    <row r="516" s="25" customFormat="1" x14ac:dyDescent="0.2"/>
    <row r="517" s="25" customFormat="1" x14ac:dyDescent="0.2"/>
    <row r="518" s="25" customFormat="1" x14ac:dyDescent="0.2"/>
    <row r="519" s="25" customFormat="1" x14ac:dyDescent="0.2"/>
    <row r="520" s="25" customFormat="1" x14ac:dyDescent="0.2"/>
    <row r="521" s="25" customFormat="1" x14ac:dyDescent="0.2"/>
    <row r="522" s="25" customFormat="1" x14ac:dyDescent="0.2"/>
    <row r="523" s="25" customFormat="1" x14ac:dyDescent="0.2"/>
    <row r="524" s="25" customFormat="1" x14ac:dyDescent="0.2"/>
    <row r="525" s="25" customFormat="1" x14ac:dyDescent="0.2"/>
    <row r="526" s="25" customFormat="1" x14ac:dyDescent="0.2"/>
    <row r="527" s="25" customFormat="1" x14ac:dyDescent="0.2"/>
    <row r="528" s="25" customFormat="1" x14ac:dyDescent="0.2"/>
    <row r="529" s="25" customFormat="1" x14ac:dyDescent="0.2"/>
    <row r="530" s="25" customFormat="1" x14ac:dyDescent="0.2"/>
    <row r="531" s="25" customFormat="1" x14ac:dyDescent="0.2"/>
    <row r="532" s="25" customFormat="1" x14ac:dyDescent="0.2"/>
    <row r="533" s="25" customFormat="1" x14ac:dyDescent="0.2"/>
    <row r="534" s="25" customFormat="1" x14ac:dyDescent="0.2"/>
    <row r="535" s="25" customFormat="1" x14ac:dyDescent="0.2"/>
    <row r="536" s="25" customFormat="1" x14ac:dyDescent="0.2"/>
    <row r="537" s="25" customFormat="1" x14ac:dyDescent="0.2"/>
    <row r="538" s="25" customFormat="1" x14ac:dyDescent="0.2"/>
    <row r="539" s="25" customFormat="1" x14ac:dyDescent="0.2"/>
    <row r="540" s="25" customFormat="1" x14ac:dyDescent="0.2"/>
    <row r="541" s="25" customFormat="1" x14ac:dyDescent="0.2"/>
    <row r="542" s="25" customFormat="1" x14ac:dyDescent="0.2"/>
    <row r="543" s="25" customFormat="1" x14ac:dyDescent="0.2"/>
    <row r="544" s="25" customFormat="1" x14ac:dyDescent="0.2"/>
    <row r="545" s="25" customFormat="1" x14ac:dyDescent="0.2"/>
    <row r="546" s="25" customFormat="1" x14ac:dyDescent="0.2"/>
    <row r="547" s="25" customFormat="1" x14ac:dyDescent="0.2"/>
    <row r="548" s="25" customFormat="1" x14ac:dyDescent="0.2"/>
    <row r="549" s="25" customFormat="1" x14ac:dyDescent="0.2"/>
    <row r="550" s="25" customFormat="1" x14ac:dyDescent="0.2"/>
    <row r="551" s="25" customFormat="1" x14ac:dyDescent="0.2"/>
    <row r="552" s="25" customFormat="1" x14ac:dyDescent="0.2"/>
    <row r="553" s="25" customFormat="1" x14ac:dyDescent="0.2"/>
    <row r="554" s="25" customFormat="1" x14ac:dyDescent="0.2"/>
    <row r="555" s="25" customFormat="1" x14ac:dyDescent="0.2"/>
    <row r="556" s="25" customFormat="1" x14ac:dyDescent="0.2"/>
    <row r="557" s="25" customFormat="1" x14ac:dyDescent="0.2"/>
    <row r="558" s="25" customFormat="1" x14ac:dyDescent="0.2"/>
    <row r="559" s="25" customFormat="1" x14ac:dyDescent="0.2"/>
    <row r="560" s="25" customFormat="1" x14ac:dyDescent="0.2"/>
    <row r="561" s="25" customFormat="1" x14ac:dyDescent="0.2"/>
    <row r="562" s="25" customFormat="1" x14ac:dyDescent="0.2"/>
    <row r="563" s="25" customFormat="1" x14ac:dyDescent="0.2"/>
    <row r="564" s="25" customFormat="1" x14ac:dyDescent="0.2"/>
    <row r="565" s="25" customFormat="1" x14ac:dyDescent="0.2"/>
    <row r="566" s="25" customFormat="1" x14ac:dyDescent="0.2"/>
    <row r="567" s="25" customFormat="1" x14ac:dyDescent="0.2"/>
    <row r="568" s="25" customFormat="1" x14ac:dyDescent="0.2"/>
    <row r="569" s="25" customFormat="1" x14ac:dyDescent="0.2"/>
    <row r="570" s="25" customFormat="1" x14ac:dyDescent="0.2"/>
    <row r="571" s="25" customFormat="1" x14ac:dyDescent="0.2"/>
    <row r="572" s="25" customFormat="1" x14ac:dyDescent="0.2"/>
    <row r="573" s="25" customFormat="1" x14ac:dyDescent="0.2"/>
    <row r="574" s="25" customFormat="1" x14ac:dyDescent="0.2"/>
    <row r="575" s="25" customFormat="1" x14ac:dyDescent="0.2"/>
    <row r="576" s="25" customFormat="1" x14ac:dyDescent="0.2"/>
    <row r="577" s="25" customFormat="1" x14ac:dyDescent="0.2"/>
    <row r="578" s="25" customFormat="1" x14ac:dyDescent="0.2"/>
    <row r="579" s="25" customFormat="1" x14ac:dyDescent="0.2"/>
    <row r="580" s="25" customFormat="1" x14ac:dyDescent="0.2"/>
    <row r="581" s="25" customFormat="1" x14ac:dyDescent="0.2"/>
    <row r="582" s="25" customFormat="1" x14ac:dyDescent="0.2"/>
    <row r="583" s="25" customFormat="1" x14ac:dyDescent="0.2"/>
    <row r="584" s="25" customFormat="1" x14ac:dyDescent="0.2"/>
    <row r="585" s="25" customFormat="1" x14ac:dyDescent="0.2"/>
    <row r="586" s="25" customFormat="1" x14ac:dyDescent="0.2"/>
    <row r="587" s="25" customFormat="1" x14ac:dyDescent="0.2"/>
    <row r="588" s="25" customFormat="1" x14ac:dyDescent="0.2"/>
    <row r="589" s="25" customFormat="1" x14ac:dyDescent="0.2"/>
    <row r="590" s="25" customFormat="1" x14ac:dyDescent="0.2"/>
    <row r="591" s="25" customFormat="1" x14ac:dyDescent="0.2"/>
    <row r="592" s="25" customFormat="1" x14ac:dyDescent="0.2"/>
    <row r="593" s="25" customFormat="1" x14ac:dyDescent="0.2"/>
    <row r="594" s="25" customFormat="1" x14ac:dyDescent="0.2"/>
    <row r="595" s="25" customFormat="1" x14ac:dyDescent="0.2"/>
    <row r="596" s="25" customFormat="1" x14ac:dyDescent="0.2"/>
    <row r="597" s="25" customFormat="1" x14ac:dyDescent="0.2"/>
    <row r="598" s="25" customFormat="1" x14ac:dyDescent="0.2"/>
    <row r="599" s="25" customFormat="1" x14ac:dyDescent="0.2"/>
    <row r="600" s="25" customFormat="1" x14ac:dyDescent="0.2"/>
    <row r="601" s="25" customFormat="1" x14ac:dyDescent="0.2"/>
    <row r="602" s="25" customFormat="1" x14ac:dyDescent="0.2"/>
    <row r="603" s="25" customFormat="1" x14ac:dyDescent="0.2"/>
    <row r="604" s="25" customFormat="1" x14ac:dyDescent="0.2"/>
    <row r="605" s="25" customFormat="1" x14ac:dyDescent="0.2"/>
    <row r="606" s="25" customFormat="1" x14ac:dyDescent="0.2"/>
    <row r="607" s="25" customFormat="1" x14ac:dyDescent="0.2"/>
    <row r="608" s="25" customFormat="1" x14ac:dyDescent="0.2"/>
    <row r="609" s="25" customFormat="1" x14ac:dyDescent="0.2"/>
    <row r="610" s="25" customFormat="1" x14ac:dyDescent="0.2"/>
    <row r="611" s="25" customFormat="1" x14ac:dyDescent="0.2"/>
    <row r="612" s="25" customFormat="1" x14ac:dyDescent="0.2"/>
    <row r="613" s="25" customFormat="1" x14ac:dyDescent="0.2"/>
    <row r="614" s="25" customFormat="1" x14ac:dyDescent="0.2"/>
    <row r="615" s="25" customFormat="1" x14ac:dyDescent="0.2"/>
    <row r="616" s="25" customFormat="1" x14ac:dyDescent="0.2"/>
    <row r="617" s="25" customFormat="1" x14ac:dyDescent="0.2"/>
    <row r="618" s="25" customFormat="1" x14ac:dyDescent="0.2"/>
    <row r="619" s="25" customFormat="1" x14ac:dyDescent="0.2"/>
    <row r="620" s="25" customFormat="1" x14ac:dyDescent="0.2"/>
    <row r="621" s="25" customFormat="1" x14ac:dyDescent="0.2"/>
    <row r="622" s="25" customFormat="1" x14ac:dyDescent="0.2"/>
    <row r="623" s="25" customFormat="1" x14ac:dyDescent="0.2"/>
    <row r="624" s="25" customFormat="1" x14ac:dyDescent="0.2"/>
    <row r="625" s="25" customFormat="1" x14ac:dyDescent="0.2"/>
    <row r="626" s="25" customFormat="1" x14ac:dyDescent="0.2"/>
    <row r="627" s="25" customFormat="1" x14ac:dyDescent="0.2"/>
    <row r="628" s="25" customFormat="1" x14ac:dyDescent="0.2"/>
    <row r="629" s="25" customFormat="1" x14ac:dyDescent="0.2"/>
    <row r="630" s="25" customFormat="1" x14ac:dyDescent="0.2"/>
    <row r="631" s="25" customFormat="1" x14ac:dyDescent="0.2"/>
    <row r="632" s="25" customFormat="1" x14ac:dyDescent="0.2"/>
    <row r="633" s="25" customFormat="1" x14ac:dyDescent="0.2"/>
    <row r="634" s="25" customFormat="1" x14ac:dyDescent="0.2"/>
    <row r="635" s="25" customFormat="1" x14ac:dyDescent="0.2"/>
    <row r="636" s="25" customFormat="1" x14ac:dyDescent="0.2"/>
    <row r="637" s="25" customFormat="1" x14ac:dyDescent="0.2"/>
    <row r="638" s="25" customFormat="1" x14ac:dyDescent="0.2"/>
    <row r="639" s="25" customFormat="1" x14ac:dyDescent="0.2"/>
    <row r="640" s="25" customFormat="1" x14ac:dyDescent="0.2"/>
    <row r="641" s="25" customFormat="1" x14ac:dyDescent="0.2"/>
    <row r="642" s="25" customFormat="1" x14ac:dyDescent="0.2"/>
    <row r="643" s="25" customFormat="1" x14ac:dyDescent="0.2"/>
    <row r="644" s="25" customFormat="1" x14ac:dyDescent="0.2"/>
    <row r="645" s="25" customFormat="1" x14ac:dyDescent="0.2"/>
    <row r="646" s="25" customFormat="1" x14ac:dyDescent="0.2"/>
    <row r="647" s="25" customFormat="1" x14ac:dyDescent="0.2"/>
    <row r="648" s="25" customFormat="1" x14ac:dyDescent="0.2"/>
    <row r="649" s="25" customFormat="1" x14ac:dyDescent="0.2"/>
    <row r="650" s="25" customFormat="1" x14ac:dyDescent="0.2"/>
    <row r="651" s="25" customFormat="1" x14ac:dyDescent="0.2"/>
    <row r="652" s="25" customFormat="1" x14ac:dyDescent="0.2"/>
    <row r="653" s="25" customFormat="1" x14ac:dyDescent="0.2"/>
    <row r="654" s="25" customFormat="1" x14ac:dyDescent="0.2"/>
    <row r="655" s="25" customFormat="1" x14ac:dyDescent="0.2"/>
    <row r="656" s="25" customFormat="1" x14ac:dyDescent="0.2"/>
    <row r="657" s="25" customFormat="1" x14ac:dyDescent="0.2"/>
    <row r="658" s="25" customFormat="1" x14ac:dyDescent="0.2"/>
    <row r="659" s="25" customFormat="1" x14ac:dyDescent="0.2"/>
    <row r="660" s="25" customFormat="1" x14ac:dyDescent="0.2"/>
    <row r="661" s="25" customFormat="1" x14ac:dyDescent="0.2"/>
    <row r="662" s="25" customFormat="1" x14ac:dyDescent="0.2"/>
    <row r="663" s="25" customFormat="1" x14ac:dyDescent="0.2"/>
    <row r="664" s="25" customFormat="1" x14ac:dyDescent="0.2"/>
    <row r="665" s="25" customFormat="1" x14ac:dyDescent="0.2"/>
    <row r="666" s="25" customFormat="1" x14ac:dyDescent="0.2"/>
    <row r="667" s="25" customFormat="1" x14ac:dyDescent="0.2"/>
    <row r="668" s="25" customFormat="1" x14ac:dyDescent="0.2"/>
    <row r="669" s="25" customFormat="1" x14ac:dyDescent="0.2"/>
    <row r="670" s="25" customFormat="1" x14ac:dyDescent="0.2"/>
    <row r="671" s="25" customFormat="1" x14ac:dyDescent="0.2"/>
    <row r="672" s="25" customFormat="1" x14ac:dyDescent="0.2"/>
    <row r="673" s="25" customFormat="1" x14ac:dyDescent="0.2"/>
    <row r="674" s="25" customFormat="1" x14ac:dyDescent="0.2"/>
    <row r="675" s="25" customFormat="1" x14ac:dyDescent="0.2"/>
    <row r="676" s="25" customFormat="1" x14ac:dyDescent="0.2"/>
    <row r="677" s="25" customFormat="1" x14ac:dyDescent="0.2"/>
    <row r="678" s="25" customFormat="1" x14ac:dyDescent="0.2"/>
    <row r="679" s="25" customFormat="1" x14ac:dyDescent="0.2"/>
    <row r="680" s="25" customFormat="1" x14ac:dyDescent="0.2"/>
    <row r="681" s="25" customFormat="1" x14ac:dyDescent="0.2"/>
    <row r="682" s="25" customFormat="1" x14ac:dyDescent="0.2"/>
    <row r="683" s="25" customFormat="1" x14ac:dyDescent="0.2"/>
    <row r="684" s="25" customFormat="1" x14ac:dyDescent="0.2"/>
    <row r="685" s="25" customFormat="1" x14ac:dyDescent="0.2"/>
    <row r="686" s="25" customFormat="1" x14ac:dyDescent="0.2"/>
    <row r="687" s="25" customFormat="1" x14ac:dyDescent="0.2"/>
    <row r="688" s="25" customFormat="1" x14ac:dyDescent="0.2"/>
    <row r="689" s="25" customFormat="1" x14ac:dyDescent="0.2"/>
    <row r="690" s="25" customFormat="1" x14ac:dyDescent="0.2"/>
    <row r="691" s="25" customFormat="1" x14ac:dyDescent="0.2"/>
    <row r="692" s="25" customFormat="1" x14ac:dyDescent="0.2"/>
    <row r="693" s="25" customFormat="1" x14ac:dyDescent="0.2"/>
    <row r="694" s="25" customFormat="1" x14ac:dyDescent="0.2"/>
    <row r="695" s="25" customFormat="1" x14ac:dyDescent="0.2"/>
    <row r="696" s="25" customFormat="1" x14ac:dyDescent="0.2"/>
    <row r="697" s="25" customFormat="1" x14ac:dyDescent="0.2"/>
    <row r="698" s="25" customFormat="1" x14ac:dyDescent="0.2"/>
    <row r="699" s="25" customFormat="1" x14ac:dyDescent="0.2"/>
    <row r="700" s="25" customFormat="1" x14ac:dyDescent="0.2"/>
    <row r="701" s="25" customFormat="1" x14ac:dyDescent="0.2"/>
    <row r="702" s="25" customFormat="1" x14ac:dyDescent="0.2"/>
    <row r="703" s="25" customFormat="1" x14ac:dyDescent="0.2"/>
    <row r="704" s="25" customFormat="1" x14ac:dyDescent="0.2"/>
    <row r="705" s="25" customFormat="1" x14ac:dyDescent="0.2"/>
    <row r="706" s="25" customFormat="1" x14ac:dyDescent="0.2"/>
    <row r="707" s="25" customFormat="1" x14ac:dyDescent="0.2"/>
    <row r="708" s="25" customFormat="1" x14ac:dyDescent="0.2"/>
    <row r="709" s="25" customFormat="1" x14ac:dyDescent="0.2"/>
    <row r="710" s="25" customFormat="1" x14ac:dyDescent="0.2"/>
    <row r="711" s="25" customFormat="1" x14ac:dyDescent="0.2"/>
    <row r="712" s="25" customFormat="1" x14ac:dyDescent="0.2"/>
    <row r="713" s="25" customFormat="1" x14ac:dyDescent="0.2"/>
    <row r="714" s="25" customFormat="1" x14ac:dyDescent="0.2"/>
    <row r="715" s="25" customFormat="1" x14ac:dyDescent="0.2"/>
    <row r="716" s="25" customFormat="1" x14ac:dyDescent="0.2"/>
    <row r="717" s="25" customFormat="1" x14ac:dyDescent="0.2"/>
    <row r="718" s="25" customFormat="1" x14ac:dyDescent="0.2"/>
    <row r="719" s="25" customFormat="1" x14ac:dyDescent="0.2"/>
    <row r="720" s="25" customFormat="1" x14ac:dyDescent="0.2"/>
    <row r="721" s="25" customFormat="1" x14ac:dyDescent="0.2"/>
    <row r="722" s="25" customFormat="1" x14ac:dyDescent="0.2"/>
    <row r="723" s="25" customFormat="1" x14ac:dyDescent="0.2"/>
    <row r="724" s="25" customFormat="1" x14ac:dyDescent="0.2"/>
    <row r="725" s="25" customFormat="1" x14ac:dyDescent="0.2"/>
    <row r="726" s="25" customFormat="1" x14ac:dyDescent="0.2"/>
    <row r="727" s="25" customFormat="1" x14ac:dyDescent="0.2"/>
    <row r="728" s="25" customFormat="1" x14ac:dyDescent="0.2"/>
    <row r="729" s="25" customFormat="1" x14ac:dyDescent="0.2"/>
    <row r="730" s="25" customFormat="1" x14ac:dyDescent="0.2"/>
    <row r="731" s="25" customFormat="1" x14ac:dyDescent="0.2"/>
    <row r="732" s="25" customFormat="1" x14ac:dyDescent="0.2"/>
    <row r="733" s="25" customFormat="1" x14ac:dyDescent="0.2"/>
    <row r="734" s="25" customFormat="1" x14ac:dyDescent="0.2"/>
    <row r="735" s="25" customFormat="1" x14ac:dyDescent="0.2"/>
    <row r="736" s="25" customFormat="1" x14ac:dyDescent="0.2"/>
    <row r="737" s="25" customFormat="1" x14ac:dyDescent="0.2"/>
    <row r="738" s="25" customFormat="1" x14ac:dyDescent="0.2"/>
    <row r="739" s="25" customFormat="1" x14ac:dyDescent="0.2"/>
    <row r="740" s="25" customFormat="1" x14ac:dyDescent="0.2"/>
    <row r="741" s="25" customFormat="1" x14ac:dyDescent="0.2"/>
    <row r="742" s="25" customFormat="1" x14ac:dyDescent="0.2"/>
    <row r="743" s="25" customFormat="1" x14ac:dyDescent="0.2"/>
    <row r="744" s="25" customFormat="1" x14ac:dyDescent="0.2"/>
    <row r="745" s="25" customFormat="1" x14ac:dyDescent="0.2"/>
    <row r="746" s="25" customFormat="1" x14ac:dyDescent="0.2"/>
    <row r="747" s="25" customFormat="1" x14ac:dyDescent="0.2"/>
    <row r="748" s="25" customFormat="1" x14ac:dyDescent="0.2"/>
    <row r="749" s="25" customFormat="1" x14ac:dyDescent="0.2"/>
    <row r="750" s="25" customFormat="1" x14ac:dyDescent="0.2"/>
    <row r="751" s="25" customFormat="1" x14ac:dyDescent="0.2"/>
    <row r="752" s="25" customFormat="1" x14ac:dyDescent="0.2"/>
    <row r="753" s="25" customFormat="1" x14ac:dyDescent="0.2"/>
    <row r="754" s="25" customFormat="1" x14ac:dyDescent="0.2"/>
    <row r="755" s="25" customFormat="1" x14ac:dyDescent="0.2"/>
    <row r="756" s="25" customFormat="1" x14ac:dyDescent="0.2"/>
    <row r="757" s="25" customFormat="1" x14ac:dyDescent="0.2"/>
    <row r="758" s="25" customFormat="1" x14ac:dyDescent="0.2"/>
    <row r="759" s="25" customFormat="1" x14ac:dyDescent="0.2"/>
    <row r="760" s="25" customFormat="1" x14ac:dyDescent="0.2"/>
    <row r="761" s="25" customFormat="1" x14ac:dyDescent="0.2"/>
    <row r="762" s="25" customFormat="1" x14ac:dyDescent="0.2"/>
    <row r="763" s="25" customFormat="1" x14ac:dyDescent="0.2"/>
    <row r="764" s="25" customFormat="1" x14ac:dyDescent="0.2"/>
    <row r="765" s="25" customFormat="1" x14ac:dyDescent="0.2"/>
    <row r="766" s="25" customFormat="1" x14ac:dyDescent="0.2"/>
    <row r="767" s="25" customFormat="1" x14ac:dyDescent="0.2"/>
    <row r="768" s="25" customFormat="1" x14ac:dyDescent="0.2"/>
    <row r="769" s="25" customFormat="1" x14ac:dyDescent="0.2"/>
    <row r="770" s="25" customFormat="1" x14ac:dyDescent="0.2"/>
    <row r="771" s="25" customFormat="1" x14ac:dyDescent="0.2"/>
    <row r="772" s="25" customFormat="1" x14ac:dyDescent="0.2"/>
    <row r="773" s="25" customFormat="1" x14ac:dyDescent="0.2"/>
    <row r="774" s="25" customFormat="1" x14ac:dyDescent="0.2"/>
    <row r="775" s="25" customFormat="1" x14ac:dyDescent="0.2"/>
    <row r="776" s="25" customFormat="1" x14ac:dyDescent="0.2"/>
    <row r="777" s="25" customFormat="1" x14ac:dyDescent="0.2"/>
    <row r="778" s="25" customFormat="1" x14ac:dyDescent="0.2"/>
    <row r="779" s="25" customFormat="1" x14ac:dyDescent="0.2"/>
    <row r="780" s="25" customFormat="1" x14ac:dyDescent="0.2"/>
    <row r="781" s="25" customFormat="1" x14ac:dyDescent="0.2"/>
    <row r="782" s="25" customFormat="1" x14ac:dyDescent="0.2"/>
    <row r="783" s="25" customFormat="1" x14ac:dyDescent="0.2"/>
    <row r="784" s="25" customFormat="1" x14ac:dyDescent="0.2"/>
    <row r="785" s="25" customFormat="1" x14ac:dyDescent="0.2"/>
    <row r="786" s="25" customFormat="1" x14ac:dyDescent="0.2"/>
    <row r="787" s="25" customFormat="1" x14ac:dyDescent="0.2"/>
    <row r="788" s="25" customFormat="1" x14ac:dyDescent="0.2"/>
    <row r="789" s="25" customFormat="1" x14ac:dyDescent="0.2"/>
    <row r="790" s="25" customFormat="1" x14ac:dyDescent="0.2"/>
    <row r="791" s="25" customFormat="1" x14ac:dyDescent="0.2"/>
    <row r="792" s="25" customFormat="1" x14ac:dyDescent="0.2"/>
    <row r="793" s="25" customFormat="1" x14ac:dyDescent="0.2"/>
    <row r="794" s="25" customFormat="1" x14ac:dyDescent="0.2"/>
    <row r="795" s="25" customFormat="1" x14ac:dyDescent="0.2"/>
    <row r="796" s="25" customFormat="1" x14ac:dyDescent="0.2"/>
    <row r="797" s="25" customFormat="1" x14ac:dyDescent="0.2"/>
    <row r="798" s="25" customFormat="1" x14ac:dyDescent="0.2"/>
    <row r="799" s="25" customFormat="1" x14ac:dyDescent="0.2"/>
    <row r="800" s="25" customFormat="1" x14ac:dyDescent="0.2"/>
    <row r="801" s="25" customFormat="1" x14ac:dyDescent="0.2"/>
    <row r="802" s="25" customFormat="1" x14ac:dyDescent="0.2"/>
    <row r="803" s="25" customFormat="1" x14ac:dyDescent="0.2"/>
    <row r="804" s="25" customFormat="1" x14ac:dyDescent="0.2"/>
    <row r="805" s="25" customFormat="1" x14ac:dyDescent="0.2"/>
    <row r="806" s="25" customFormat="1" x14ac:dyDescent="0.2"/>
    <row r="807" s="25" customFormat="1" x14ac:dyDescent="0.2"/>
    <row r="808" s="25" customFormat="1" x14ac:dyDescent="0.2"/>
    <row r="809" s="25" customFormat="1" x14ac:dyDescent="0.2"/>
    <row r="810" s="25" customFormat="1" x14ac:dyDescent="0.2"/>
    <row r="811" s="25" customFormat="1" x14ac:dyDescent="0.2"/>
    <row r="812" s="25" customFormat="1" x14ac:dyDescent="0.2"/>
    <row r="813" s="25" customFormat="1" x14ac:dyDescent="0.2"/>
    <row r="814" s="25" customFormat="1" x14ac:dyDescent="0.2"/>
    <row r="815" s="25" customFormat="1" x14ac:dyDescent="0.2"/>
    <row r="816" s="25" customFormat="1" x14ac:dyDescent="0.2"/>
    <row r="817" s="25" customFormat="1" x14ac:dyDescent="0.2"/>
    <row r="818" s="25" customFormat="1" x14ac:dyDescent="0.2"/>
    <row r="819" s="25" customFormat="1" x14ac:dyDescent="0.2"/>
    <row r="820" s="25" customFormat="1" x14ac:dyDescent="0.2"/>
    <row r="821" s="25" customFormat="1" x14ac:dyDescent="0.2"/>
    <row r="822" s="25" customFormat="1" x14ac:dyDescent="0.2"/>
    <row r="823" s="25" customFormat="1" x14ac:dyDescent="0.2"/>
    <row r="824" s="25" customFormat="1" x14ac:dyDescent="0.2"/>
    <row r="825" s="25" customFormat="1" x14ac:dyDescent="0.2"/>
    <row r="826" s="25" customFormat="1" x14ac:dyDescent="0.2"/>
    <row r="827" s="25" customFormat="1" x14ac:dyDescent="0.2"/>
    <row r="828" s="25" customFormat="1" x14ac:dyDescent="0.2"/>
    <row r="829" s="25" customFormat="1" x14ac:dyDescent="0.2"/>
    <row r="830" s="25" customFormat="1" x14ac:dyDescent="0.2"/>
    <row r="831" s="25" customFormat="1" x14ac:dyDescent="0.2"/>
    <row r="832" s="25" customFormat="1" x14ac:dyDescent="0.2"/>
    <row r="833" s="25" customFormat="1" x14ac:dyDescent="0.2"/>
    <row r="834" s="25" customFormat="1" x14ac:dyDescent="0.2"/>
    <row r="835" s="25" customFormat="1" x14ac:dyDescent="0.2"/>
    <row r="836" s="25" customFormat="1" x14ac:dyDescent="0.2"/>
    <row r="837" s="25" customFormat="1" x14ac:dyDescent="0.2"/>
    <row r="838" s="25" customFormat="1" x14ac:dyDescent="0.2"/>
    <row r="839" s="25" customFormat="1" x14ac:dyDescent="0.2"/>
    <row r="840" s="25" customFormat="1" x14ac:dyDescent="0.2"/>
    <row r="841" s="25" customFormat="1" x14ac:dyDescent="0.2"/>
    <row r="842" s="25" customFormat="1" x14ac:dyDescent="0.2"/>
    <row r="843" s="25" customFormat="1" x14ac:dyDescent="0.2"/>
    <row r="844" s="25" customFormat="1" x14ac:dyDescent="0.2"/>
    <row r="845" s="25" customFormat="1" x14ac:dyDescent="0.2"/>
    <row r="846" s="25" customFormat="1" x14ac:dyDescent="0.2"/>
    <row r="847" s="25" customFormat="1" x14ac:dyDescent="0.2"/>
    <row r="848" s="25" customFormat="1" x14ac:dyDescent="0.2"/>
    <row r="849" s="25" customFormat="1" x14ac:dyDescent="0.2"/>
    <row r="850" s="25" customFormat="1" x14ac:dyDescent="0.2"/>
    <row r="851" s="25" customFormat="1" x14ac:dyDescent="0.2"/>
    <row r="852" s="25" customFormat="1" x14ac:dyDescent="0.2"/>
    <row r="853" s="25" customFormat="1" x14ac:dyDescent="0.2"/>
    <row r="854" s="25" customFormat="1" x14ac:dyDescent="0.2"/>
    <row r="855" s="25" customFormat="1" x14ac:dyDescent="0.2"/>
    <row r="856" s="25" customFormat="1" x14ac:dyDescent="0.2"/>
    <row r="857" s="25" customFormat="1" x14ac:dyDescent="0.2"/>
    <row r="858" s="25" customFormat="1" x14ac:dyDescent="0.2"/>
    <row r="859" s="25" customFormat="1" x14ac:dyDescent="0.2"/>
    <row r="860" s="25" customFormat="1" x14ac:dyDescent="0.2"/>
    <row r="861" s="25" customFormat="1" x14ac:dyDescent="0.2"/>
    <row r="862" s="25" customFormat="1" x14ac:dyDescent="0.2"/>
    <row r="863" s="25" customFormat="1" x14ac:dyDescent="0.2"/>
    <row r="864" s="25" customFormat="1" x14ac:dyDescent="0.2"/>
    <row r="865" s="25" customFormat="1" x14ac:dyDescent="0.2"/>
    <row r="866" s="25" customFormat="1" x14ac:dyDescent="0.2"/>
    <row r="867" s="25" customFormat="1" x14ac:dyDescent="0.2"/>
    <row r="868" s="25" customFormat="1" x14ac:dyDescent="0.2"/>
    <row r="869" s="25" customFormat="1" x14ac:dyDescent="0.2"/>
    <row r="870" s="25" customFormat="1" x14ac:dyDescent="0.2"/>
    <row r="871" s="25" customFormat="1" x14ac:dyDescent="0.2"/>
    <row r="872" s="25" customFormat="1" x14ac:dyDescent="0.2"/>
    <row r="873" s="25" customFormat="1" x14ac:dyDescent="0.2"/>
    <row r="874" s="25" customFormat="1" x14ac:dyDescent="0.2"/>
    <row r="875" s="25" customFormat="1" x14ac:dyDescent="0.2"/>
    <row r="876" s="25" customFormat="1" x14ac:dyDescent="0.2"/>
    <row r="877" s="25" customFormat="1" x14ac:dyDescent="0.2"/>
    <row r="878" s="25" customFormat="1" x14ac:dyDescent="0.2"/>
    <row r="879" s="25" customFormat="1" x14ac:dyDescent="0.2"/>
    <row r="880" s="25" customFormat="1" x14ac:dyDescent="0.2"/>
    <row r="881" s="25" customFormat="1" x14ac:dyDescent="0.2"/>
    <row r="882" s="25" customFormat="1" x14ac:dyDescent="0.2"/>
    <row r="883" s="25" customFormat="1" x14ac:dyDescent="0.2"/>
    <row r="884" s="25" customFormat="1" x14ac:dyDescent="0.2"/>
    <row r="885" s="25" customFormat="1" x14ac:dyDescent="0.2"/>
    <row r="886" s="25" customFormat="1" x14ac:dyDescent="0.2"/>
    <row r="887" s="25" customFormat="1" x14ac:dyDescent="0.2"/>
    <row r="888" s="25" customFormat="1" x14ac:dyDescent="0.2"/>
    <row r="889" s="25" customFormat="1" x14ac:dyDescent="0.2"/>
    <row r="890" s="25" customFormat="1" x14ac:dyDescent="0.2"/>
    <row r="891" s="25" customFormat="1" x14ac:dyDescent="0.2"/>
    <row r="892" s="25" customFormat="1" x14ac:dyDescent="0.2"/>
    <row r="893" s="25" customFormat="1" x14ac:dyDescent="0.2"/>
    <row r="894" s="25" customFormat="1" x14ac:dyDescent="0.2"/>
    <row r="895" s="25" customFormat="1" x14ac:dyDescent="0.2"/>
    <row r="896" s="25" customFormat="1" x14ac:dyDescent="0.2"/>
    <row r="897" s="25" customFormat="1" x14ac:dyDescent="0.2"/>
    <row r="898" s="25" customFormat="1" x14ac:dyDescent="0.2"/>
    <row r="899" s="25" customFormat="1" x14ac:dyDescent="0.2"/>
    <row r="900" s="25" customFormat="1" x14ac:dyDescent="0.2"/>
    <row r="901" s="25" customFormat="1" x14ac:dyDescent="0.2"/>
    <row r="902" s="25" customFormat="1" x14ac:dyDescent="0.2"/>
    <row r="903" s="25" customFormat="1" x14ac:dyDescent="0.2"/>
    <row r="904" s="25" customFormat="1" x14ac:dyDescent="0.2"/>
    <row r="905" s="25" customFormat="1" x14ac:dyDescent="0.2"/>
    <row r="906" s="25" customFormat="1" x14ac:dyDescent="0.2"/>
    <row r="907" s="25" customFormat="1" x14ac:dyDescent="0.2"/>
    <row r="908" s="25" customFormat="1" x14ac:dyDescent="0.2"/>
    <row r="909" s="25" customFormat="1" x14ac:dyDescent="0.2"/>
    <row r="910" s="25" customFormat="1" x14ac:dyDescent="0.2"/>
    <row r="911" s="25" customFormat="1" x14ac:dyDescent="0.2"/>
    <row r="912" s="25" customFormat="1" x14ac:dyDescent="0.2"/>
    <row r="913" s="25" customFormat="1" x14ac:dyDescent="0.2"/>
    <row r="914" s="25" customFormat="1" x14ac:dyDescent="0.2"/>
    <row r="915" s="25" customFormat="1" x14ac:dyDescent="0.2"/>
    <row r="916" s="25" customFormat="1" x14ac:dyDescent="0.2"/>
    <row r="917" s="25" customFormat="1" x14ac:dyDescent="0.2"/>
    <row r="918" s="25" customFormat="1" x14ac:dyDescent="0.2"/>
    <row r="919" s="25" customFormat="1" x14ac:dyDescent="0.2"/>
    <row r="920" s="25" customFormat="1" x14ac:dyDescent="0.2"/>
    <row r="921" s="25" customFormat="1" x14ac:dyDescent="0.2"/>
    <row r="922" s="25" customFormat="1" x14ac:dyDescent="0.2"/>
    <row r="923" s="25" customFormat="1" x14ac:dyDescent="0.2"/>
    <row r="924" s="25" customFormat="1" x14ac:dyDescent="0.2"/>
    <row r="925" s="25" customFormat="1" x14ac:dyDescent="0.2"/>
    <row r="926" s="25" customFormat="1" x14ac:dyDescent="0.2"/>
    <row r="927" s="25" customFormat="1" x14ac:dyDescent="0.2"/>
    <row r="928" s="25" customFormat="1" x14ac:dyDescent="0.2"/>
    <row r="929" s="25" customFormat="1" x14ac:dyDescent="0.2"/>
    <row r="930" s="25" customFormat="1" x14ac:dyDescent="0.2"/>
    <row r="931" s="25" customFormat="1" x14ac:dyDescent="0.2"/>
    <row r="932" s="25" customFormat="1" x14ac:dyDescent="0.2"/>
    <row r="933" s="25" customFormat="1" x14ac:dyDescent="0.2"/>
    <row r="934" s="25" customFormat="1" x14ac:dyDescent="0.2"/>
    <row r="935" s="25" customFormat="1" x14ac:dyDescent="0.2"/>
    <row r="936" s="25" customFormat="1" x14ac:dyDescent="0.2"/>
    <row r="937" s="25" customFormat="1" x14ac:dyDescent="0.2"/>
    <row r="938" s="25" customFormat="1" x14ac:dyDescent="0.2"/>
    <row r="939" s="25" customFormat="1" x14ac:dyDescent="0.2"/>
    <row r="940" s="25" customFormat="1" x14ac:dyDescent="0.2"/>
    <row r="941" s="25" customFormat="1" x14ac:dyDescent="0.2"/>
    <row r="942" s="25" customFormat="1" x14ac:dyDescent="0.2"/>
    <row r="943" s="25" customFormat="1" x14ac:dyDescent="0.2"/>
    <row r="944" s="25" customFormat="1" x14ac:dyDescent="0.2"/>
    <row r="945" s="25" customFormat="1" x14ac:dyDescent="0.2"/>
    <row r="946" s="25" customFormat="1" x14ac:dyDescent="0.2"/>
    <row r="947" s="25" customFormat="1" x14ac:dyDescent="0.2"/>
    <row r="948" s="25" customFormat="1" x14ac:dyDescent="0.2"/>
    <row r="949" s="25" customFormat="1" x14ac:dyDescent="0.2"/>
    <row r="950" s="25" customFormat="1" x14ac:dyDescent="0.2"/>
    <row r="951" s="25" customFormat="1" x14ac:dyDescent="0.2"/>
    <row r="952" s="25" customFormat="1" x14ac:dyDescent="0.2"/>
    <row r="953" s="25" customFormat="1" x14ac:dyDescent="0.2"/>
    <row r="954" s="25" customFormat="1" x14ac:dyDescent="0.2"/>
    <row r="955" s="25" customFormat="1" x14ac:dyDescent="0.2"/>
    <row r="956" s="25" customFormat="1" x14ac:dyDescent="0.2"/>
    <row r="957" s="25" customFormat="1" x14ac:dyDescent="0.2"/>
    <row r="958" s="25" customFormat="1" x14ac:dyDescent="0.2"/>
    <row r="959" s="25" customFormat="1" x14ac:dyDescent="0.2"/>
    <row r="960" s="25" customFormat="1" x14ac:dyDescent="0.2"/>
    <row r="961" s="25" customFormat="1" x14ac:dyDescent="0.2"/>
    <row r="962" s="25" customFormat="1" x14ac:dyDescent="0.2"/>
    <row r="963" s="25" customFormat="1" x14ac:dyDescent="0.2"/>
    <row r="964" s="25" customFormat="1" x14ac:dyDescent="0.2"/>
    <row r="965" s="25" customFormat="1" x14ac:dyDescent="0.2"/>
    <row r="966" s="25" customFormat="1" x14ac:dyDescent="0.2"/>
    <row r="967" s="25" customFormat="1" x14ac:dyDescent="0.2"/>
    <row r="968" s="25" customFormat="1" x14ac:dyDescent="0.2"/>
    <row r="969" s="25" customFormat="1" x14ac:dyDescent="0.2"/>
    <row r="970" s="25" customFormat="1" x14ac:dyDescent="0.2"/>
    <row r="971" s="25" customFormat="1" x14ac:dyDescent="0.2"/>
    <row r="972" s="25" customFormat="1" x14ac:dyDescent="0.2"/>
    <row r="973" s="25" customFormat="1" x14ac:dyDescent="0.2"/>
    <row r="974" s="25" customFormat="1" x14ac:dyDescent="0.2"/>
    <row r="975" s="25" customFormat="1" x14ac:dyDescent="0.2"/>
    <row r="976" s="25" customFormat="1" x14ac:dyDescent="0.2"/>
    <row r="977" s="25" customFormat="1" x14ac:dyDescent="0.2"/>
    <row r="978" s="25" customFormat="1" x14ac:dyDescent="0.2"/>
    <row r="979" s="25" customFormat="1" x14ac:dyDescent="0.2"/>
    <row r="980" s="25" customFormat="1" x14ac:dyDescent="0.2"/>
    <row r="981" s="25" customFormat="1" x14ac:dyDescent="0.2"/>
    <row r="982" s="25" customFormat="1" x14ac:dyDescent="0.2"/>
    <row r="983" s="25" customFormat="1" x14ac:dyDescent="0.2"/>
  </sheetData>
  <sheetProtection algorithmName="SHA-512" hashValue="k73ckERnRbclxx5ZOOMTdhyeYNs2kD2gstJR6/zRZh/W/yBvm+J6R8Xqo+95umvIxKFhV7V/+/44SWwkMLGmzw==" saltValue="WAqS2gldBs8xSCv38LXvaA==" spinCount="100000" sheet="1" objects="1" scenarios="1"/>
  <mergeCells count="45">
    <mergeCell ref="B216:E216"/>
    <mergeCell ref="B225:E225"/>
    <mergeCell ref="B48:E48"/>
    <mergeCell ref="B55:E55"/>
    <mergeCell ref="B61:E61"/>
    <mergeCell ref="B68:E68"/>
    <mergeCell ref="B131:E131"/>
    <mergeCell ref="B73:E73"/>
    <mergeCell ref="B84:E84"/>
    <mergeCell ref="B94:E94"/>
    <mergeCell ref="B99:E99"/>
    <mergeCell ref="B103:E103"/>
    <mergeCell ref="B119:E119"/>
    <mergeCell ref="B142:E142"/>
    <mergeCell ref="B152:E152"/>
    <mergeCell ref="B214:E214"/>
    <mergeCell ref="B195:E195"/>
    <mergeCell ref="B159:E159"/>
    <mergeCell ref="B204:E204"/>
    <mergeCell ref="B206:E206"/>
    <mergeCell ref="B202:E202"/>
    <mergeCell ref="B162:E162"/>
    <mergeCell ref="B172:E172"/>
    <mergeCell ref="B181:E181"/>
    <mergeCell ref="B11:C11"/>
    <mergeCell ref="D11:E11"/>
    <mergeCell ref="D10:E10"/>
    <mergeCell ref="F10:G10"/>
    <mergeCell ref="B136:E136"/>
    <mergeCell ref="H8:J8"/>
    <mergeCell ref="B3:E3"/>
    <mergeCell ref="B41:E41"/>
    <mergeCell ref="B43:E43"/>
    <mergeCell ref="B2:E2"/>
    <mergeCell ref="B14:E14"/>
    <mergeCell ref="B7:J7"/>
    <mergeCell ref="H10:J10"/>
    <mergeCell ref="F11:G11"/>
    <mergeCell ref="H12:J12"/>
    <mergeCell ref="H11:J11"/>
    <mergeCell ref="H9:J9"/>
    <mergeCell ref="D12:E12"/>
    <mergeCell ref="F12:G12"/>
    <mergeCell ref="B10:C10"/>
    <mergeCell ref="B12:C12"/>
  </mergeCells>
  <conditionalFormatting sqref="B14:E39">
    <cfRule type="expression" dxfId="76" priority="6">
      <formula>ccm_result="Excluded"</formula>
    </cfRule>
  </conditionalFormatting>
  <conditionalFormatting sqref="C7:J10 D11:D12 F11:J12">
    <cfRule type="expression" dxfId="75" priority="1">
      <formula>ccm_result="Excluded"</formula>
    </cfRule>
  </conditionalFormatting>
  <conditionalFormatting sqref="D5 D202">
    <cfRule type="expression" dxfId="74" priority="22">
      <formula>OR((ccm_result="Excluded"),AND((intelligent_operations_result="Excluded")))</formula>
    </cfRule>
  </conditionalFormatting>
  <conditionalFormatting sqref="D16:D39">
    <cfRule type="notContainsBlanks" dxfId="73" priority="7">
      <formula>LEN(TRIM(D16))&gt;0</formula>
    </cfRule>
    <cfRule type="containsBlanks" dxfId="72" priority="8">
      <formula>LEN(TRIM(D16))=0</formula>
    </cfRule>
  </conditionalFormatting>
  <conditionalFormatting sqref="D41">
    <cfRule type="expression" dxfId="71" priority="10">
      <formula>ccm_result="Excluded"</formula>
    </cfRule>
  </conditionalFormatting>
  <conditionalFormatting sqref="D43 D45:D46 D48 D50:D53 D55 D57:D59 D61 D63:D66 D68 D70:D71 D73 D75:D82 D84 D86:D92 D94 D96:D97 D99 D101:D129 D131 D133:D134 D136 D138:D140 D142 D144:D150 D152 D154:D157 D159 D161:D179 D181 D183:D193 D195 D197:D200 D216 D218:D223 D225 D227:D229">
    <cfRule type="expression" dxfId="70" priority="9" stopIfTrue="1">
      <formula>ccm_result="Excluded"</formula>
    </cfRule>
    <cfRule type="containsBlanks" dxfId="68" priority="119">
      <formula>LEN(TRIM(D43))=0</formula>
    </cfRule>
    <cfRule type="notContainsBlanks" dxfId="67" priority="120">
      <formula>LEN(TRIM(D43))&gt;0</formula>
    </cfRule>
  </conditionalFormatting>
  <conditionalFormatting sqref="D204 D206 D208:D212">
    <cfRule type="expression" dxfId="66" priority="14" stopIfTrue="1">
      <formula>OR((ccm_result="Excluded"),AND((intelligent_operations_result="Excluded")))</formula>
    </cfRule>
  </conditionalFormatting>
  <conditionalFormatting sqref="D214">
    <cfRule type="expression" dxfId="65" priority="13" stopIfTrue="1">
      <formula>ccm_result="Excluded"</formula>
    </cfRule>
  </conditionalFormatting>
  <conditionalFormatting sqref="E9 G9">
    <cfRule type="notContainsBlanks" dxfId="64" priority="4">
      <formula>LEN(TRIM(E9))&gt;0</formula>
    </cfRule>
    <cfRule type="containsBlanks" dxfId="63" priority="5">
      <formula>LEN(TRIM(E9))=0</formula>
    </cfRule>
  </conditionalFormatting>
  <conditionalFormatting sqref="F11:G12">
    <cfRule type="notContainsBlanks" dxfId="62" priority="2">
      <formula>LEN(TRIM(F11))&gt;0</formula>
    </cfRule>
    <cfRule type="containsBlanks" dxfId="61" priority="3">
      <formula>LEN(TRIM(F11))=0</formula>
    </cfRule>
  </conditionalFormatting>
  <dataValidations count="2">
    <dataValidation type="list" allowBlank="1" showInputMessage="1" showErrorMessage="1" sqref="C21:D21" xr:uid="{D0291D4F-CAC3-8249-BB23-83660C8D63EF}">
      <formula1>aws_regions</formula1>
    </dataValidation>
    <dataValidation type="list" allowBlank="1" showInputMessage="1" showErrorMessage="1" sqref="C15:D15" xr:uid="{4BEA9190-F800-344C-9020-B8C55E48864B}">
      <formula1>"Standard,Consolidated"</formula1>
    </dataValidation>
  </dataValidations>
  <hyperlinks>
    <hyperlink ref="B5" location="'Deployment Options'!H50" display="Section Navigation (Click to Navigate)" xr:uid="{00000000-0004-0000-1700-000000000000}"/>
    <hyperlink ref="C5" location="'Cross Cloud Mobility'!B8" display="Deployment" xr:uid="{00000000-0004-0000-1700-000001000000}"/>
    <hyperlink ref="D5" location="'Cross Cloud Mobility'!B169" display="Solution Interoperability" xr:uid="{00000000-0004-0000-1700-000002000000}"/>
    <hyperlink ref="C52" r:id="rId1" display="mailto:svc-cbo-vsphere@sfo.rainpole.io" xr:uid="{00000000-0004-0000-1700-000003000000}"/>
  </hyperlinks>
  <pageMargins left="0.7" right="0.7" top="0.75" bottom="0.75" header="0.3" footer="0.3"/>
  <ignoredErrors>
    <ignoredError sqref="C191:D191" formula="1"/>
  </ignoredErrors>
  <drawing r:id="rId2"/>
  <extLst>
    <ext xmlns:x14="http://schemas.microsoft.com/office/spreadsheetml/2009/9/main" uri="{78C0D931-6437-407d-A8EE-F0AAD7539E65}">
      <x14:conditionalFormattings>
        <x14:conditionalFormatting xmlns:xm="http://schemas.microsoft.com/office/excel/2006/main">
          <x14:cfRule type="containsText" priority="46" operator="containsText" id="{473708CE-319C-4445-90AC-CEDFF3CEA615}">
            <xm:f>NOT(ISERROR(SEARCH("Value Missing",D43)))</xm:f>
            <xm:f>"Value Missing"</xm:f>
            <x14:dxf>
              <font>
                <color theme="1"/>
              </font>
              <fill>
                <patternFill>
                  <bgColor rgb="FFFFBE29"/>
                </patternFill>
              </fill>
            </x14:dxf>
          </x14:cfRule>
          <xm:sqref>D43 D45:D46 D48 D50:D53 D55 D57:D59 D61 D63:D66 D68 D70:D71 D73 D75:D82 D84 D86:D92 D94 D96:D97 D99 D101:D129 D131 D133:D134 D136 D138:D140 D142 D144:D150 D152 D154:D157 D159 D161:D179 D181 D183:D193 D195 D197:D200 D216 D218:D223 D225 D227:D229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54A8-D8D4-7945-8EB2-EE7D4CA78AF4}">
  <sheetPr codeName="Sheet17">
    <tabColor theme="5" tint="0.39997558519241921"/>
  </sheetPr>
  <dimension ref="A1:K112"/>
  <sheetViews>
    <sheetView showGridLines="0" topLeftCell="B1" zoomScaleNormal="100" workbookViewId="0">
      <pane ySplit="4" topLeftCell="A6" activePane="bottomLeft" state="frozen"/>
      <selection pane="bottomLeft" activeCell="E48" sqref="E48"/>
    </sheetView>
  </sheetViews>
  <sheetFormatPr baseColWidth="10" defaultColWidth="10.83203125" defaultRowHeight="16" x14ac:dyDescent="0.2"/>
  <cols>
    <col min="1" max="1" width="2.83203125" style="2" customWidth="1"/>
    <col min="2" max="2" width="65.83203125" style="2" customWidth="1"/>
    <col min="3" max="3" width="23.83203125" style="2" bestFit="1" customWidth="1"/>
    <col min="4" max="4" width="50.1640625" style="2" customWidth="1"/>
    <col min="5" max="5" width="44.33203125" style="2" bestFit="1" customWidth="1"/>
    <col min="6" max="6" width="49.5" style="2" customWidth="1"/>
    <col min="7" max="7" width="52.6640625" style="2" bestFit="1" customWidth="1"/>
    <col min="8" max="8" width="61.1640625" style="2" bestFit="1" customWidth="1"/>
    <col min="9" max="9" width="66.5" style="2" bestFit="1" customWidth="1"/>
    <col min="10" max="10" width="10.83203125" style="3" customWidth="1"/>
    <col min="11" max="14" width="10.83203125" style="2" customWidth="1"/>
    <col min="15" max="16384" width="10.83203125" style="2"/>
  </cols>
  <sheetData>
    <row r="1" spans="1:11" x14ac:dyDescent="0.2">
      <c r="A1" s="1"/>
      <c r="J1" s="2"/>
    </row>
    <row r="2" spans="1:11" ht="54" customHeight="1" x14ac:dyDescent="0.2">
      <c r="B2" s="430" t="s">
        <v>3183</v>
      </c>
      <c r="C2" s="430"/>
      <c r="D2" s="430"/>
      <c r="E2" s="430"/>
      <c r="F2" s="430"/>
      <c r="G2" s="430"/>
      <c r="H2" s="244"/>
      <c r="I2" s="244"/>
      <c r="J2" s="244"/>
      <c r="K2" s="244"/>
    </row>
    <row r="3" spans="1:11" ht="20" customHeight="1" x14ac:dyDescent="0.2">
      <c r="B3" s="51" t="s">
        <v>3184</v>
      </c>
      <c r="C3" s="51"/>
      <c r="D3" s="51"/>
      <c r="E3" s="51"/>
      <c r="F3" s="51"/>
      <c r="G3" s="51"/>
      <c r="H3" s="21"/>
      <c r="I3" s="21"/>
      <c r="J3" s="21"/>
      <c r="K3" s="21"/>
    </row>
    <row r="5" spans="1:11" ht="16" customHeight="1" x14ac:dyDescent="0.2"/>
    <row r="6" spans="1:11" s="125" customFormat="1" ht="34" customHeight="1" x14ac:dyDescent="0.2">
      <c r="B6" s="435" t="s">
        <v>3185</v>
      </c>
      <c r="C6" s="435"/>
      <c r="D6" s="435"/>
      <c r="E6" s="435"/>
      <c r="F6" s="435"/>
      <c r="G6" s="435"/>
      <c r="H6" s="2"/>
      <c r="J6" s="287"/>
    </row>
    <row r="7" spans="1:11" ht="20" customHeight="1" x14ac:dyDescent="0.2">
      <c r="B7" s="63" t="s">
        <v>3186</v>
      </c>
      <c r="C7" s="63" t="s">
        <v>2351</v>
      </c>
      <c r="D7" s="63" t="s">
        <v>3187</v>
      </c>
      <c r="E7" s="119" t="s">
        <v>3188</v>
      </c>
      <c r="F7" s="63" t="s">
        <v>3189</v>
      </c>
      <c r="G7" s="288"/>
    </row>
    <row r="8" spans="1:11" ht="20" customHeight="1" x14ac:dyDescent="0.2">
      <c r="B8" s="4" t="s">
        <v>3190</v>
      </c>
      <c r="C8" s="103" t="s">
        <v>1617</v>
      </c>
      <c r="E8" s="66"/>
      <c r="F8" s="103" t="s">
        <v>3191</v>
      </c>
      <c r="G8" s="66"/>
    </row>
    <row r="9" spans="1:11" s="249" customFormat="1" ht="20" customHeight="1" x14ac:dyDescent="0.2">
      <c r="B9" s="4" t="s">
        <v>3192</v>
      </c>
      <c r="C9" s="103" t="s">
        <v>1622</v>
      </c>
      <c r="E9" s="290"/>
      <c r="F9" s="289" t="str">
        <f>(UPPER(this_instance))</f>
        <v>SFO</v>
      </c>
      <c r="G9" s="290"/>
      <c r="J9" s="235"/>
    </row>
    <row r="10" spans="1:11" ht="20" customHeight="1" x14ac:dyDescent="0.2">
      <c r="B10" s="4" t="s">
        <v>3193</v>
      </c>
      <c r="C10" s="103" t="s">
        <v>1617</v>
      </c>
      <c r="D10" s="103" t="s">
        <v>3194</v>
      </c>
      <c r="E10" s="157"/>
      <c r="F10" s="103" t="s">
        <v>3195</v>
      </c>
      <c r="G10" s="157"/>
    </row>
    <row r="11" spans="1:11" ht="20" customHeight="1" x14ac:dyDescent="0.2">
      <c r="B11" s="4" t="s">
        <v>3196</v>
      </c>
      <c r="C11" s="103" t="s">
        <v>1622</v>
      </c>
      <c r="D11" s="103" t="str">
        <f>CONCATENATE("ou=Security Groups,dc=",this_instance,",dc=rainpole,dc=io")</f>
        <v>ou=Security Groups,dc=sfo,dc=rainpole,dc=io</v>
      </c>
      <c r="E11" s="66"/>
      <c r="F11" s="103" t="str">
        <f>CONCATENATE("ou=Security Users,dc=",this_instance,",dc=rainpole,dc=io")</f>
        <v>ou=Security Users,dc=sfo,dc=rainpole,dc=io</v>
      </c>
      <c r="G11" s="66"/>
    </row>
    <row r="12" spans="1:11" ht="16" customHeight="1" x14ac:dyDescent="0.2"/>
    <row r="13" spans="1:11" ht="34" customHeight="1" x14ac:dyDescent="0.2">
      <c r="B13" s="427" t="s">
        <v>3197</v>
      </c>
      <c r="C13" s="428"/>
      <c r="D13" s="428"/>
      <c r="E13" s="428"/>
      <c r="F13" s="428"/>
      <c r="G13" s="429"/>
    </row>
    <row r="14" spans="1:11" ht="20" customHeight="1" x14ac:dyDescent="0.2">
      <c r="B14" s="513" t="s">
        <v>2349</v>
      </c>
      <c r="C14" s="514"/>
      <c r="D14" s="514"/>
      <c r="E14" s="514"/>
      <c r="F14" s="514"/>
      <c r="G14" s="515"/>
      <c r="J14" s="2"/>
    </row>
    <row r="15" spans="1:11" ht="20" customHeight="1" x14ac:dyDescent="0.2">
      <c r="B15" s="63" t="s">
        <v>3186</v>
      </c>
      <c r="C15" s="63" t="s">
        <v>2351</v>
      </c>
      <c r="D15" s="63" t="s">
        <v>3198</v>
      </c>
      <c r="E15" s="119" t="s">
        <v>3199</v>
      </c>
      <c r="F15" s="63" t="s">
        <v>3200</v>
      </c>
      <c r="G15" s="119" t="s">
        <v>3201</v>
      </c>
    </row>
    <row r="16" spans="1:11" ht="20" customHeight="1" x14ac:dyDescent="0.2">
      <c r="B16" s="513" t="s">
        <v>3202</v>
      </c>
      <c r="C16" s="514"/>
      <c r="D16" s="514"/>
      <c r="E16" s="514"/>
      <c r="F16" s="514"/>
      <c r="G16" s="515"/>
      <c r="J16" s="2"/>
    </row>
    <row r="17" spans="2:10" ht="20" customHeight="1" x14ac:dyDescent="0.2">
      <c r="B17" s="63" t="s">
        <v>3186</v>
      </c>
      <c r="C17" s="63" t="s">
        <v>2351</v>
      </c>
      <c r="D17" s="63" t="s">
        <v>3198</v>
      </c>
      <c r="E17" s="119" t="s">
        <v>3199</v>
      </c>
      <c r="F17" s="63" t="s">
        <v>3200</v>
      </c>
      <c r="G17" s="119" t="s">
        <v>3201</v>
      </c>
    </row>
    <row r="18" spans="2:10" ht="20" customHeight="1" x14ac:dyDescent="0.2">
      <c r="B18" s="4" t="s">
        <v>3203</v>
      </c>
      <c r="C18" s="103" t="s">
        <v>1622</v>
      </c>
      <c r="D18" s="103" t="s">
        <v>1803</v>
      </c>
      <c r="E18" s="157"/>
      <c r="F18" s="166" t="s">
        <v>31</v>
      </c>
      <c r="G18" s="66"/>
      <c r="J18" s="2"/>
    </row>
    <row r="19" spans="2:10" ht="20" customHeight="1" x14ac:dyDescent="0.2">
      <c r="B19" s="4" t="s">
        <v>3204</v>
      </c>
      <c r="C19" s="103" t="s">
        <v>1622</v>
      </c>
      <c r="D19" s="103" t="s">
        <v>3205</v>
      </c>
      <c r="E19" s="157"/>
      <c r="F19" s="166" t="s">
        <v>31</v>
      </c>
      <c r="G19" s="66"/>
      <c r="J19" s="2"/>
    </row>
    <row r="20" spans="2:10" ht="16" customHeight="1" x14ac:dyDescent="0.2"/>
    <row r="21" spans="2:10" ht="34" customHeight="1" x14ac:dyDescent="0.2">
      <c r="B21" s="427" t="s">
        <v>3206</v>
      </c>
      <c r="C21" s="428"/>
      <c r="D21" s="428"/>
      <c r="E21" s="428"/>
      <c r="F21" s="428"/>
      <c r="G21" s="429"/>
    </row>
    <row r="22" spans="2:10" ht="20" customHeight="1" x14ac:dyDescent="0.2">
      <c r="B22" s="513" t="s">
        <v>3207</v>
      </c>
      <c r="C22" s="514"/>
      <c r="D22" s="514"/>
      <c r="E22" s="514"/>
      <c r="F22" s="514"/>
      <c r="G22" s="515"/>
      <c r="J22" s="2"/>
    </row>
    <row r="23" spans="2:10" ht="20" customHeight="1" x14ac:dyDescent="0.2">
      <c r="B23" s="63" t="s">
        <v>3186</v>
      </c>
      <c r="C23" s="63" t="s">
        <v>2351</v>
      </c>
      <c r="D23" s="63" t="s">
        <v>3198</v>
      </c>
      <c r="E23" s="119" t="s">
        <v>3199</v>
      </c>
      <c r="F23" s="63" t="s">
        <v>3200</v>
      </c>
      <c r="G23" s="119" t="s">
        <v>3201</v>
      </c>
    </row>
    <row r="24" spans="2:10" ht="20" customHeight="1" x14ac:dyDescent="0.2">
      <c r="B24" s="4" t="s">
        <v>3208</v>
      </c>
      <c r="C24" s="103" t="s">
        <v>1622</v>
      </c>
      <c r="D24" s="103" t="s">
        <v>3209</v>
      </c>
      <c r="E24" s="66"/>
      <c r="F24" s="166" t="s">
        <v>31</v>
      </c>
      <c r="G24" s="66"/>
    </row>
    <row r="25" spans="2:10" ht="20" customHeight="1" x14ac:dyDescent="0.2">
      <c r="B25" s="513" t="s">
        <v>3210</v>
      </c>
      <c r="C25" s="514"/>
      <c r="D25" s="514"/>
      <c r="E25" s="514"/>
      <c r="F25" s="514"/>
      <c r="G25" s="515"/>
    </row>
    <row r="26" spans="2:10" ht="20" customHeight="1" x14ac:dyDescent="0.2">
      <c r="B26" s="63" t="s">
        <v>3186</v>
      </c>
      <c r="C26" s="63" t="s">
        <v>2351</v>
      </c>
      <c r="D26" s="63" t="s">
        <v>3198</v>
      </c>
      <c r="E26" s="119" t="s">
        <v>3199</v>
      </c>
      <c r="F26" s="63" t="s">
        <v>3200</v>
      </c>
      <c r="G26" s="119" t="s">
        <v>3201</v>
      </c>
    </row>
    <row r="27" spans="2:10" ht="20" customHeight="1" x14ac:dyDescent="0.2">
      <c r="B27" s="4" t="s">
        <v>3211</v>
      </c>
      <c r="C27" s="103" t="s">
        <v>1622</v>
      </c>
      <c r="D27" s="103" t="s">
        <v>3212</v>
      </c>
      <c r="E27" s="66"/>
      <c r="F27" s="166" t="s">
        <v>31</v>
      </c>
      <c r="G27" s="66"/>
      <c r="H27" s="2" t="s">
        <v>3213</v>
      </c>
      <c r="J27" s="2"/>
    </row>
    <row r="28" spans="2:10" ht="20" customHeight="1" x14ac:dyDescent="0.2">
      <c r="B28" s="4" t="s">
        <v>3214</v>
      </c>
      <c r="C28" s="103" t="s">
        <v>1622</v>
      </c>
      <c r="D28" s="103" t="s">
        <v>3215</v>
      </c>
      <c r="E28" s="66"/>
      <c r="F28" s="166" t="s">
        <v>31</v>
      </c>
      <c r="G28" s="66"/>
      <c r="H28" s="2" t="s">
        <v>3213</v>
      </c>
      <c r="J28" s="2"/>
    </row>
    <row r="29" spans="2:10" ht="20" customHeight="1" x14ac:dyDescent="0.2">
      <c r="B29" s="4" t="s">
        <v>3216</v>
      </c>
      <c r="C29" s="103" t="s">
        <v>1622</v>
      </c>
      <c r="D29" s="103" t="s">
        <v>3217</v>
      </c>
      <c r="E29" s="66"/>
      <c r="F29" s="166" t="s">
        <v>31</v>
      </c>
      <c r="G29" s="66"/>
      <c r="H29" s="2" t="s">
        <v>3213</v>
      </c>
      <c r="J29" s="2"/>
    </row>
    <row r="30" spans="2:10" ht="20" customHeight="1" x14ac:dyDescent="0.2">
      <c r="B30" s="513" t="s">
        <v>3218</v>
      </c>
      <c r="C30" s="514"/>
      <c r="D30" s="514"/>
      <c r="E30" s="514"/>
      <c r="F30" s="514"/>
      <c r="G30" s="515"/>
      <c r="J30" s="2"/>
    </row>
    <row r="31" spans="2:10" ht="20" customHeight="1" x14ac:dyDescent="0.2">
      <c r="B31" s="63" t="s">
        <v>3186</v>
      </c>
      <c r="C31" s="63" t="s">
        <v>2351</v>
      </c>
      <c r="D31" s="63" t="s">
        <v>3198</v>
      </c>
      <c r="E31" s="119" t="s">
        <v>3199</v>
      </c>
      <c r="F31" s="63" t="s">
        <v>3200</v>
      </c>
      <c r="G31" s="119" t="s">
        <v>3201</v>
      </c>
    </row>
    <row r="32" spans="2:10" ht="20" customHeight="1" x14ac:dyDescent="0.2">
      <c r="B32" s="4" t="s">
        <v>3219</v>
      </c>
      <c r="C32" s="103" t="s">
        <v>1622</v>
      </c>
      <c r="D32" s="103" t="s">
        <v>3220</v>
      </c>
      <c r="E32" s="157"/>
      <c r="F32" s="166" t="s">
        <v>31</v>
      </c>
      <c r="G32" s="66"/>
    </row>
    <row r="33" spans="2:10" ht="20" customHeight="1" x14ac:dyDescent="0.2">
      <c r="B33" s="4" t="s">
        <v>3221</v>
      </c>
      <c r="C33" s="103" t="s">
        <v>1622</v>
      </c>
      <c r="D33" s="103" t="s">
        <v>3222</v>
      </c>
      <c r="E33" s="157"/>
      <c r="F33" s="166" t="s">
        <v>31</v>
      </c>
      <c r="G33" s="66"/>
      <c r="J33" s="2"/>
    </row>
    <row r="34" spans="2:10" ht="20" customHeight="1" x14ac:dyDescent="0.2">
      <c r="B34" s="4" t="s">
        <v>3223</v>
      </c>
      <c r="C34" s="103" t="s">
        <v>1622</v>
      </c>
      <c r="D34" s="103" t="s">
        <v>3224</v>
      </c>
      <c r="E34" s="157"/>
      <c r="F34" s="166" t="s">
        <v>31</v>
      </c>
      <c r="G34" s="66"/>
      <c r="J34" s="2"/>
    </row>
    <row r="35" spans="2:10" ht="20" customHeight="1" x14ac:dyDescent="0.2">
      <c r="B35" s="513" t="s">
        <v>3225</v>
      </c>
      <c r="C35" s="514"/>
      <c r="D35" s="514"/>
      <c r="E35" s="514"/>
      <c r="F35" s="514"/>
      <c r="G35" s="515"/>
      <c r="J35" s="2"/>
    </row>
    <row r="36" spans="2:10" ht="20" customHeight="1" x14ac:dyDescent="0.2">
      <c r="B36" s="63" t="s">
        <v>3186</v>
      </c>
      <c r="C36" s="63" t="s">
        <v>2351</v>
      </c>
      <c r="D36" s="63" t="s">
        <v>3198</v>
      </c>
      <c r="E36" s="119" t="s">
        <v>3199</v>
      </c>
      <c r="F36" s="63" t="s">
        <v>3200</v>
      </c>
      <c r="G36" s="119" t="s">
        <v>3201</v>
      </c>
      <c r="J36" s="2"/>
    </row>
    <row r="37" spans="2:10" ht="20" customHeight="1" x14ac:dyDescent="0.2">
      <c r="B37" s="4"/>
      <c r="C37" s="103" t="s">
        <v>1622</v>
      </c>
      <c r="D37" s="103" t="s">
        <v>3226</v>
      </c>
      <c r="E37" s="157"/>
      <c r="F37" s="166" t="s">
        <v>31</v>
      </c>
      <c r="G37" s="66"/>
      <c r="J37" s="2"/>
    </row>
    <row r="38" spans="2:10" ht="20" customHeight="1" x14ac:dyDescent="0.2">
      <c r="B38" s="4"/>
      <c r="C38" s="103" t="s">
        <v>1622</v>
      </c>
      <c r="D38" s="103" t="s">
        <v>3227</v>
      </c>
      <c r="E38" s="157"/>
      <c r="F38" s="166" t="s">
        <v>31</v>
      </c>
      <c r="G38" s="66"/>
      <c r="J38" s="2"/>
    </row>
    <row r="39" spans="2:10" ht="20" customHeight="1" x14ac:dyDescent="0.2">
      <c r="B39" s="4"/>
      <c r="C39" s="103" t="s">
        <v>1622</v>
      </c>
      <c r="D39" s="103" t="s">
        <v>3228</v>
      </c>
      <c r="E39" s="157"/>
      <c r="F39" s="166" t="s">
        <v>31</v>
      </c>
      <c r="G39" s="66"/>
    </row>
    <row r="40" spans="2:10" ht="20" customHeight="1" x14ac:dyDescent="0.2">
      <c r="B40" s="4"/>
      <c r="C40" s="166" t="s">
        <v>1622</v>
      </c>
      <c r="D40" s="103" t="s">
        <v>3229</v>
      </c>
      <c r="E40" s="157"/>
      <c r="F40" s="166" t="s">
        <v>31</v>
      </c>
      <c r="G40" s="66"/>
    </row>
    <row r="41" spans="2:10" ht="20" customHeight="1" x14ac:dyDescent="0.2">
      <c r="B41" s="4"/>
      <c r="C41" s="166" t="s">
        <v>1622</v>
      </c>
      <c r="D41" s="103" t="s">
        <v>3230</v>
      </c>
      <c r="E41" s="157"/>
      <c r="F41" s="166" t="s">
        <v>31</v>
      </c>
      <c r="G41" s="66"/>
    </row>
    <row r="42" spans="2:10" ht="20" customHeight="1" x14ac:dyDescent="0.2">
      <c r="B42" s="513" t="s">
        <v>3231</v>
      </c>
      <c r="C42" s="514"/>
      <c r="D42" s="514"/>
      <c r="E42" s="514"/>
      <c r="F42" s="514"/>
      <c r="G42" s="515"/>
    </row>
    <row r="43" spans="2:10" ht="20" customHeight="1" x14ac:dyDescent="0.2">
      <c r="B43" s="63" t="s">
        <v>3186</v>
      </c>
      <c r="C43" s="63" t="s">
        <v>2351</v>
      </c>
      <c r="D43" s="63" t="s">
        <v>3198</v>
      </c>
      <c r="E43" s="119" t="s">
        <v>3199</v>
      </c>
      <c r="F43" s="63" t="s">
        <v>3200</v>
      </c>
      <c r="G43" s="119" t="s">
        <v>3201</v>
      </c>
    </row>
    <row r="44" spans="2:10" ht="20" customHeight="1" x14ac:dyDescent="0.2">
      <c r="B44" s="4" t="s">
        <v>3232</v>
      </c>
      <c r="C44" s="103" t="s">
        <v>1622</v>
      </c>
      <c r="D44" s="103" t="s">
        <v>3233</v>
      </c>
      <c r="E44" s="157"/>
      <c r="F44" s="166" t="s">
        <v>31</v>
      </c>
      <c r="G44" s="66"/>
    </row>
    <row r="45" spans="2:10" ht="20" customHeight="1" x14ac:dyDescent="0.2">
      <c r="B45" s="4" t="s">
        <v>3234</v>
      </c>
      <c r="C45" s="103" t="s">
        <v>1622</v>
      </c>
      <c r="D45" s="103" t="s">
        <v>3235</v>
      </c>
      <c r="E45" s="157"/>
      <c r="F45" s="166" t="s">
        <v>31</v>
      </c>
      <c r="G45" s="66"/>
    </row>
    <row r="46" spans="2:10" ht="20" customHeight="1" x14ac:dyDescent="0.2">
      <c r="B46" s="513" t="s">
        <v>3098</v>
      </c>
      <c r="C46" s="514"/>
      <c r="D46" s="514"/>
      <c r="E46" s="514"/>
      <c r="F46" s="514"/>
      <c r="G46" s="515"/>
    </row>
    <row r="47" spans="2:10" ht="20" customHeight="1" x14ac:dyDescent="0.2">
      <c r="B47" s="63" t="s">
        <v>3186</v>
      </c>
      <c r="C47" s="63" t="s">
        <v>2351</v>
      </c>
      <c r="D47" s="63" t="s">
        <v>3198</v>
      </c>
      <c r="E47" s="119" t="s">
        <v>3199</v>
      </c>
      <c r="F47" s="63" t="s">
        <v>3200</v>
      </c>
      <c r="G47" s="119" t="s">
        <v>3201</v>
      </c>
    </row>
    <row r="48" spans="2:10" ht="20" customHeight="1" x14ac:dyDescent="0.2">
      <c r="B48" s="4" t="s">
        <v>3236</v>
      </c>
      <c r="C48" s="103" t="s">
        <v>1622</v>
      </c>
      <c r="D48" s="103" t="s">
        <v>3237</v>
      </c>
      <c r="E48" s="157"/>
      <c r="F48" s="166" t="s">
        <v>31</v>
      </c>
      <c r="G48" s="66"/>
    </row>
    <row r="49" spans="2:10" ht="20" customHeight="1" x14ac:dyDescent="0.2">
      <c r="B49" s="4" t="s">
        <v>3238</v>
      </c>
      <c r="C49" s="103" t="s">
        <v>1622</v>
      </c>
      <c r="D49" s="103" t="s">
        <v>3239</v>
      </c>
      <c r="E49" s="157"/>
      <c r="F49" s="166" t="s">
        <v>31</v>
      </c>
      <c r="G49" s="66"/>
    </row>
    <row r="50" spans="2:10" ht="20" customHeight="1" x14ac:dyDescent="0.2"/>
    <row r="51" spans="2:10" ht="34" customHeight="1" x14ac:dyDescent="0.2">
      <c r="B51" s="435" t="s">
        <v>1850</v>
      </c>
      <c r="C51" s="435"/>
      <c r="D51" s="435"/>
      <c r="E51" s="435"/>
      <c r="J51" s="2"/>
    </row>
    <row r="52" spans="2:10" ht="20" customHeight="1" x14ac:dyDescent="0.2">
      <c r="B52" s="704" t="s">
        <v>3240</v>
      </c>
      <c r="C52" s="704"/>
      <c r="D52" s="704"/>
      <c r="E52" s="704"/>
      <c r="J52" s="2"/>
    </row>
    <row r="53" spans="2:10" ht="20" customHeight="1" x14ac:dyDescent="0.2">
      <c r="B53" s="63" t="s">
        <v>3241</v>
      </c>
      <c r="C53" s="63" t="s">
        <v>2351</v>
      </c>
      <c r="D53" s="63" t="s">
        <v>3242</v>
      </c>
      <c r="E53" s="119" t="s">
        <v>3243</v>
      </c>
      <c r="J53" s="2"/>
    </row>
    <row r="54" spans="2:10" ht="20" customHeight="1" x14ac:dyDescent="0.2">
      <c r="B54" s="4" t="s">
        <v>3240</v>
      </c>
      <c r="C54" s="103" t="s">
        <v>1622</v>
      </c>
      <c r="D54" s="103" t="s">
        <v>3244</v>
      </c>
      <c r="E54" s="66"/>
      <c r="J54" s="2"/>
    </row>
    <row r="55" spans="2:10" ht="20" customHeight="1" x14ac:dyDescent="0.2">
      <c r="B55" s="4"/>
      <c r="C55" s="103" t="s">
        <v>1622</v>
      </c>
      <c r="D55" s="103" t="s">
        <v>3245</v>
      </c>
      <c r="E55" s="66"/>
    </row>
    <row r="56" spans="2:10" ht="20" customHeight="1" x14ac:dyDescent="0.2">
      <c r="B56" s="4"/>
      <c r="C56" s="103" t="s">
        <v>1622</v>
      </c>
      <c r="D56" s="103" t="s">
        <v>3246</v>
      </c>
      <c r="E56" s="66"/>
    </row>
    <row r="57" spans="2:10" ht="20" customHeight="1" x14ac:dyDescent="0.2">
      <c r="B57" s="704" t="s">
        <v>3247</v>
      </c>
      <c r="C57" s="704"/>
      <c r="D57" s="704"/>
      <c r="E57" s="704"/>
    </row>
    <row r="58" spans="2:10" ht="20" customHeight="1" x14ac:dyDescent="0.2">
      <c r="B58" s="63" t="s">
        <v>3241</v>
      </c>
      <c r="C58" s="63" t="s">
        <v>2351</v>
      </c>
      <c r="D58" s="63" t="s">
        <v>3242</v>
      </c>
      <c r="E58" s="119" t="s">
        <v>3243</v>
      </c>
    </row>
    <row r="59" spans="2:10" ht="20" customHeight="1" x14ac:dyDescent="0.2">
      <c r="B59" s="4" t="s">
        <v>3248</v>
      </c>
      <c r="C59" s="103" t="s">
        <v>1622</v>
      </c>
      <c r="D59" s="103" t="s">
        <v>3249</v>
      </c>
      <c r="E59" s="66"/>
      <c r="J59" s="2"/>
    </row>
    <row r="60" spans="2:10" ht="20" customHeight="1" x14ac:dyDescent="0.2">
      <c r="B60" s="4"/>
      <c r="C60" s="103" t="s">
        <v>1622</v>
      </c>
      <c r="D60" s="103" t="s">
        <v>3250</v>
      </c>
      <c r="E60" s="66"/>
    </row>
    <row r="61" spans="2:10" ht="20" customHeight="1" x14ac:dyDescent="0.2">
      <c r="B61" s="4"/>
      <c r="C61" s="103" t="s">
        <v>1622</v>
      </c>
      <c r="D61" s="103" t="s">
        <v>3251</v>
      </c>
      <c r="E61" s="66"/>
    </row>
    <row r="62" spans="2:10" ht="20" customHeight="1" x14ac:dyDescent="0.2">
      <c r="B62" s="704" t="s">
        <v>3252</v>
      </c>
      <c r="C62" s="704"/>
      <c r="D62" s="704"/>
      <c r="E62" s="704"/>
    </row>
    <row r="63" spans="2:10" ht="20" customHeight="1" x14ac:dyDescent="0.2">
      <c r="B63" s="63" t="s">
        <v>3241</v>
      </c>
      <c r="C63" s="63" t="s">
        <v>2351</v>
      </c>
      <c r="D63" s="63" t="s">
        <v>3242</v>
      </c>
      <c r="E63" s="119" t="s">
        <v>3243</v>
      </c>
    </row>
    <row r="64" spans="2:10" ht="20" customHeight="1" x14ac:dyDescent="0.2">
      <c r="B64" s="4" t="s">
        <v>1420</v>
      </c>
      <c r="C64" s="103" t="s">
        <v>1622</v>
      </c>
      <c r="D64" s="103" t="s">
        <v>1927</v>
      </c>
      <c r="E64" s="66"/>
      <c r="J64" s="2"/>
    </row>
    <row r="65" spans="2:10" ht="20" customHeight="1" x14ac:dyDescent="0.2">
      <c r="B65" s="4"/>
      <c r="C65" s="103" t="s">
        <v>1622</v>
      </c>
      <c r="D65" s="103" t="s">
        <v>1930</v>
      </c>
      <c r="E65" s="66"/>
    </row>
    <row r="66" spans="2:10" ht="20" customHeight="1" x14ac:dyDescent="0.2">
      <c r="B66" s="4"/>
      <c r="C66" s="103" t="s">
        <v>1622</v>
      </c>
      <c r="D66" s="103" t="s">
        <v>1933</v>
      </c>
      <c r="E66" s="66"/>
    </row>
    <row r="67" spans="2:10" ht="20" customHeight="1" x14ac:dyDescent="0.2">
      <c r="B67" s="4" t="s">
        <v>1415</v>
      </c>
      <c r="C67" s="103" t="s">
        <v>1622</v>
      </c>
      <c r="D67" s="103" t="s">
        <v>1934</v>
      </c>
      <c r="E67" s="66"/>
    </row>
    <row r="68" spans="2:10" ht="20" customHeight="1" x14ac:dyDescent="0.2">
      <c r="B68" s="4"/>
      <c r="C68" s="103" t="s">
        <v>1622</v>
      </c>
      <c r="D68" s="103" t="s">
        <v>1937</v>
      </c>
      <c r="E68" s="66"/>
    </row>
    <row r="69" spans="2:10" ht="20" customHeight="1" x14ac:dyDescent="0.2">
      <c r="B69" s="4"/>
      <c r="C69" s="103" t="s">
        <v>1622</v>
      </c>
      <c r="D69" s="103" t="s">
        <v>1939</v>
      </c>
      <c r="E69" s="66"/>
    </row>
    <row r="70" spans="2:10" ht="20" customHeight="1" x14ac:dyDescent="0.2">
      <c r="B70" s="4" t="s">
        <v>1914</v>
      </c>
      <c r="C70" s="103" t="s">
        <v>1622</v>
      </c>
      <c r="D70" s="103" t="s">
        <v>1942</v>
      </c>
      <c r="E70" s="66"/>
    </row>
    <row r="71" spans="2:10" ht="20" customHeight="1" x14ac:dyDescent="0.2">
      <c r="B71" s="4"/>
      <c r="C71" s="103" t="s">
        <v>1622</v>
      </c>
      <c r="D71" s="103" t="s">
        <v>1945</v>
      </c>
      <c r="E71" s="66"/>
    </row>
    <row r="72" spans="2:10" ht="20" customHeight="1" x14ac:dyDescent="0.2">
      <c r="B72" s="4"/>
      <c r="C72" s="103" t="s">
        <v>1622</v>
      </c>
      <c r="D72" s="103" t="s">
        <v>1948</v>
      </c>
      <c r="E72" s="66"/>
    </row>
    <row r="73" spans="2:10" ht="20" customHeight="1" x14ac:dyDescent="0.2">
      <c r="B73" s="513" t="s">
        <v>3253</v>
      </c>
      <c r="C73" s="455"/>
      <c r="D73" s="455"/>
      <c r="E73" s="455"/>
    </row>
    <row r="74" spans="2:10" ht="20" customHeight="1" x14ac:dyDescent="0.2">
      <c r="B74" s="63" t="s">
        <v>3241</v>
      </c>
      <c r="C74" s="63" t="s">
        <v>2351</v>
      </c>
      <c r="D74" s="63" t="s">
        <v>3242</v>
      </c>
      <c r="E74" s="119" t="s">
        <v>3243</v>
      </c>
    </row>
    <row r="75" spans="2:10" ht="20" customHeight="1" x14ac:dyDescent="0.2">
      <c r="B75" s="4" t="s">
        <v>3254</v>
      </c>
      <c r="C75" s="103" t="s">
        <v>1622</v>
      </c>
      <c r="D75" s="103" t="s">
        <v>3255</v>
      </c>
      <c r="E75" s="157"/>
    </row>
    <row r="76" spans="2:10" ht="20" customHeight="1" x14ac:dyDescent="0.2">
      <c r="B76" s="8"/>
      <c r="C76" s="103" t="s">
        <v>1622</v>
      </c>
      <c r="D76" s="103" t="s">
        <v>3256</v>
      </c>
      <c r="E76" s="157"/>
      <c r="G76" s="3"/>
    </row>
    <row r="77" spans="2:10" ht="20" customHeight="1" x14ac:dyDescent="0.2">
      <c r="B77" s="513" t="s">
        <v>3207</v>
      </c>
      <c r="C77" s="455"/>
      <c r="D77" s="455"/>
      <c r="E77" s="456"/>
      <c r="G77" s="3"/>
      <c r="J77" s="2"/>
    </row>
    <row r="78" spans="2:10" ht="20" customHeight="1" x14ac:dyDescent="0.2">
      <c r="B78" s="63" t="s">
        <v>3241</v>
      </c>
      <c r="C78" s="63" t="s">
        <v>2351</v>
      </c>
      <c r="D78" s="63" t="s">
        <v>3242</v>
      </c>
      <c r="E78" s="119" t="s">
        <v>3243</v>
      </c>
      <c r="G78" s="3"/>
    </row>
    <row r="79" spans="2:10" ht="20" customHeight="1" x14ac:dyDescent="0.2">
      <c r="B79" s="4" t="s">
        <v>3257</v>
      </c>
      <c r="C79" s="103" t="s">
        <v>1622</v>
      </c>
      <c r="D79" s="103" t="s">
        <v>3258</v>
      </c>
      <c r="E79" s="66"/>
    </row>
    <row r="80" spans="2:10" ht="20" customHeight="1" x14ac:dyDescent="0.2">
      <c r="B80" s="4"/>
      <c r="C80" s="103" t="s">
        <v>1622</v>
      </c>
      <c r="D80" s="103" t="s">
        <v>3259</v>
      </c>
      <c r="E80" s="66"/>
    </row>
    <row r="81" spans="2:10" ht="20" customHeight="1" x14ac:dyDescent="0.2">
      <c r="B81" s="4"/>
      <c r="C81" s="103" t="s">
        <v>1622</v>
      </c>
      <c r="D81" s="103" t="s">
        <v>3260</v>
      </c>
      <c r="E81" s="66"/>
    </row>
    <row r="82" spans="2:10" ht="20" customHeight="1" x14ac:dyDescent="0.2">
      <c r="B82" s="513" t="s">
        <v>3210</v>
      </c>
      <c r="C82" s="455"/>
      <c r="D82" s="455"/>
      <c r="E82" s="456"/>
    </row>
    <row r="83" spans="2:10" ht="20" customHeight="1" x14ac:dyDescent="0.2">
      <c r="B83" s="63" t="s">
        <v>3241</v>
      </c>
      <c r="C83" s="63" t="s">
        <v>2351</v>
      </c>
      <c r="D83" s="63" t="s">
        <v>3242</v>
      </c>
      <c r="E83" s="119" t="s">
        <v>3243</v>
      </c>
    </row>
    <row r="84" spans="2:10" ht="20" customHeight="1" x14ac:dyDescent="0.2">
      <c r="B84" s="4" t="s">
        <v>3261</v>
      </c>
      <c r="C84" s="103" t="s">
        <v>1622</v>
      </c>
      <c r="D84" s="103" t="s">
        <v>3262</v>
      </c>
      <c r="E84" s="66"/>
    </row>
    <row r="85" spans="2:10" ht="20" customHeight="1" x14ac:dyDescent="0.2">
      <c r="B85" s="4"/>
      <c r="C85" s="103" t="s">
        <v>1622</v>
      </c>
      <c r="D85" s="103" t="s">
        <v>3263</v>
      </c>
      <c r="E85" s="66"/>
    </row>
    <row r="86" spans="2:10" ht="20" customHeight="1" x14ac:dyDescent="0.2">
      <c r="B86" s="4"/>
      <c r="C86" s="103" t="s">
        <v>1622</v>
      </c>
      <c r="D86" s="103" t="s">
        <v>3264</v>
      </c>
      <c r="E86" s="66"/>
      <c r="J86" s="2"/>
    </row>
    <row r="87" spans="2:10" ht="20" customHeight="1" x14ac:dyDescent="0.2">
      <c r="B87" s="513" t="s">
        <v>3218</v>
      </c>
      <c r="C87" s="455"/>
      <c r="D87" s="455"/>
      <c r="E87" s="456"/>
    </row>
    <row r="88" spans="2:10" ht="20" customHeight="1" x14ac:dyDescent="0.2">
      <c r="B88" s="63" t="s">
        <v>3241</v>
      </c>
      <c r="C88" s="63" t="s">
        <v>2351</v>
      </c>
      <c r="D88" s="63" t="s">
        <v>3242</v>
      </c>
      <c r="E88" s="119" t="s">
        <v>3243</v>
      </c>
      <c r="I88" s="3"/>
    </row>
    <row r="89" spans="2:10" ht="20" customHeight="1" x14ac:dyDescent="0.2">
      <c r="B89" s="4" t="s">
        <v>3265</v>
      </c>
      <c r="C89" s="103" t="s">
        <v>1622</v>
      </c>
      <c r="D89" s="103" t="s">
        <v>3266</v>
      </c>
      <c r="E89" s="66"/>
    </row>
    <row r="90" spans="2:10" ht="20" customHeight="1" x14ac:dyDescent="0.2">
      <c r="B90" s="4"/>
      <c r="C90" s="103" t="s">
        <v>1622</v>
      </c>
      <c r="D90" s="103" t="s">
        <v>3267</v>
      </c>
      <c r="E90" s="66"/>
    </row>
    <row r="91" spans="2:10" ht="20" customHeight="1" x14ac:dyDescent="0.2">
      <c r="B91" s="4"/>
      <c r="C91" s="103" t="s">
        <v>1622</v>
      </c>
      <c r="D91" s="103" t="s">
        <v>3268</v>
      </c>
      <c r="E91" s="66"/>
      <c r="J91" s="2"/>
    </row>
    <row r="92" spans="2:10" ht="20" customHeight="1" x14ac:dyDescent="0.2">
      <c r="B92" s="513" t="s">
        <v>3225</v>
      </c>
      <c r="C92" s="455"/>
      <c r="D92" s="455"/>
      <c r="E92" s="456"/>
    </row>
    <row r="93" spans="2:10" ht="20" customHeight="1" x14ac:dyDescent="0.2">
      <c r="B93" s="63" t="s">
        <v>3241</v>
      </c>
      <c r="C93" s="63" t="s">
        <v>2351</v>
      </c>
      <c r="D93" s="63" t="s">
        <v>3242</v>
      </c>
      <c r="E93" s="119" t="s">
        <v>3243</v>
      </c>
    </row>
    <row r="94" spans="2:10" ht="20" customHeight="1" x14ac:dyDescent="0.2">
      <c r="B94" s="4" t="s">
        <v>3269</v>
      </c>
      <c r="C94" s="103" t="s">
        <v>1622</v>
      </c>
      <c r="D94" s="103" t="s">
        <v>3270</v>
      </c>
      <c r="E94" s="66"/>
    </row>
    <row r="95" spans="2:10" ht="20" customHeight="1" x14ac:dyDescent="0.2">
      <c r="B95" s="4"/>
      <c r="C95" s="103" t="s">
        <v>1622</v>
      </c>
      <c r="D95" s="103" t="s">
        <v>3271</v>
      </c>
      <c r="E95" s="66"/>
    </row>
    <row r="96" spans="2:10" ht="20" customHeight="1" x14ac:dyDescent="0.2">
      <c r="B96" s="4"/>
      <c r="C96" s="103" t="s">
        <v>1622</v>
      </c>
      <c r="D96" s="103" t="s">
        <v>3272</v>
      </c>
      <c r="E96" s="66"/>
      <c r="G96" s="3"/>
      <c r="J96" s="2"/>
    </row>
    <row r="97" spans="2:9" ht="20" customHeight="1" x14ac:dyDescent="0.2">
      <c r="B97" s="4"/>
      <c r="C97" s="103" t="s">
        <v>1622</v>
      </c>
      <c r="D97" s="103" t="s">
        <v>3273</v>
      </c>
      <c r="E97" s="66"/>
      <c r="G97" s="3"/>
    </row>
    <row r="98" spans="2:9" ht="20" customHeight="1" x14ac:dyDescent="0.2">
      <c r="B98" s="4"/>
      <c r="C98" s="103" t="s">
        <v>1622</v>
      </c>
      <c r="D98" s="103" t="s">
        <v>3274</v>
      </c>
      <c r="E98" s="66"/>
      <c r="G98" s="3"/>
    </row>
    <row r="99" spans="2:9" ht="20" customHeight="1" x14ac:dyDescent="0.2">
      <c r="B99" s="4"/>
      <c r="C99" s="103" t="s">
        <v>1622</v>
      </c>
      <c r="D99" s="103" t="s">
        <v>3275</v>
      </c>
      <c r="E99" s="66"/>
      <c r="G99" s="3"/>
      <c r="I99" s="3"/>
    </row>
    <row r="100" spans="2:9" ht="20" customHeight="1" x14ac:dyDescent="0.2">
      <c r="B100" s="4"/>
      <c r="C100" s="103" t="s">
        <v>1622</v>
      </c>
      <c r="D100" s="103" t="s">
        <v>3276</v>
      </c>
      <c r="E100" s="66"/>
      <c r="G100" s="3"/>
      <c r="I100" s="3"/>
    </row>
    <row r="101" spans="2:9" ht="20" customHeight="1" x14ac:dyDescent="0.2">
      <c r="B101" s="4"/>
      <c r="C101" s="103" t="s">
        <v>1622</v>
      </c>
      <c r="D101" s="103" t="s">
        <v>3277</v>
      </c>
      <c r="E101" s="66"/>
      <c r="G101" s="3"/>
      <c r="I101" s="3"/>
    </row>
    <row r="102" spans="2:9" ht="20" customHeight="1" x14ac:dyDescent="0.2">
      <c r="B102" s="4"/>
      <c r="C102" s="103" t="s">
        <v>1622</v>
      </c>
      <c r="D102" s="103" t="s">
        <v>3278</v>
      </c>
      <c r="E102" s="66"/>
      <c r="G102" s="3"/>
      <c r="I102" s="3"/>
    </row>
    <row r="103" spans="2:9" ht="20" customHeight="1" x14ac:dyDescent="0.2">
      <c r="B103" s="4"/>
      <c r="C103" s="103" t="s">
        <v>1622</v>
      </c>
      <c r="D103" s="103" t="s">
        <v>3279</v>
      </c>
      <c r="E103" s="66"/>
      <c r="G103" s="3"/>
      <c r="I103" s="3"/>
    </row>
    <row r="104" spans="2:9" ht="20" customHeight="1" x14ac:dyDescent="0.2">
      <c r="B104" s="4"/>
      <c r="C104" s="103" t="s">
        <v>1622</v>
      </c>
      <c r="D104" s="103" t="s">
        <v>3280</v>
      </c>
      <c r="E104" s="66"/>
      <c r="G104" s="3"/>
      <c r="I104" s="3"/>
    </row>
    <row r="105" spans="2:9" ht="20" customHeight="1" x14ac:dyDescent="0.2">
      <c r="B105" s="4"/>
      <c r="C105" s="103" t="s">
        <v>1622</v>
      </c>
      <c r="D105" s="103" t="s">
        <v>3281</v>
      </c>
      <c r="E105" s="66"/>
      <c r="G105" s="3"/>
      <c r="I105" s="3"/>
    </row>
    <row r="106" spans="2:9" ht="20" customHeight="1" x14ac:dyDescent="0.2">
      <c r="G106" s="3"/>
      <c r="I106" s="3"/>
    </row>
    <row r="107" spans="2:9" ht="20" customHeight="1" x14ac:dyDescent="0.2">
      <c r="G107" s="3"/>
      <c r="I107" s="3"/>
    </row>
    <row r="108" spans="2:9" ht="20" customHeight="1" x14ac:dyDescent="0.2">
      <c r="I108" s="3"/>
    </row>
    <row r="109" spans="2:9" ht="20" customHeight="1" x14ac:dyDescent="0.2">
      <c r="I109" s="3"/>
    </row>
    <row r="110" spans="2:9" ht="20" customHeight="1" x14ac:dyDescent="0.2">
      <c r="I110" s="3"/>
    </row>
    <row r="111" spans="2:9" ht="20" customHeight="1" x14ac:dyDescent="0.2"/>
    <row r="112" spans="2:9" ht="20" customHeight="1" x14ac:dyDescent="0.2"/>
  </sheetData>
  <sheetProtection algorithmName="SHA-512" hashValue="oLaGpcgKqUQ79/xD8EJyQ+dgcX8k+4q3Ukms9G4mGr/R4HWYCTHqIszr3ptS/PIHB/NT23HOP55Oxlb2k7o8DA==" saltValue="7HBsYjMljwkg6nuhCadDeQ==" spinCount="100000" sheet="1" selectLockedCells="1"/>
  <mergeCells count="21">
    <mergeCell ref="B82:E82"/>
    <mergeCell ref="B92:E92"/>
    <mergeCell ref="B42:G42"/>
    <mergeCell ref="B30:G30"/>
    <mergeCell ref="B73:E73"/>
    <mergeCell ref="B62:E62"/>
    <mergeCell ref="B57:E57"/>
    <mergeCell ref="B77:E77"/>
    <mergeCell ref="B87:E87"/>
    <mergeCell ref="B2:G2"/>
    <mergeCell ref="B6:G6"/>
    <mergeCell ref="B51:E51"/>
    <mergeCell ref="B52:E52"/>
    <mergeCell ref="B13:G13"/>
    <mergeCell ref="B14:G14"/>
    <mergeCell ref="B16:G16"/>
    <mergeCell ref="B35:G35"/>
    <mergeCell ref="B21:G21"/>
    <mergeCell ref="B25:G25"/>
    <mergeCell ref="B46:G46"/>
    <mergeCell ref="B22:G22"/>
  </mergeCells>
  <conditionalFormatting sqref="B77 B78:E81">
    <cfRule type="expression" dxfId="60" priority="23">
      <formula>intelligent_logging_result="Excluded"</formula>
    </cfRule>
  </conditionalFormatting>
  <conditionalFormatting sqref="B92 B93:E105">
    <cfRule type="expression" dxfId="59" priority="20">
      <formula>private_cloud_result="Excluded"</formula>
    </cfRule>
  </conditionalFormatting>
  <conditionalFormatting sqref="B8:C8 E8:G8">
    <cfRule type="expression" dxfId="58" priority="83">
      <formula>vcf_aware_wsa_result="Excluded"</formula>
    </cfRule>
  </conditionalFormatting>
  <conditionalFormatting sqref="B9:C9 E9:G9">
    <cfRule type="expression" dxfId="57" priority="81">
      <formula>iam_result="Excluded"</formula>
    </cfRule>
  </conditionalFormatting>
  <conditionalFormatting sqref="B51:E51">
    <cfRule type="expression" dxfId="56" priority="71">
      <formula>AND((vrslcm_result="Excluded"),(vcf_aware_wsa_result="Excluded"),(iam_result="Excluded"),(intelligent_operations_result="Excluded"),(intelligent_logging_result="Excluded"),(private_cloud_result="Excluded"),(developer_ready_result="Excluded"))</formula>
    </cfRule>
  </conditionalFormatting>
  <conditionalFormatting sqref="B52:E56">
    <cfRule type="expression" dxfId="55" priority="33">
      <formula>vrslcm_result="Excluded"</formula>
    </cfRule>
  </conditionalFormatting>
  <conditionalFormatting sqref="B57:E61">
    <cfRule type="expression" dxfId="54" priority="31" stopIfTrue="1">
      <formula>vcf_aware_wsa_result="Excluded"</formula>
    </cfRule>
  </conditionalFormatting>
  <conditionalFormatting sqref="B73:E76">
    <cfRule type="expression" dxfId="53" priority="64">
      <formula>developer_ready_result="Excluded"</formula>
    </cfRule>
  </conditionalFormatting>
  <conditionalFormatting sqref="B78:E81 B62:E72 B73 B77">
    <cfRule type="expression" dxfId="52" priority="29">
      <formula>iam_result="Excluded"</formula>
    </cfRule>
  </conditionalFormatting>
  <conditionalFormatting sqref="B82:E86">
    <cfRule type="expression" dxfId="51" priority="7">
      <formula>intelligent_operations_result="Excluded"</formula>
    </cfRule>
  </conditionalFormatting>
  <conditionalFormatting sqref="B87:E91">
    <cfRule type="expression" dxfId="50" priority="8" stopIfTrue="1">
      <formula>inv_result="Excluded"</formula>
    </cfRule>
  </conditionalFormatting>
  <conditionalFormatting sqref="B6:G7">
    <cfRule type="expression" dxfId="49" priority="82">
      <formula>AND((vcf_aware_wsa_result="Excluded"),(iam_result="Excluded"))</formula>
    </cfRule>
  </conditionalFormatting>
  <conditionalFormatting sqref="B10:G10">
    <cfRule type="expression" dxfId="48" priority="80">
      <formula>vcf_aware_wsa_result="Excluded"</formula>
    </cfRule>
  </conditionalFormatting>
  <conditionalFormatting sqref="B11:G11">
    <cfRule type="expression" dxfId="47" priority="79">
      <formula>iam_result="Excluded"</formula>
    </cfRule>
  </conditionalFormatting>
  <conditionalFormatting sqref="B13:G13">
    <cfRule type="expression" dxfId="46" priority="78">
      <formula>AND((mgmt_signed_certs_result="Excluded"),(vcf_aware_wsa_result="Excluded"),(iam_result="Excluded"))</formula>
    </cfRule>
  </conditionalFormatting>
  <conditionalFormatting sqref="B16:G19">
    <cfRule type="expression" dxfId="45" priority="46">
      <formula>iam_result="Excluded"</formula>
    </cfRule>
  </conditionalFormatting>
  <conditionalFormatting sqref="B21:G21">
    <cfRule type="expression" dxfId="44" priority="74">
      <formula>AND((private_cloud_result="Excluded"),(intelligent_operations_result="Excluded"))</formula>
    </cfRule>
  </conditionalFormatting>
  <conditionalFormatting sqref="B22:G24">
    <cfRule type="expression" dxfId="43" priority="9">
      <formula>(intelligent_logging_result="Excluded")</formula>
    </cfRule>
  </conditionalFormatting>
  <conditionalFormatting sqref="B25:G28">
    <cfRule type="expression" dxfId="42" priority="15">
      <formula>(intelligent_operations_result="Excluded")</formula>
    </cfRule>
  </conditionalFormatting>
  <conditionalFormatting sqref="B29:G29">
    <cfRule type="expression" dxfId="41" priority="59">
      <formula>OR((private_cloud_result="Excluded"),(intelligent_operations_result="Excluded"))</formula>
    </cfRule>
  </conditionalFormatting>
  <conditionalFormatting sqref="B30:G34">
    <cfRule type="expression" dxfId="40" priority="16">
      <formula>inv_result="Excluded"</formula>
    </cfRule>
  </conditionalFormatting>
  <conditionalFormatting sqref="B35:G41">
    <cfRule type="expression" dxfId="39" priority="73">
      <formula>private_cloud_result="Excluded"</formula>
    </cfRule>
  </conditionalFormatting>
  <conditionalFormatting sqref="B42:G45">
    <cfRule type="expression" dxfId="38" priority="35" stopIfTrue="1">
      <formula>hrm_result="Excluded"</formula>
    </cfRule>
  </conditionalFormatting>
  <conditionalFormatting sqref="B46:G49">
    <cfRule type="expression" dxfId="37" priority="17">
      <formula>ccm_result="Excluded"</formula>
    </cfRule>
  </conditionalFormatting>
  <conditionalFormatting sqref="C41">
    <cfRule type="expression" dxfId="36" priority="6">
      <formula>private_cloud_result="Excluded"</formula>
    </cfRule>
  </conditionalFormatting>
  <conditionalFormatting sqref="E8:E11">
    <cfRule type="containsBlanks" dxfId="35" priority="105">
      <formula>LEN(TRIM(E8))=0</formula>
    </cfRule>
    <cfRule type="notContainsBlanks" dxfId="34" priority="244">
      <formula>LEN(TRIM(E8))&gt;0</formula>
    </cfRule>
  </conditionalFormatting>
  <conditionalFormatting sqref="E18:E19">
    <cfRule type="notContainsBlanks" dxfId="33" priority="247">
      <formula>LEN(TRIM(E18))&gt;0</formula>
    </cfRule>
  </conditionalFormatting>
  <conditionalFormatting sqref="E21:E29 E35:E45 G37:G42 E75:E76 E16:E19 G44:G46 E48:E49 G48:G49 G32:G34">
    <cfRule type="containsBlanks" dxfId="32" priority="243">
      <formula>LEN(TRIM(E16))=0</formula>
    </cfRule>
  </conditionalFormatting>
  <conditionalFormatting sqref="E24">
    <cfRule type="containsBlanks" dxfId="31" priority="13">
      <formula>LEN(TRIM(E24))=0</formula>
    </cfRule>
    <cfRule type="notContainsBlanks" dxfId="30" priority="248">
      <formula>LEN(TRIM(E24))&gt;0</formula>
    </cfRule>
  </conditionalFormatting>
  <conditionalFormatting sqref="E27:E29">
    <cfRule type="containsBlanks" dxfId="29" priority="63">
      <formula>LEN(TRIM(E27))=0</formula>
    </cfRule>
    <cfRule type="notContainsBlanks" dxfId="28" priority="249">
      <formula>LEN(TRIM(E27))&gt;0</formula>
    </cfRule>
  </conditionalFormatting>
  <conditionalFormatting sqref="E31">
    <cfRule type="containsBlanks" dxfId="27" priority="2">
      <formula>LEN(TRIM(E31))=0</formula>
    </cfRule>
  </conditionalFormatting>
  <conditionalFormatting sqref="E32:E34">
    <cfRule type="containsBlanks" dxfId="26" priority="19">
      <formula>LEN(TRIM(E32))=0</formula>
    </cfRule>
    <cfRule type="notContainsBlanks" dxfId="25" priority="250">
      <formula>LEN(TRIM(E32))&gt;0</formula>
    </cfRule>
  </conditionalFormatting>
  <conditionalFormatting sqref="E37:E42">
    <cfRule type="notContainsBlanks" dxfId="24" priority="251">
      <formula>LEN(TRIM(E37))&gt;0</formula>
    </cfRule>
  </conditionalFormatting>
  <conditionalFormatting sqref="E44:E45">
    <cfRule type="containsBlanks" dxfId="23" priority="36">
      <formula>LEN(TRIM(E44))=0</formula>
    </cfRule>
    <cfRule type="notContainsBlanks" dxfId="22" priority="252">
      <formula>LEN(TRIM(E44))&gt;0</formula>
    </cfRule>
  </conditionalFormatting>
  <conditionalFormatting sqref="E47">
    <cfRule type="containsBlanks" dxfId="21" priority="5">
      <formula>LEN(TRIM(E47))=0</formula>
    </cfRule>
  </conditionalFormatting>
  <conditionalFormatting sqref="E48:E49">
    <cfRule type="notContainsBlanks" dxfId="20" priority="246">
      <formula>LEN(TRIM(E48))&gt;0</formula>
    </cfRule>
  </conditionalFormatting>
  <conditionalFormatting sqref="E54:E56">
    <cfRule type="containsBlanks" dxfId="19" priority="70">
      <formula>LEN(TRIM(E54))=0</formula>
    </cfRule>
    <cfRule type="notContainsBlanks" dxfId="18" priority="253">
      <formula>LEN(TRIM(E54))&gt;0</formula>
    </cfRule>
  </conditionalFormatting>
  <conditionalFormatting sqref="E59:E61">
    <cfRule type="containsBlanks" dxfId="17" priority="69">
      <formula>LEN(TRIM(E59))=0</formula>
    </cfRule>
    <cfRule type="notContainsBlanks" dxfId="16" priority="254">
      <formula>LEN(TRIM(E59))&gt;0</formula>
    </cfRule>
  </conditionalFormatting>
  <conditionalFormatting sqref="E64:E72 E79:E81">
    <cfRule type="containsBlanks" dxfId="15" priority="68">
      <formula>LEN(TRIM(E64))=0</formula>
    </cfRule>
    <cfRule type="notContainsBlanks" dxfId="14" priority="255">
      <formula>LEN(TRIM(E64))&gt;0</formula>
    </cfRule>
  </conditionalFormatting>
  <conditionalFormatting sqref="E79:E81">
    <cfRule type="containsBlanks" dxfId="13" priority="25" stopIfTrue="1">
      <formula>LEN(TRIM(E79))=0</formula>
    </cfRule>
  </conditionalFormatting>
  <conditionalFormatting sqref="E84:E86 E89:E91">
    <cfRule type="notContainsBlanks" dxfId="12" priority="257">
      <formula>LEN(TRIM(E84))&gt;0</formula>
    </cfRule>
  </conditionalFormatting>
  <conditionalFormatting sqref="E89:E91 E84:E86">
    <cfRule type="containsBlanks" dxfId="11" priority="28" stopIfTrue="1">
      <formula>LEN(TRIM(E84))=0</formula>
    </cfRule>
  </conditionalFormatting>
  <conditionalFormatting sqref="E94:E105">
    <cfRule type="containsBlanks" dxfId="10" priority="22" stopIfTrue="1">
      <formula>LEN(TRIM(E94))=0</formula>
    </cfRule>
    <cfRule type="notContainsBlanks" dxfId="9" priority="258">
      <formula>LEN(TRIM(E94))&gt;0</formula>
    </cfRule>
  </conditionalFormatting>
  <conditionalFormatting sqref="G8:G11">
    <cfRule type="containsBlanks" dxfId="8" priority="103">
      <formula>LEN(TRIM(G8))=0</formula>
    </cfRule>
    <cfRule type="notContainsBlanks" dxfId="7" priority="259">
      <formula>LEN(TRIM(G8))&gt;0</formula>
    </cfRule>
  </conditionalFormatting>
  <conditionalFormatting sqref="G18:G19">
    <cfRule type="containsBlanks" dxfId="6" priority="49">
      <formula>LEN(TRIM(G18))=0</formula>
    </cfRule>
    <cfRule type="notContainsBlanks" dxfId="5" priority="262">
      <formula>LEN(TRIM(G18))&gt;0</formula>
    </cfRule>
  </conditionalFormatting>
  <conditionalFormatting sqref="G24">
    <cfRule type="containsBlanks" dxfId="4" priority="11">
      <formula>LEN(TRIM(G24))=0</formula>
    </cfRule>
    <cfRule type="notContainsBlanks" dxfId="3" priority="263">
      <formula>LEN(TRIM(G24))&gt;0</formula>
    </cfRule>
  </conditionalFormatting>
  <conditionalFormatting sqref="G27:G30">
    <cfRule type="containsBlanks" dxfId="2" priority="61">
      <formula>LEN(TRIM(G27))=0</formula>
    </cfRule>
    <cfRule type="notContainsBlanks" dxfId="1" priority="264">
      <formula>LEN(TRIM(G27))&gt;0</formula>
    </cfRule>
  </conditionalFormatting>
  <conditionalFormatting sqref="G32:G34 G37:G42 G44:G46 G48:G49 E75:E76">
    <cfRule type="notContainsBlanks" dxfId="0" priority="245">
      <formula>LEN(TRIM(E32))&gt;0</formula>
    </cfRule>
  </conditionalFormatting>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20D3D-A551-1C46-BF22-7FF7A5F09D91}">
  <sheetPr codeName="Sheet13">
    <tabColor theme="9" tint="-0.249977111117893"/>
  </sheetPr>
  <dimension ref="A1:AG115"/>
  <sheetViews>
    <sheetView showGridLines="0" zoomScaleNormal="100" workbookViewId="0">
      <pane ySplit="4" topLeftCell="A5" activePane="bottomLeft" state="frozen"/>
      <selection pane="bottomLeft"/>
    </sheetView>
  </sheetViews>
  <sheetFormatPr baseColWidth="10" defaultColWidth="10.83203125" defaultRowHeight="16" x14ac:dyDescent="0.2"/>
  <cols>
    <col min="1" max="1" width="2.83203125" style="2" customWidth="1"/>
    <col min="2" max="2" width="11.83203125" style="2" customWidth="1"/>
    <col min="3" max="3" width="12.83203125" style="2" customWidth="1"/>
    <col min="4" max="4" width="12.5" style="2" customWidth="1"/>
    <col min="5" max="5" width="21.83203125" style="2" customWidth="1"/>
    <col min="6" max="6" width="12" style="2" customWidth="1"/>
    <col min="7" max="7" width="13" style="2" customWidth="1"/>
    <col min="8" max="8" width="27" style="3" customWidth="1"/>
    <col min="9" max="9" width="11.5" style="3" customWidth="1"/>
    <col min="10" max="10" width="14.6640625" style="2" customWidth="1"/>
    <col min="11" max="11" width="15.5" style="2" customWidth="1"/>
    <col min="12" max="12" width="19.83203125" style="2" customWidth="1"/>
    <col min="13" max="13" width="15" style="2" customWidth="1"/>
    <col min="14" max="14" width="10.83203125" style="2" customWidth="1"/>
    <col min="15" max="15" width="14.83203125" style="2" customWidth="1"/>
    <col min="16" max="16" width="25.5" style="2" customWidth="1"/>
    <col min="17" max="17" width="12" style="2" customWidth="1"/>
    <col min="18" max="18" width="13.1640625" style="2" customWidth="1"/>
    <col min="19" max="19" width="13.83203125" style="2" customWidth="1"/>
    <col min="20" max="20" width="7" style="2" customWidth="1"/>
    <col min="21" max="21" width="18" style="2" customWidth="1"/>
    <col min="22" max="22" width="19.33203125" style="2" customWidth="1"/>
    <col min="23" max="23" width="31" style="2" customWidth="1"/>
    <col min="24" max="27" width="10.83203125" style="2" customWidth="1"/>
    <col min="28" max="28" width="31.1640625" style="2" customWidth="1"/>
    <col min="29" max="31" width="10.83203125" style="2" customWidth="1"/>
    <col min="32" max="16384" width="10.83203125" style="2"/>
  </cols>
  <sheetData>
    <row r="1" spans="1:32" ht="16" customHeight="1" x14ac:dyDescent="0.2">
      <c r="A1" s="1"/>
      <c r="B1" s="1"/>
      <c r="C1" s="1"/>
      <c r="H1" s="2"/>
      <c r="I1" s="2"/>
    </row>
    <row r="2" spans="1:32" ht="54" customHeight="1" x14ac:dyDescent="0.2">
      <c r="B2" s="503" t="s">
        <v>3470</v>
      </c>
      <c r="C2" s="503"/>
      <c r="D2" s="503"/>
      <c r="E2" s="503"/>
      <c r="F2" s="503"/>
      <c r="G2" s="503"/>
      <c r="H2" s="503"/>
      <c r="I2" s="503"/>
      <c r="J2" s="503"/>
      <c r="K2" s="503"/>
      <c r="L2" s="503"/>
      <c r="M2" s="503"/>
      <c r="N2" s="503"/>
      <c r="O2" s="503"/>
      <c r="P2" s="503"/>
      <c r="Q2" s="503"/>
      <c r="R2" s="503"/>
      <c r="S2" s="503"/>
      <c r="T2" s="503"/>
      <c r="U2" s="503"/>
      <c r="V2" s="503"/>
      <c r="W2" s="503"/>
      <c r="X2" s="503"/>
      <c r="Y2" s="503"/>
      <c r="Z2" s="503"/>
      <c r="AA2" s="503"/>
      <c r="AB2" s="503"/>
    </row>
    <row r="3" spans="1:32" ht="20" customHeight="1" x14ac:dyDescent="0.2">
      <c r="B3" s="431"/>
      <c r="C3" s="431"/>
      <c r="D3" s="431"/>
      <c r="E3" s="431"/>
      <c r="F3" s="431"/>
      <c r="G3" s="431"/>
      <c r="H3" s="431"/>
      <c r="I3" s="431"/>
      <c r="J3" s="431"/>
      <c r="K3" s="431"/>
      <c r="L3" s="431"/>
      <c r="M3" s="431"/>
      <c r="N3" s="431"/>
      <c r="O3" s="431"/>
      <c r="P3" s="431"/>
      <c r="Q3" s="431"/>
      <c r="R3" s="431"/>
      <c r="S3" s="431"/>
      <c r="T3" s="431"/>
      <c r="U3" s="431"/>
      <c r="V3" s="431"/>
      <c r="W3" s="431"/>
      <c r="X3" s="431"/>
      <c r="Y3" s="431"/>
      <c r="Z3" s="431"/>
      <c r="AA3" s="431"/>
      <c r="AB3" s="431"/>
    </row>
    <row r="5" spans="1:32" ht="15" customHeight="1" x14ac:dyDescent="0.2">
      <c r="H5" s="2"/>
      <c r="J5" s="3"/>
      <c r="K5" s="3"/>
      <c r="L5" s="3"/>
      <c r="M5" s="3"/>
      <c r="N5" s="3"/>
      <c r="O5" s="3"/>
      <c r="P5" s="3"/>
      <c r="Q5" s="3"/>
    </row>
    <row r="6" spans="1:32" s="125" customFormat="1" ht="20" customHeight="1" x14ac:dyDescent="0.2">
      <c r="B6" s="427" t="s">
        <v>3471</v>
      </c>
      <c r="C6" s="428"/>
      <c r="D6" s="428"/>
      <c r="E6" s="429"/>
      <c r="F6" s="2"/>
      <c r="G6" s="502" t="s">
        <v>3472</v>
      </c>
      <c r="H6" s="480"/>
      <c r="I6" s="480"/>
      <c r="J6" s="480"/>
      <c r="K6" s="480"/>
      <c r="L6" s="480"/>
      <c r="M6" s="480"/>
      <c r="N6" s="2"/>
      <c r="O6" s="126" t="s">
        <v>3473</v>
      </c>
      <c r="P6" s="127"/>
      <c r="Q6" s="474"/>
      <c r="R6" s="474"/>
      <c r="S6" s="474"/>
      <c r="T6" s="3"/>
      <c r="U6" s="126" t="s">
        <v>21</v>
      </c>
      <c r="V6" s="127"/>
      <c r="W6" s="127"/>
      <c r="X6" s="127"/>
      <c r="Y6" s="127"/>
      <c r="Z6" s="127"/>
      <c r="AA6" s="127"/>
      <c r="AB6" s="127"/>
      <c r="AC6" s="128"/>
      <c r="AD6" s="128"/>
      <c r="AE6" s="128"/>
    </row>
    <row r="7" spans="1:32" ht="20" customHeight="1" x14ac:dyDescent="0.2">
      <c r="B7" s="457" t="s">
        <v>3474</v>
      </c>
      <c r="C7" s="457"/>
      <c r="D7" s="457"/>
      <c r="E7" s="129" t="s">
        <v>1043</v>
      </c>
      <c r="G7" s="504" t="s">
        <v>3474</v>
      </c>
      <c r="H7" s="481"/>
      <c r="I7" s="482"/>
      <c r="J7" s="130" t="s">
        <v>3475</v>
      </c>
      <c r="K7" s="130" t="s">
        <v>3476</v>
      </c>
      <c r="L7" s="130" t="s">
        <v>3477</v>
      </c>
      <c r="M7" s="130" t="s">
        <v>3478</v>
      </c>
      <c r="O7" s="505" t="s">
        <v>3479</v>
      </c>
      <c r="P7" s="505"/>
      <c r="Q7" s="505"/>
      <c r="R7" s="505" t="s">
        <v>1869</v>
      </c>
      <c r="S7" s="505"/>
      <c r="T7" s="3"/>
      <c r="U7" s="467" t="s">
        <v>4199</v>
      </c>
      <c r="V7" s="467"/>
      <c r="W7" s="467"/>
      <c r="X7" s="467"/>
      <c r="Y7" s="467"/>
      <c r="Z7" s="467"/>
      <c r="AA7" s="467"/>
      <c r="AB7" s="467"/>
      <c r="AC7" s="128"/>
      <c r="AD7" s="128"/>
      <c r="AE7" s="128"/>
    </row>
    <row r="8" spans="1:32" ht="20" customHeight="1" x14ac:dyDescent="0.2">
      <c r="B8" s="433" t="s">
        <v>3480</v>
      </c>
      <c r="C8" s="433"/>
      <c r="D8" s="433"/>
      <c r="E8" s="68">
        <v>30</v>
      </c>
      <c r="G8" s="445" t="s">
        <v>1420</v>
      </c>
      <c r="H8" s="479"/>
      <c r="I8" s="446"/>
      <c r="J8" s="8">
        <v>1</v>
      </c>
      <c r="K8" s="26">
        <f>sizing_sddc_manager_cpu</f>
        <v>4</v>
      </c>
      <c r="L8" s="26">
        <f>sizing_sddc_manager_ram</f>
        <v>16</v>
      </c>
      <c r="M8" s="26">
        <f>sizing_sddc_manager_disk</f>
        <v>914</v>
      </c>
      <c r="O8" s="454" t="s">
        <v>3481</v>
      </c>
      <c r="P8" s="455"/>
      <c r="Q8" s="456"/>
      <c r="R8" s="492">
        <f>IF(OR(H40="Mandatory - HA Cluster",sizing_vcf_deployment_model_chosen="Deploy HA"),MAX(4,(ROUNDUP(((SUM(K8:K29,K32)/sizing_cpu_oversubscription)/sizing_mgmt_cluster_host_core_count),0)),((ROUNDUP((SUM(L8:L29,L32)/sizing_mgmt_cluster_host_ram_count),0))+1)),
IF(OR(sizing_storage_type="vSAN-ESA",sizing_storage_type="vSAN-OSA"),MAX(3,(ROUNDUP(((SUM(K8:K29,K32)/sizing_cpu_oversubscription)/sizing_mgmt_cluster_host_core_count),0)),((ROUNDUP((SUM(L8:L29,L32/sizing_ram_oversubscription)/sizing_mgmt_cluster_host_ram_count),0))+1)),MAX(2,(ROUNDUP(((SUM(K8:K32)/sizing_cpu_oversubscription)/sizing_mgmt_cluster_host_core_count),0)),((ROUNDUP((SUM(L8:L29,L32/sizing_ram_oversubscription)/sizing_mgmt_cluster_host_ram_count),0))+1))))</f>
        <v>4</v>
      </c>
      <c r="S8" s="493"/>
      <c r="T8" s="32"/>
      <c r="U8" s="467"/>
      <c r="V8" s="467"/>
      <c r="W8" s="467"/>
      <c r="X8" s="467"/>
      <c r="Y8" s="467"/>
      <c r="Z8" s="467"/>
      <c r="AA8" s="467"/>
      <c r="AB8" s="467"/>
      <c r="AC8" s="128"/>
      <c r="AD8" s="128"/>
      <c r="AE8" s="128"/>
    </row>
    <row r="9" spans="1:32" ht="20" customHeight="1" x14ac:dyDescent="0.2">
      <c r="B9" s="433" t="s">
        <v>3482</v>
      </c>
      <c r="C9" s="433"/>
      <c r="D9" s="433"/>
      <c r="E9" s="68">
        <v>10</v>
      </c>
      <c r="G9" s="445" t="s">
        <v>3978</v>
      </c>
      <c r="H9" s="479"/>
      <c r="I9" s="446"/>
      <c r="J9" s="8">
        <v>1</v>
      </c>
      <c r="K9" s="26">
        <f>IF(sizing_m01_included="Included",VLOOKUP(D40,table_vcenter_appliance_cpu,2,FALSE),0)</f>
        <v>8</v>
      </c>
      <c r="L9" s="26">
        <f>IF(sizing_m01_included="Included",VLOOKUP(D40,table_vcenter_appliance_ram,2,FALSE),0)</f>
        <v>30</v>
      </c>
      <c r="M9" s="26">
        <f>IF(sizing_m01_included="Included",VLOOKUP(CONCATENATE(D40,F40),table_vcenter_disk_gb,2,FALSE),0)</f>
        <v>2233</v>
      </c>
      <c r="O9" s="454" t="s">
        <v>3483</v>
      </c>
      <c r="P9" s="455"/>
      <c r="Q9" s="456"/>
      <c r="R9" s="477" t="str">
        <f>CONCATENATE(ROUNDUP(SUM(K8:K32)/(calculated_mgmt_host_count-1)/sizing_cpu_oversubscription,0)," CPUs")</f>
        <v>38 CPUs</v>
      </c>
      <c r="S9" s="478"/>
      <c r="U9" s="467"/>
      <c r="V9" s="467"/>
      <c r="W9" s="467"/>
      <c r="X9" s="467"/>
      <c r="Y9" s="467"/>
      <c r="Z9" s="467"/>
      <c r="AA9" s="467"/>
      <c r="AB9" s="467"/>
      <c r="AC9" s="128"/>
      <c r="AD9" s="128"/>
      <c r="AE9" s="128"/>
      <c r="AF9" s="128"/>
    </row>
    <row r="10" spans="1:32" ht="20" customHeight="1" x14ac:dyDescent="0.2">
      <c r="G10" s="445" t="s">
        <v>3708</v>
      </c>
      <c r="H10" s="479"/>
      <c r="I10" s="446"/>
      <c r="J10" s="8">
        <f>SUM(IF(sizing_m01_nsxt_model="Mandatory - Single Node",1,3),IF(sizing_m01_nsxt_gm_appliance_size&lt;&gt;"Excluded",3,0))</f>
        <v>3</v>
      </c>
      <c r="K10" s="26">
        <f>SUM(PRODUCT(VLOOKUP(sizing_m01_nsxt_appliance_size,table_nsxt_manager_cpu,2,FALSE),IF(sizing_m01_nsxt_model="Mandatory - HA Cluster",3,1)),(PRODUCT(IF(sizing_m01_nsxt_gm_appliance_size&lt;&gt;"Excluded",VLOOKUP(sizing_m01_nsxt_gm_appliance_size,table_nsxt_manager_cpu,2,FALSE),0),3)))</f>
        <v>18</v>
      </c>
      <c r="L10" s="26">
        <f>SUM(PRODUCT(VLOOKUP(sizing_m01_nsxt_appliance_size,table_nsxt_manager_ram,2,FALSE),IF(sizing_m01_nsxt_model="Mandatory - HA Cluster",3,1)),(PRODUCT(IF(sizing_m01_nsxt_gm_appliance_size&lt;&gt;"Excluded",VLOOKUP(sizing_m01_nsxt_gm_appliance_size,table_nsxt_manager_ram,2,FALSE),0),3)))</f>
        <v>72</v>
      </c>
      <c r="M10" s="26">
        <f>SUM(PRODUCT(VLOOKUP(sizing_m01_nsxt_appliance_size,table_nsxt_manager_disk_gb,2,FALSE),IF(sizing_m01_nsxt_model="Mandatory - HA Cluster",3,1)),(PRODUCT(IF(sizing_m01_nsxt_gm_appliance_size&lt;&gt;"Excluded",VLOOKUP(sizing_m01_nsxt_gm_appliance_size,table_nsxt_manager_disk_gb,2,FALSE),0),3)))</f>
        <v>900</v>
      </c>
      <c r="O10" s="454" t="s">
        <v>3484</v>
      </c>
      <c r="P10" s="455"/>
      <c r="Q10" s="456"/>
      <c r="R10" s="477" t="str">
        <f>CONCATENATE(ROUNDUP(SUM(L8:L32)/(calculated_mgmt_host_count-1)/sizing_ram_oversubscription,0)," GB RAM")</f>
        <v>98 GB RAM</v>
      </c>
      <c r="S10" s="478"/>
      <c r="U10" s="467"/>
      <c r="V10" s="467"/>
      <c r="W10" s="467"/>
      <c r="X10" s="467"/>
      <c r="Y10" s="467"/>
      <c r="Z10" s="467"/>
      <c r="AA10" s="467"/>
      <c r="AB10" s="467"/>
      <c r="AC10" s="128"/>
      <c r="AD10" s="128"/>
      <c r="AE10" s="128"/>
      <c r="AF10" s="128"/>
    </row>
    <row r="11" spans="1:32" ht="20" customHeight="1" x14ac:dyDescent="0.2">
      <c r="B11" s="427" t="s">
        <v>3485</v>
      </c>
      <c r="C11" s="428"/>
      <c r="D11" s="428"/>
      <c r="E11" s="429"/>
      <c r="G11" s="445" t="s">
        <v>3487</v>
      </c>
      <c r="H11" s="479"/>
      <c r="I11" s="446"/>
      <c r="J11" s="8">
        <f>IF(AND(sizing_m01_nsxt_edge_size&lt;&gt;"Excluded",sizing_m01_nsxt_edge_size&lt;&gt;"VNA Small",sizing_m01_nsxt_edge_size&lt;&gt;"VNA Medium",sizing_m01_nsxt_edge_size&lt;&gt;"VNA Large",sizing_m01_nsxt_edge_size&lt;&gt;"VNA XLarge"),2,0)</f>
        <v>0</v>
      </c>
      <c r="K11" s="26">
        <f>PRODUCT(IF(AND(sizing_m01_nsxt_edge_size&lt;&gt;"Excluded",sizing_m01_nsxt_edge_size&lt;&gt;"VNA Small",sizing_m01_nsxt_edge_size&lt;&gt;"VNA Medium",sizing_m01_nsxt_edge_size&lt;&gt;"VNA Large",sizing_m01_nsxt_edge_size&lt;&gt;"VNA XLarge",sizing_m01_included="Included"),VLOOKUP(sizing_m01_nsxt_edge_size,table_nsxt_edge_cpu,2,FALSE),0),J11)</f>
        <v>0</v>
      </c>
      <c r="L11" s="26">
        <f>PRODUCT(IF(AND(sizing_m01_nsxt_edge_size&lt;&gt;"Excluded",sizing_m01_nsxt_edge_size&lt;&gt;"VNA Small",sizing_m01_nsxt_edge_size&lt;&gt;"VNA Medium",sizing_m01_nsxt_edge_size&lt;&gt;"VNA Large",sizing_m01_nsxt_edge_size&lt;&gt;"VNA XLarge",sizing_m01_included="Included"),VLOOKUP(sizing_m01_nsxt_edge_size,table_nsxt_edge_ram,2,FALSE),0),2)</f>
        <v>0</v>
      </c>
      <c r="M11" s="26">
        <f>PRODUCT(IF(AND(sizing_m01_nsxt_edge_size&lt;&gt;"Excluded",sizing_m01_nsxt_edge_size&lt;&gt;"VNA Small",sizing_m01_nsxt_edge_size&lt;&gt;"VNA Medium",sizing_m01_nsxt_edge_size&lt;&gt;"VNA Large",sizing_m01_nsxt_edge_size&lt;&gt;"VNA XLarge",sizing_m01_included="Included"),VLOOKUP(sizing_m01_nsxt_edge_size,table_nsxt_edge_disk_gb,2,FALSE),0),J11)</f>
        <v>0</v>
      </c>
      <c r="T11" s="3"/>
      <c r="U11" s="467"/>
      <c r="V11" s="467"/>
      <c r="W11" s="467"/>
      <c r="X11" s="467"/>
      <c r="Y11" s="467"/>
      <c r="Z11" s="467"/>
      <c r="AA11" s="467"/>
      <c r="AB11" s="467"/>
      <c r="AC11" s="128"/>
      <c r="AD11" s="128"/>
      <c r="AE11" s="128"/>
      <c r="AF11" s="128"/>
    </row>
    <row r="12" spans="1:32" ht="20" customHeight="1" x14ac:dyDescent="0.2">
      <c r="B12" s="457" t="s">
        <v>3486</v>
      </c>
      <c r="C12" s="457"/>
      <c r="D12" s="457"/>
      <c r="E12" s="129" t="s">
        <v>1043</v>
      </c>
      <c r="G12" s="433" t="s">
        <v>4022</v>
      </c>
      <c r="H12" s="433"/>
      <c r="I12" s="433"/>
      <c r="J12" s="8">
        <f>IF(AND(sizing_m01_nsxt_edge_size&lt;&gt;"Excluded",sizing_m01_nsxt_edge_size&lt;&gt;"NSX Edge Small",sizing_m01_nsxt_edge_size&lt;&gt;"NSX Edge Medium",sizing_m01_nsxt_edge_size&lt;&gt;"NSX Edge Large",sizing_m01_nsxt_edge_size&lt;&gt;"NSX Edge XLarge"),2,0)</f>
        <v>0</v>
      </c>
      <c r="K12" s="8">
        <f>PRODUCT(IF(AND(sizing_m01_nsxt_edge_size&lt;&gt;"Excluded",sizing_m01_nsxt_edge_size&lt;&gt;"NSX Edge Small",sizing_m01_nsxt_edge_size&lt;&gt;"NSX Edge Medium",sizing_m01_nsxt_edge_size&lt;&gt;"NSX Edge Large",sizing_m01_nsxt_edge_size&lt;&gt;"NSX Edge XLarge",sizing_m01_included="Included"),VLOOKUP(sizing_m01_nsxt_edge_size,table_nsxt_edge_cpu,2,FALSE),0),J12)</f>
        <v>0</v>
      </c>
      <c r="L12" s="8">
        <f>PRODUCT(IF(AND(sizing_m01_nsxt_edge_size&lt;&gt;"Excluded",sizing_m01_nsxt_edge_size&lt;&gt;"NSX Edge Small",sizing_m01_nsxt_edge_size&lt;&gt;"NSX Edge Medium",sizing_m01_nsxt_edge_size&lt;&gt;"NSX Edge Large",sizing_m01_nsxt_edge_size&lt;&gt;"NSX Edge XLarge",sizing_m01_included="Included"),VLOOKUP(sizing_m01_nsxt_edge_size,table_nsxt_edge_ram,2,FALSE),0),J12)</f>
        <v>0</v>
      </c>
      <c r="M12" s="8">
        <f>PRODUCT(IF(AND(sizing_m01_nsxt_edge_size&lt;&gt;"Excluded",sizing_m01_nsxt_edge_size&lt;&gt;"NSX Edge Small",sizing_m01_nsxt_edge_size&lt;&gt;"NSX Edge Medium",sizing_m01_nsxt_edge_size&lt;&gt;"NSX Edge Large",sizing_m01_nsxt_edge_size&lt;&gt;"NSX Edge  XLarge",sizing_m01_included="Included"),VLOOKUP(sizing_m01_nsxt_edge_size,table_nsxt_edge_disk_gb,2,FALSE),0),J12)</f>
        <v>0</v>
      </c>
      <c r="O12" s="117" t="s">
        <v>3488</v>
      </c>
      <c r="P12" s="117"/>
      <c r="Q12" s="117"/>
      <c r="R12" s="117"/>
      <c r="S12" s="117"/>
      <c r="T12" s="3"/>
      <c r="U12" s="467"/>
      <c r="V12" s="467"/>
      <c r="W12" s="467"/>
      <c r="X12" s="467"/>
      <c r="Y12" s="467"/>
      <c r="Z12" s="467"/>
      <c r="AA12" s="467"/>
      <c r="AB12" s="467"/>
      <c r="AC12" s="128"/>
      <c r="AD12" s="128"/>
      <c r="AE12" s="128"/>
      <c r="AF12" s="128"/>
    </row>
    <row r="13" spans="1:32" ht="20" customHeight="1" x14ac:dyDescent="0.2">
      <c r="B13" s="433" t="s">
        <v>3489</v>
      </c>
      <c r="C13" s="433"/>
      <c r="D13" s="433"/>
      <c r="E13" s="133">
        <v>128</v>
      </c>
      <c r="G13" s="454" t="s">
        <v>3490</v>
      </c>
      <c r="H13" s="455"/>
      <c r="I13" s="456"/>
      <c r="J13" s="8">
        <f>IF(sizing_mgmt_avi_lb_appliance_size="Excluded",0,3)</f>
        <v>0</v>
      </c>
      <c r="K13" s="8">
        <f>IF(sizing_mgmt_avi_lb_appliance_size="Excluded",0,PRODUCT(J13,IF(AND(sizing_m01_included="Included",sizing_mgmt_avi_lb_appliance_size&lt;&gt;"Excluded"),VLOOKUP(sizing_mgmt_avi_lb_appliance_size,table_avi_lb_cpu,2,FALSE),0)))</f>
        <v>0</v>
      </c>
      <c r="L13" s="26">
        <f>IF(sizing_mgmt_avi_lb_appliance_size="Excluded",0,PRODUCT(J13,IF(AND(sizing_m01_included="Included",sizing_mgmt_avi_lb_appliance_size&lt;&gt;"Excluded"),VLOOKUP(sizing_mgmt_avi_lb_appliance_size,table_avi_lb_ram,2,FALSE),0)))</f>
        <v>0</v>
      </c>
      <c r="M13" s="26">
        <f>IF(sizing_mgmt_avi_lb_appliance_size="Excluded",0,PRODUCT(J13,IF(AND(sizing_m01_included="Included",sizing_mgmt_avi_lb_appliance_size&lt;&gt;"Excluded"),VLOOKUP(sizing_mgmt_avi_lb_appliance_size,table_avi_lb_disk,2,FALSE),0)))</f>
        <v>0</v>
      </c>
      <c r="O13" s="134" t="s">
        <v>257</v>
      </c>
      <c r="P13" s="102"/>
      <c r="Q13" s="102"/>
      <c r="R13" s="491" t="s">
        <v>665</v>
      </c>
      <c r="S13" s="491"/>
      <c r="T13" s="3"/>
      <c r="U13" s="467"/>
      <c r="V13" s="467"/>
      <c r="W13" s="467"/>
      <c r="X13" s="467"/>
      <c r="Y13" s="467"/>
      <c r="Z13" s="467"/>
      <c r="AA13" s="467"/>
      <c r="AB13" s="467"/>
      <c r="AC13" s="128"/>
      <c r="AD13" s="128"/>
      <c r="AE13" s="128"/>
      <c r="AF13" s="128"/>
    </row>
    <row r="14" spans="1:32" ht="20" customHeight="1" x14ac:dyDescent="0.2">
      <c r="B14" s="433" t="s">
        <v>3491</v>
      </c>
      <c r="C14" s="433"/>
      <c r="D14" s="433"/>
      <c r="E14" s="133">
        <v>1024</v>
      </c>
      <c r="G14" s="134" t="s">
        <v>3736</v>
      </c>
      <c r="H14" s="102"/>
      <c r="I14" s="333"/>
      <c r="J14" s="8" t="str">
        <f>IF(sizing_m01_ssp_chosen="Include",8,"0")</f>
        <v>0</v>
      </c>
      <c r="K14" s="8">
        <f>IF(sizing_m01_ssp_chosen&lt;&gt;"Excluded",VLOOKUP(sizing_m01_ssp_chosen,table_ssp_cpu,2,FALSE),0)</f>
        <v>0</v>
      </c>
      <c r="L14" s="8">
        <f>IF(sizing_m01_ssp_chosen&lt;&gt;"Excluded",VLOOKUP(sizing_m01_ssp_chosen,table_ssp_ram,2,FALSE),0)</f>
        <v>0</v>
      </c>
      <c r="M14" s="8">
        <f>IF(sizing_m01_ssp_chosen&lt;&gt;"Excluded",VLOOKUP(sizing_m01_ssp_chosen,table_ssp_disk,2,FALSE),0)</f>
        <v>0</v>
      </c>
      <c r="O14" s="131" t="s">
        <v>3474</v>
      </c>
      <c r="P14" s="132"/>
      <c r="Q14" s="132"/>
      <c r="R14" s="481" t="s">
        <v>3492</v>
      </c>
      <c r="S14" s="482"/>
      <c r="T14" s="3"/>
      <c r="U14" s="467"/>
      <c r="V14" s="467"/>
      <c r="W14" s="467"/>
      <c r="X14" s="467"/>
      <c r="Y14" s="467"/>
      <c r="Z14" s="467"/>
      <c r="AA14" s="467"/>
      <c r="AB14" s="467"/>
      <c r="AC14" s="128"/>
      <c r="AD14" s="128"/>
      <c r="AE14" s="128"/>
      <c r="AF14" s="128"/>
    </row>
    <row r="15" spans="1:32" ht="20" customHeight="1" x14ac:dyDescent="0.2">
      <c r="B15" s="433" t="s">
        <v>3493</v>
      </c>
      <c r="C15" s="433"/>
      <c r="D15" s="433"/>
      <c r="E15" s="133">
        <v>1</v>
      </c>
      <c r="G15" s="134" t="s">
        <v>3979</v>
      </c>
      <c r="H15" s="102"/>
      <c r="I15" s="333"/>
      <c r="J15" s="8">
        <f>COUNTIF(C44:C78,"Included")</f>
        <v>0</v>
      </c>
      <c r="K15" s="26">
        <f>(SUM(IF(sizing_w01_chosen="Included",VLOOKUP(sizing_w01_vcenter_appliance_size,table_vcenter_appliance_cpu,2,FALSE)),
IF(sizing_w02_chosen="Included",VLOOKUP(sizing_w02_vcenter_appliance_size,table_vcenter_appliance_cpu,2,FALSE)),
IF(sizing_w03_chosen="Included",VLOOKUP(sizing_w03_vcenter_appliance_size,table_vcenter_appliance_cpu,2,FALSE)),
IF(sizing_w04_chosen="Included",VLOOKUP(sizing_w04_vcenter_appliance_size,table_vcenter_appliance_cpu,2,FALSE)),
IF(sizing_w05_chosen="Included",VLOOKUP(sizing_w05_vcenter_appliance_size,table_vcenter_appliance_cpu,2,FALSE)),
IF(sizing_w06_chosen="Included",VLOOKUP(sizing_w06_vcenter_appliance_size,table_vcenter_appliance_cpu,2,FALSE)),
IF(sizing_w07_chosen="Included",VLOOKUP(sizing_w07_vcenter_appliance_size,table_vcenter_appliance_cpu,2,FALSE)),
IF(sizing_w08_chosen="Included",VLOOKUP(sizing_w08_vcenter_appliance_size,table_vcenter_appliance_cpu,2,FALSE)),
IF(sizing_w09_chosen="Included",VLOOKUP(sizing_w09_vcenter_appliance_size,table_vcenter_appliance_cpu,2,FALSE)),
IF(sizing_w10_chosen="Included",VLOOKUP(sizing_w10_vcenter_appliance_size,table_vcenter_appliance_cpu,2,FALSE)),
IF(sizing_w11_chosen="Included",VLOOKUP(sizing_w11_vcenter_appliance_size,table_vcenter_appliance_cpu,2,FALSE)),
IF(sizing_w12_chosen="Included",VLOOKUP(sizing_w12_vcenter_appliance_size,table_vcenter_appliance_cpu,2,FALSE)),
IF(sizing_w13_chosen="Included",VLOOKUP(sizing_w13_vcenter_appliance_size,table_vcenter_appliance_cpu,2,FALSE)),
IF(sizing_w14_chosen="Included",VLOOKUP(sizing_w14_vcenter_appliance_size,table_vcenter_appliance_cpu,2,FALSE)),
IF(sizing_w15_chosen="Included",VLOOKUP(sizing_w15_vcenter_appliance_size,table_vcenter_appliance_cpu,2,FALSE)),
IF(sizing_w16_chosen="Included",VLOOKUP(sizing_w16_vcenter_appliance_size,table_vcenter_appliance_cpu,2,FALSE)),
IF(sizing_w17_chosen="Included",VLOOKUP(sizing_w17_vcenter_appliance_size,table_vcenter_appliance_cpu,2,FALSE)),
IF(sizing_w18_chosen="Included",VLOOKUP(sizing_w18_vcenter_appliance_size,table_vcenter_appliance_cpu,2,FALSE)),
IF(sizing_w19_chosen="Included",VLOOKUP(sizing_w19_vcenter_appliance_size,table_vcenter_appliance_cpu,2,FALSE)),
IF(sizing_w20_chosen="Included",VLOOKUP(sizing_w20_vcenter_appliance_size,table_vcenter_appliance_cpu,2,FALSE)),
IF(sizing_w21_chosen="Included",VLOOKUP(sizing_w21_vcenter_appliance_size,table_vcenter_appliance_cpu,2,FALSE)),
IF(sizing_w22_chosen="Included",VLOOKUP(sizing_w22_vcenter_appliance_size,table_vcenter_appliance_cpu,2,FALSE)),
IF(sizing_w23_chosen="Included",VLOOKUP(sizing_w23_vcenter_appliance_size,table_vcenter_appliance_cpu,2,FALSE)),
IF(sizing_w24_chosen="Included",VLOOKUP(sizing_w24_vcenter_appliance_size,table_vcenter_appliance_cpu,2,FALSE)),
IF(sizing_w25_chosen="Included",VLOOKUP(sizing_w25_vcenter_appliance_size,table_vcenter_appliance_cpu,2,FALSE)),
IF(sizing_w26_chosen="Included",VLOOKUP(sizing_w26_vcenter_appliance_size,table_vcenter_appliance_cpu,2,FALSE)),
IF(sizing_w27_chosen="Included",VLOOKUP(sizing_w27_vcenter_appliance_size,table_vcenter_appliance_cpu,2,FALSE)),
IF(sizing_w28_chosen="Included",VLOOKUP(sizing_w28_vcenter_appliance_size,table_vcenter_appliance_cpu,2,FALSE)),
IF(sizing_w29_chosen="Included",VLOOKUP(sizing_w29_vcenter_appliance_size,table_vcenter_appliance_cpu,2,FALSE)),
IF(sizing_w30_chosen="Included",VLOOKUP(sizing_w30_vcenter_appliance_size,table_vcenter_appliance_cpu,2,FALSE)),
IF(sizing_w31_chosen="Included",VLOOKUP(sizing_w31_vcenter_appliance_size,table_vcenter_appliance_cpu,2,FALSE)),
IF(sizing_w32_chosen="Included",VLOOKUP(sizing_w32_vcenter_appliance_size,table_vcenter_appliance_cpu,2,FALSE)),
IF(sizing_w33_chosen="Included",VLOOKUP(sizing_w33_vcenter_appliance_size,table_vcenter_appliance_cpu,2,FALSE)),
IF(sizing_w34_chosen="Included",VLOOKUP(sizing_w34_vcenter_appliance_size,table_vcenter_appliance_cpu,2,FALSE)),
IF(sizing_w35_chosen="Included",VLOOKUP(sizing_w35_vcenter_appliance_size,table_vcenter_appliance_cpu,2,FALSE)),
))</f>
        <v>0</v>
      </c>
      <c r="L15" s="26">
        <f>SUM(IF(sizing_w01_chosen="Included",VLOOKUP(sizing_w01_vcenter_appliance_size,table_vcenter_appliance_ram,2,FALSE)),
IF(sizing_w02_chosen="Included",VLOOKUP(sizing_w02_vcenter_appliance_size,table_vcenter_appliance_ram,2,FALSE)),
IF(sizing_w03_chosen="Included",VLOOKUP(sizing_w03_vcenter_appliance_size,table_vcenter_appliance_ram,2,FALSE)),
IF(sizing_w04_chosen="Included",VLOOKUP(sizing_w04_vcenter_appliance_size,table_vcenter_appliance_ram,2,FALSE)),
IF(sizing_w05_chosen="Included",VLOOKUP(sizing_w05_vcenter_appliance_size,table_vcenter_appliance_ram,2,FALSE)),
IF(sizing_w06_chosen="Included",VLOOKUP(sizing_w06_vcenter_appliance_size,table_vcenter_appliance_ram,2,FALSE)),
IF(sizing_w07_chosen="Included",VLOOKUP(sizing_w07_vcenter_appliance_size,table_vcenter_appliance_ram,2,FALSE)),
IF(sizing_w08_chosen="Included",VLOOKUP(sizing_w08_vcenter_appliance_size,table_vcenter_appliance_ram,2,FALSE)),
IF(sizing_w09_chosen="Included",VLOOKUP(sizing_w09_vcenter_appliance_size,table_vcenter_appliance_ram,2,FALSE)),
IF(sizing_w10_chosen="Included",VLOOKUP(sizing_w10_vcenter_appliance_size,table_vcenter_appliance_ram,2,FALSE)),
IF(sizing_w11_chosen="Included",VLOOKUP(sizing_w11_vcenter_appliance_size,table_vcenter_appliance_ram,2,FALSE)),
IF(sizing_w12_chosen="Included",VLOOKUP(sizing_w12_vcenter_appliance_size,table_vcenter_appliance_ram,2,FALSE)),
IF(sizing_w13_chosen="Included",VLOOKUP(sizing_w13_vcenter_appliance_size,table_vcenter_appliance_ram,2,FALSE)),
IF(sizing_w14_chosen="Included",VLOOKUP(sizing_w14_vcenter_appliance_size,table_vcenter_appliance_ram,2,FALSE)),
IF(sizing_w15_chosen="Included",VLOOKUP(sizing_w15_vcenter_appliance_size,table_vcenter_appliance_ram,2,FALSE)),
IF(sizing_w16_chosen="Included",VLOOKUP(sizing_w16_vcenter_appliance_size,table_vcenter_appliance_ram,2,FALSE)),
IF(sizing_w17_chosen="Included",VLOOKUP(sizing_w17_vcenter_appliance_size,table_vcenter_appliance_ram,2,FALSE)),
IF(sizing_w18_chosen="Included",VLOOKUP(sizing_w18_vcenter_appliance_size,table_vcenter_appliance_ram,2,FALSE)),
IF(sizing_w19_chosen="Included",VLOOKUP(sizing_w19_vcenter_appliance_size,table_vcenter_appliance_ram,2,FALSE)),
IF(sizing_w20_chosen="Included",VLOOKUP(sizing_w20_vcenter_appliance_size,table_vcenter_appliance_ram,2,FALSE)),
IF(sizing_w21_chosen="Included",VLOOKUP(sizing_w21_vcenter_appliance_size,table_vcenter_appliance_ram,2,FALSE)),
IF(sizing_w22_chosen="Included",VLOOKUP(sizing_w22_vcenter_appliance_size,table_vcenter_appliance_ram,2,FALSE)),
IF(sizing_w23_chosen="Included",VLOOKUP(sizing_w23_vcenter_appliance_size,table_vcenter_appliance_ram,2,FALSE)),
IF(sizing_w24_chosen="Included",VLOOKUP(sizing_w24_vcenter_appliance_size,table_vcenter_appliance_ram,2,FALSE)),
IF(sizing_w25_chosen="Included",VLOOKUP(sizing_w25_vcenter_appliance_size,table_vcenter_appliance_ram,2,FALSE)),
IF(sizing_w26_chosen="Included",VLOOKUP(sizing_w26_vcenter_appliance_size,table_vcenter_appliance_ram,2,FALSE)),
IF(sizing_w27_chosen="Included",VLOOKUP(sizing_w27_vcenter_appliance_size,table_vcenter_appliance_ram,2,FALSE)),
IF(sizing_w28_chosen="Included",VLOOKUP(sizing_w28_vcenter_appliance_size,table_vcenter_appliance_ram,2,FALSE)),
IF(sizing_w29_chosen="Included",VLOOKUP(sizing_w29_vcenter_appliance_size,table_vcenter_appliance_ram,2,FALSE)),
IF(sizing_w30_chosen="Included",VLOOKUP(sizing_w30_vcenter_appliance_size,table_vcenter_appliance_ram,2,FALSE)),
IF(sizing_w31_chosen="Included",VLOOKUP(sizing_w31_vcenter_appliance_size,table_vcenter_appliance_ram,2,FALSE)),
IF(sizing_w32_chosen="Included",VLOOKUP(sizing_w32_vcenter_appliance_size,table_vcenter_appliance_ram,2,FALSE)),
IF(sizing_w33_chosen="Included",VLOOKUP(sizing_w33_vcenter_appliance_size,table_vcenter_appliance_ram,2,FALSE)),
IF(sizing_w34_chosen="Included",VLOOKUP(sizing_w34_vcenter_appliance_size,table_vcenter_appliance_ram,2,FALSE)),
IF(sizing_w35_chosen="Included",VLOOKUP(sizing_w35_vcenter_appliance_size,table_vcenter_appliance_ram,2,FALSE)),
)</f>
        <v>0</v>
      </c>
      <c r="M15" s="26">
        <f>SUM((IF(sizing_w01_chosen="Included",VLOOKUP(CONCATENATE(sizing_w01_vcenter_appliance_size,sizing_w01_vcenter_storage_size),table_vcenter_disk_gb,2,FALSE),0)),
IF(sizing_w02_chosen="Included",VLOOKUP(CONCATENATE(sizing_w02_vcenter_appliance_size,sizing_w02_vcenter_storage_size),table_vcenter_disk_gb,2,FALSE),0),
IF(sizing_w03_chosen="Included",VLOOKUP(CONCATENATE(sizing_w03_vcenter_appliance_size,sizing_w03_vcenter_storage_size),table_vcenter_disk_gb,2,FALSE),0),
IF(sizing_w04_chosen="Included",VLOOKUP(CONCATENATE(sizing_w04_vcenter_appliance_size,sizing_w04_vcenter_storage_size),table_vcenter_disk_gb,2,FALSE),0),
IF(sizing_w05_chosen="Included",VLOOKUP(CONCATENATE(sizing_w05_vcenter_appliance_size,sizing_w05_vcenter_storage_size),table_vcenter_disk_gb,2,FALSE),0),
IF(sizing_w06_chosen="Included",VLOOKUP(CONCATENATE(sizing_w06_vcenter_appliance_size,sizing_w06_vcenter_storage_size),table_vcenter_disk_gb,2,FALSE),0),
IF(sizing_w07_chosen="Included",VLOOKUP(CONCATENATE(sizing_w07_vcenter_appliance_size,sizing_w07_vcenter_storage_size),table_vcenter_disk_gb,2,FALSE),0),
IF(sizing_w08_chosen="Included",VLOOKUP(CONCATENATE(sizing_w08_vcenter_appliance_size,sizing_w08_vcenter_storage_size),table_vcenter_disk_gb,2,FALSE),0),
IF(sizing_w09_chosen="Included",VLOOKUP(CONCATENATE(sizing_w09_vcenter_appliance_size,sizing_w09_vcenter_storage_size),table_vcenter_disk_gb,2,FALSE),0),
IF(sizing_w10_chosen="Included",VLOOKUP(CONCATENATE(sizing_w10_vcenter_appliance_size,sizing_w10_vcenter_storage_size),table_vcenter_disk_gb,2,FALSE),0),
IF(sizing_w11_chosen="Included",VLOOKUP(CONCATENATE(sizing_w11_vcenter_appliance_size,sizing_w11_vcenter_storage_size),table_vcenter_disk_gb,2,FALSE),0),
IF(sizing_w12_chosen="Included",VLOOKUP(CONCATENATE(sizing_w12_vcenter_appliance_size,sizing_w12_vcenter_storage_size),table_vcenter_disk_gb,2,FALSE),0),
IF(sizing_w13_chosen="Included",VLOOKUP(CONCATENATE(sizing_w13_vcenter_appliance_size,sizing_w13_vcenter_storage_size),table_vcenter_disk_gb,2,FALSE),0),
IF(sizing_w14_chosen="Included",VLOOKUP(CONCATENATE(sizing_w14_vcenter_appliance_size,sizing_w14_vcenter_storage_size),table_vcenter_disk_gb,2,FALSE),0),
IF(sizing_w15_chosen="Included",VLOOKUP(CONCATENATE(sizing_w15_vcenter_appliance_size,sizing_w15_vcenter_storage_size),table_vcenter_disk_gb,2,FALSE),0),
IF(sizing_w16_chosen="Included",VLOOKUP(CONCATENATE(sizing_w16_vcenter_appliance_size,sizing_w16_vcenter_storage_size),table_vcenter_disk_gb,2,FALSE),0),
IF(sizing_w17_chosen="Included",VLOOKUP(CONCATENATE(sizing_w17_vcenter_appliance_size,sizing_w17_vcenter_storage_size),table_vcenter_disk_gb,2,FALSE),0),
IF(sizing_w18_chosen="Included",VLOOKUP(CONCATENATE(sizing_w18_vcenter_appliance_size,sizing_w18_vcenter_storage_size),table_vcenter_disk_gb,2,FALSE),0),
IF(sizing_w19_chosen="Included",VLOOKUP(CONCATENATE(sizing_w19_vcenter_appliance_size,sizing_w19_vcenter_storage_size),table_vcenter_disk_gb,2,FALSE),0),
IF(sizing_w20_chosen="Included",VLOOKUP(CONCATENATE(sizing_w20_vcenter_appliance_size,sizing_w20_vcenter_storage_size),table_vcenter_disk_gb,2,FALSE),0),
IF(sizing_w21_chosen="Included",VLOOKUP(CONCATENATE(sizing_w21_vcenter_appliance_size,sizing_w21_vcenter_storage_size),table_vcenter_disk_gb,2,FALSE),0),
IF(sizing_w22_chosen="Included",VLOOKUP(CONCATENATE(sizing_w22_vcenter_appliance_size,sizing_w22_vcenter_storage_size),table_vcenter_disk_gb,2,FALSE),0),
IF(sizing_w23_chosen="Included",VLOOKUP(CONCATENATE(sizing_w23_vcenter_appliance_size,sizing_w23_vcenter_storage_size),table_vcenter_disk_gb,2,FALSE),0),
IF(sizing_w24_chosen="Included",VLOOKUP(CONCATENATE(sizing_w24_vcenter_appliance_size,sizing_w24_vcenter_storage_size),table_vcenter_disk_gb,2,FALSE),0),
IF(sizing_w25_chosen="Included",VLOOKUP(CONCATENATE(sizing_w25_vcenter_appliance_size,sizing_w25_vcenter_storage_size),table_vcenter_disk_gb,2,FALSE),0),
IF(sizing_w26_chosen="Included",VLOOKUP(CONCATENATE(sizing_w26_vcenter_appliance_size,sizing_w26_vcenter_storage_size),table_vcenter_disk_gb,2,FALSE),0),
IF(sizing_w27_chosen="Included",VLOOKUP(CONCATENATE(sizing_w27_vcenter_appliance_size,sizing_w27_vcenter_storage_size),table_vcenter_disk_gb,2,FALSE),0),
IF(sizing_w28_chosen="Included",VLOOKUP(CONCATENATE(sizing_w28_vcenter_appliance_size,sizing_w28_vcenter_storage_size),table_vcenter_disk_gb,2,FALSE),0),
IF(sizing_w29_chosen="Included",VLOOKUP(CONCATENATE(sizing_w29_vcenter_appliance_size,sizing_w29_vcenter_storage_size),table_vcenter_disk_gb,2,FALSE),0),
IF(sizing_w30_chosen="Included",VLOOKUP(CONCATENATE(sizing_w30_vcenter_appliance_size,sizing_w30_vcenter_storage_size),table_vcenter_disk_gb,2,FALSE),0),
IF(sizing_w31_chosen="Included",VLOOKUP(CONCATENATE(sizing_w31_vcenter_appliance_size,sizing_w31_vcenter_storage_size),table_vcenter_disk_gb,2,FALSE),0),
IF(sizing_w32_chosen="Included",VLOOKUP(CONCATENATE(sizing_w32_vcenter_appliance_size,sizing_w32_vcenter_storage_size),table_vcenter_disk_gb,2,FALSE),0),
IF(sizing_w33_chosen="Included",VLOOKUP(CONCATENATE(sizing_w33_vcenter_appliance_size,sizing_w33_vcenter_storage_size),table_vcenter_disk_gb,2,FALSE),0),
IF(sizing_w34_chosen="Included",VLOOKUP(CONCATENATE(sizing_w34_vcenter_appliance_size,sizing_w34_vcenter_storage_size),table_vcenter_disk_gb,2,FALSE),0),
IF(sizing_w35_chosen="Included",VLOOKUP(CONCATENATE(sizing_w35_vcenter_appliance_size,sizing_w35_vcenter_storage_size),table_vcenter_disk_gb,2,FALSE),0),
)</f>
        <v>0</v>
      </c>
      <c r="O15" s="134" t="s">
        <v>3494</v>
      </c>
      <c r="P15" s="102"/>
      <c r="Q15" s="102"/>
      <c r="R15" s="432">
        <f>(SUM(M8:M32))</f>
        <v>7647</v>
      </c>
      <c r="S15" s="432"/>
      <c r="T15" s="3"/>
      <c r="U15" s="467"/>
      <c r="V15" s="467"/>
      <c r="W15" s="467"/>
      <c r="X15" s="467"/>
      <c r="Y15" s="467"/>
      <c r="Z15" s="467"/>
      <c r="AA15" s="467"/>
      <c r="AB15" s="467"/>
      <c r="AC15" s="128"/>
      <c r="AD15" s="128"/>
      <c r="AE15" s="128"/>
      <c r="AF15" s="128"/>
    </row>
    <row r="16" spans="1:32" ht="20" customHeight="1" x14ac:dyDescent="0.2">
      <c r="B16" s="433" t="s">
        <v>3495</v>
      </c>
      <c r="C16" s="433"/>
      <c r="D16" s="433"/>
      <c r="E16" s="133">
        <v>1</v>
      </c>
      <c r="G16" s="134" t="s">
        <v>3737</v>
      </c>
      <c r="H16" s="102"/>
      <c r="I16" s="333"/>
      <c r="J16" s="8">
        <f>SUM(
(IF(AND(sizing_w01_chosen="Included",sizing_w01_nsxt_model&lt;&gt;"Shared"),IF(sizing_w01_nsxt_model="Dedicated - HA Cluster",3,1),0)),
(IF(AND(sizing_w02_chosen="Included",sizing_w02_nsxt_model&lt;&gt;"Shared"),IF(sizing_w02_nsxt_model="Dedicated - HA Cluster",3,1),0)),
(IF(AND(sizing_w03_chosen="Included",sizing_w03_nsxt_model&lt;&gt;"Shared"),IF(sizing_w03_nsxt_model="Dedicated - HA Cluster",3,1),0)),
(IF(AND(sizing_w04_chosen="Included",sizing_w04_nsxt_model&lt;&gt;"Shared"),IF(sizing_w04_nsxt_model="Dedicated - HA Cluster",3,1),0)),
(IF(AND(sizing_w05_chosen="Included",sizing_w05_nsxt_model&lt;&gt;"Shared"),IF(sizing_w05_nsxt_model="Dedicated - HA Cluster",3,1),0)),
(IF(AND(sizing_w06_chosen="Included",sizing_w06_nsxt_model&lt;&gt;"Shared"),IF(sizing_w06_nsxt_model="Dedicated - HA Cluster",3,1),0)),
(IF(AND(sizing_w07_chosen="Included",sizing_w07_nsxt_model&lt;&gt;"Shared"),IF(sizing_w07_nsxt_model="Dedicated - HA Cluster",3,1),0)),
(IF(AND(sizing_w08_chosen="Included",sizing_w08_nsxt_model&lt;&gt;"Shared"),IF(sizing_w08_nsxt_model="Dedicated - HA Cluster",3,1),0)),
(IF(AND(sizing_w09_chosen="Included",sizing_w09_nsxt_model&lt;&gt;"Shared"),IF(sizing_w09_nsxt_model="Dedicated - HA Cluster",3,1),0)),,
(IF(AND(sizing_w10_chosen="Included",sizing_w10_nsxt_model&lt;&gt;"Shared"),IF(sizing_w10_nsxt_model="Dedicated - HA Cluster",3,1),0)),
(IF(AND(sizing_w11_chosen="Included",sizing_w11_nsxt_model&lt;&gt;"Shared"),IF(sizing_w11_nsxt_model="Dedicated - HA Cluster",3,1),0)),
(IF(AND(sizing_w12_chosen="Included",sizing_w12_nsxt_model&lt;&gt;"Shared"),IF(sizing_w12_nsxt_model="Dedicated - HA Cluster",3,1),0)),
(IF(AND(sizing_w13_chosen="Included",sizing_w13_nsxt_model&lt;&gt;"Shared"),IF(sizing_w13_nsxt_model="Dedicated - HA Cluster",3,1),0)),
(IF(AND(sizing_w14_chosen="Included",sizing_w14_nsxt_model&lt;&gt;"Shared"),IF(sizing_w14_nsxt_model="Dedicated - HA Cluster",3,1),0)),
(IF(AND(sizing_w15_chosen="Included",sizing_w15_nsxt_model&lt;&gt;"Shared"),IF(sizing_w15_nsxt_model="Dedicated - HA Cluster",3,1),0)),
(IF(AND(sizing_w16_chosen="Included",sizing_w16_nsxt_model&lt;&gt;"Shared"),IF(sizing_w16_nsxt_model="Dedicated - HA Cluster",3,1),0)),
(IF(AND(sizing_w17_chosen="Included",sizing_w17_nsxt_model&lt;&gt;"Shared"),IF(sizing_w17_nsxt_model="Dedicated - HA Cluster",3,1),0)),
(IF(AND(sizing_w18_chosen="Included",sizing_w18_nsxt_model&lt;&gt;"Shared"),IF(sizing_w18_nsxt_model="Dedicated - HA Cluster",3,1),0)),
(IF(AND(sizing_w19_chosen="Included",sizing_w19_nsxt_model&lt;&gt;"Shared"),IF(sizing_w19_nsxt_model="Dedicated - HA Cluster",3,1),0)),
(IF(AND(sizing_w20_chosen="Included",sizing_w20_nsxt_model&lt;&gt;"Shared"),IF(sizing_w20_nsxt_model="Dedicated - HA Cluster",3,1),0)),
(IF(AND(sizing_w21_chosen="Included",sizing_w21_nsxt_model&lt;&gt;"Shared"),IF(sizing_w21_nsxt_model="Dedicated - HA Cluster",3,1),0)),
(IF(AND(sizing_w22_chosen="Included",sizing_w22_nsxt_model&lt;&gt;"Shared"),IF(sizing_w22_nsxt_model="Dedicated - HA Cluster",3,1),0)),
(IF(AND(sizing_w23_chosen="Included",sizing_w23_nsxt_model&lt;&gt;"Shared"),IF(sizing_w23_nsxt_model="Dedicated - HA Cluster",3,1),0)),
(IF(AND(sizing_w24_chosen="Included",sizing_w24_nsxt_model&lt;&gt;"Shared"),IF(sizing_w24_nsxt_model="Dedicated - HA Cluster",3,1),0)),
(IF(AND(sizing_w25_chosen="Included",sizing_w25_nsxt_model&lt;&gt;"Shared"),IF(sizing_w25_nsxt_model="Dedicated - HA Cluster",3,1),0)),
(IF(AND(sizing_w26_chosen="Included",sizing_w26_nsxt_model&lt;&gt;"Shared"),IF(sizing_w26_nsxt_model="Dedicated - HA Cluster",3,1),0)),
(IF(AND(sizing_w27_chosen="Included",sizing_w27_nsxt_model&lt;&gt;"Shared"),IF(sizing_w27_nsxt_model="Dedicated - HA Cluster",3,1),0)),
(IF(AND(sizing_w28_chosen="Included",sizing_w28_nsxt_model&lt;&gt;"Shared"),IF(sizing_w28_nsxt_model="Dedicated - HA Cluster",3,1),0)),
(IF(AND(sizing_w29_chosen="Included",sizing_w29_nsxt_model&lt;&gt;"Shared"),IF(sizing_w29_nsxt_model="Dedicated - HA Cluster",3,1),0)),
(IF(AND(sizing_w30_chosen="Included",sizing_w30_nsxt_model&lt;&gt;"Shared"),IF(sizing_w30_nsxt_model="Dedicated - HA Cluster",3,1),0)),
(IF(AND(sizing_w31_chosen="Included",sizing_w31_nsxt_model&lt;&gt;"Shared"),IF(sizing_w31_nsxt_model="Dedicated - HA Cluster",3,1),0)),
(IF(AND(sizing_w32_chosen="Included",sizing_w32_nsxt_model&lt;&gt;"Shared"),IF(sizing_w32_nsxt_model="Dedicated - HA Cluster",3,1),0)),
(IF(AND(sizing_w33_chosen="Included",sizing_w33_nsxt_model&lt;&gt;"Shared"),IF(sizing_w33_nsxt_model="Dedicated - HA Cluster",3,1),0)),
(IF(AND(sizing_w34_chosen="Included",sizing_w34_nsxt_model&lt;&gt;"Shared"),IF(sizing_w34_nsxt_model="Dedicated - HA Cluster",3,1),0)),
(IF(AND(sizing_w35_chosen="Included",sizing_w35_nsxt_model&lt;&gt;"Shared"),IF(sizing_w35_nsxt_model="Dedicated - HA Cluster",3,1),0)),B488)</f>
        <v>0</v>
      </c>
      <c r="K16" s="26">
        <f>SUM(
        PRODUCT((IF(AND(sizing_w01_chosen="Included",sizing_w01_nsxt_model&lt;&gt;"Shared"),VLOOKUP(sizing_w01_nsxt_appliance_size,table_nsxt_manager_cpu,2,FALSE),0)),IF(sizing_w01_nsxt_model="Dedicated - HA Cluster",3,1)),
        PRODUCT((IF(AND(sizing_w02_chosen="Included",sizing_w02_nsxt_model&lt;&gt;"Shared"),VLOOKUP(sizing_w02_nsxt_appliance_size,table_nsxt_manager_cpu,2,FALSE),0)),IF(sizing_w02_nsxt_model="Dedicated - HA Cluster",3,1)),
        PRODUCT((IF(AND(sizing_w03_chosen="Included",sizing_w03_nsxt_model&lt;&gt;"Shared"),VLOOKUP(sizing_w03_nsxt_appliance_size,table_nsxt_manager_cpu,2,FALSE),0)),IF(sizing_w03_nsxt_model="Dedicated - HA Cluster",3,1)),
        PRODUCT((IF(AND(sizing_w04_chosen="Included",sizing_w04_nsxt_model&lt;&gt;"Shared"),VLOOKUP(sizing_w04_nsxt_appliance_size,table_nsxt_manager_cpu,2,FALSE),0)),IF(sizing_w04_nsxt_model="Dedicated - HA Cluster",3,1)),
        PRODUCT((IF(AND(sizing_w05_chosen="Included",sizing_w05_nsxt_model&lt;&gt;"Shared"),VLOOKUP(sizing_w05_nsxt_appliance_size,table_nsxt_manager_cpu,2,FALSE),0)),IF(sizing_w05_nsxt_model="Dedicated - HA Cluster",3,1)),
        PRODUCT((IF(AND(sizing_w06_chosen="Included",sizing_w06_nsxt_model&lt;&gt;"Shared"),VLOOKUP(sizing_w06_nsxt_appliance_size,table_nsxt_manager_cpu,2,FALSE),0)),IF(sizing_w06_nsxt_model="Dedicated - HA Cluster",3,1)),
        PRODUCT((IF(AND(sizing_w07_chosen="Included",sizing_w07_nsxt_model&lt;&gt;"Shared"),VLOOKUP(sizing_w07_nsxt_appliance_size,table_nsxt_manager_cpu,2,FALSE),0)),IF(sizing_w07_nsxt_model="Dedicated - HA Cluster",3,1)),
        PRODUCT((IF(AND(sizing_w08_chosen="Included",sizing_w08_nsxt_model&lt;&gt;"Shared"),VLOOKUP(sizing_w08_nsxt_appliance_size,table_nsxt_manager_cpu,2,FALSE),0)),IF(sizing_w08_nsxt_model="Dedicated - HA Cluster",3,1)),
        PRODUCT((IF(AND(sizing_w09_chosen="Included",sizing_w09_nsxt_model&lt;&gt;"Shared"),VLOOKUP(sizing_w09_nsxt_appliance_size,table_nsxt_manager_cpu,2,FALSE),0)),IF(sizing_w09_nsxt_model="Dedicated - HA Cluster",3,1)),
        PRODUCT((IF(AND(sizing_w10_chosen="Included",sizing_w10_nsxt_model&lt;&gt;"Shared"),VLOOKUP(sizing_w10_nsxt_appliance_size,table_nsxt_manager_cpu,2,FALSE),0)),IF(sizing_w10_nsxt_model="Dedicated - HA Cluster",3,1)),
        PRODUCT((IF(AND(sizing_w11_chosen="Included",sizing_w11_nsxt_model&lt;&gt;"Shared"),VLOOKUP(sizing_w11_nsxt_appliance_size,table_nsxt_manager_cpu,2,FALSE),0)),IF(sizing_w11_nsxt_model="Dedicated - HA Cluster",3,1)),
        PRODUCT((IF(AND(sizing_w12_chosen="Included",sizing_w12_nsxt_model&lt;&gt;"Shared"),VLOOKUP(sizing_w12_nsxt_appliance_size,table_nsxt_manager_cpu,2,FALSE),0)),IF(sizing_w12_nsxt_model="Dedicated - HA Cluster",3,1)),
        PRODUCT((IF(AND(sizing_w13_chosen="Included",sizing_w13_nsxt_model&lt;&gt;"Shared"),VLOOKUP(sizing_w13_nsxt_appliance_size,table_nsxt_manager_cpu,2,FALSE),0)),IF(sizing_w13_nsxt_model="Dedicated - HA Cluster",3,1)),
        PRODUCT((IF(AND(sizing_w14_chosen="Included",sizing_w14_nsxt_model&lt;&gt;"Shared"),VLOOKUP(sizing_w14_nsxt_appliance_size,table_nsxt_manager_cpu,2,FALSE),0)),IF(sizing_w14_nsxt_model="Dedicated - HA Cluster",3,1)),
        PRODUCT((IF(AND(sizing_w15_chosen="Included",sizing_w15_nsxt_model&lt;&gt;"Shared"),VLOOKUP(sizing_w15_nsxt_appliance_size,table_nsxt_manager_cpu,2,FALSE),0)),IF(sizing_w15_nsxt_model="Dedicated - HA Cluster",3,1)),
        PRODUCT((IF(AND(sizing_w16_chosen="Included",sizing_w16_nsxt_model&lt;&gt;"Shared"),VLOOKUP(sizing_w16_nsxt_appliance_size,table_nsxt_manager_cpu,2,FALSE),0)),IF(sizing_w16_nsxt_model="Dedicated - HA Cluster",3,1)),
        PRODUCT((IF(AND(sizing_w17_chosen="Included",sizing_w17_nsxt_model&lt;&gt;"Shared"),VLOOKUP(sizing_w17_nsxt_appliance_size,table_nsxt_manager_cpu,2,FALSE),0)),IF(sizing_w17_nsxt_model="Dedicated - HA Cluster",3,1)),
        PRODUCT((IF(AND(sizing_w18_chosen="Included",sizing_w18_nsxt_model&lt;&gt;"Shared"),VLOOKUP(sizing_w18_nsxt_appliance_size,table_nsxt_manager_cpu,2,FALSE),0)),IF(sizing_w18_nsxt_model="Dedicated - HA Cluster",3,1)),
        PRODUCT((IF(AND(sizing_w19_chosen="Included",sizing_w19_nsxt_model&lt;&gt;"Shared"),VLOOKUP(sizing_w19_nsxt_appliance_size,table_nsxt_manager_cpu,2,FALSE),0)),IF(sizing_w19_nsxt_model="Dedicated - HA Cluster",3,1)),
        PRODUCT((IF(AND(sizing_w20_chosen="Included",sizing_w20_nsxt_model&lt;&gt;"Shared"),VLOOKUP(sizing_w20_nsxt_appliance_size,table_nsxt_manager_cpu,2,FALSE),0)),IF(sizing_w20_nsxt_model="Dedicated - HA Cluster",3,1)),
        PRODUCT((IF(AND(sizing_w21_chosen="Included",sizing_w21_nsxt_model&lt;&gt;"Shared"),VLOOKUP(sizing_w21_nsxt_appliance_size,table_nsxt_manager_cpu,2,FALSE),0)),IF(sizing_w21_nsxt_model="Dedicated - HA Cluster",3,1)),
        PRODUCT((IF(AND(sizing_w22_chosen="Included",sizing_w22_nsxt_model&lt;&gt;"Shared"),VLOOKUP(sizing_w22_nsxt_appliance_size,table_nsxt_manager_cpu,2,FALSE),0)),IF(sizing_w22_nsxt_model="Dedicated - HA Cluster",3,1)),
        PRODUCT((IF(AND(sizing_w23_chosen="Included",sizing_w23_nsxt_model&lt;&gt;"Shared"),VLOOKUP(sizing_w23_nsxt_appliance_size,table_nsxt_manager_cpu,2,FALSE),0)),IF(sizing_w23_nsxt_model="Dedicated - HA Cluster",3,1)),
        PRODUCT((IF(AND(sizing_w24_chosen="Included",sizing_w24_nsxt_model&lt;&gt;"Shared"),VLOOKUP(sizing_w24_nsxt_appliance_size,table_nsxt_manager_cpu,2,FALSE),0)),IF(sizing_w24_nsxt_model="Dedicated - HA Cluster",3,1)),
        PRODUCT((IF(AND(sizing_w25_chosen="Included",sizing_w25_nsxt_model&lt;&gt;"Shared"),VLOOKUP(sizing_w25_nsxt_appliance_size,table_nsxt_manager_cpu,2,FALSE),0)),IF(sizing_w25_nsxt_model="Dedicated - HA Cluster",3,1)),
        PRODUCT((IF(AND(sizing_w26_chosen="Included",sizing_w26_nsxt_model&lt;&gt;"Shared"),VLOOKUP(sizing_w26_nsxt_appliance_size,table_nsxt_manager_cpu,2,FALSE),0)),IF(sizing_w26_nsxt_model="Dedicated - HA Cluster",3,1)),
        PRODUCT((IF(AND(sizing_w27_chosen="Included",sizing_w27_nsxt_model&lt;&gt;"Shared"),VLOOKUP(sizing_w27_nsxt_appliance_size,table_nsxt_manager_cpu,2,FALSE),0)),IF(sizing_w27_nsxt_model="Dedicated - HA Cluster",3,1)),
        PRODUCT((IF(AND(sizing_w28_chosen="Included",sizing_w28_nsxt_model&lt;&gt;"Shared"),VLOOKUP(sizing_w28_nsxt_appliance_size,table_nsxt_manager_cpu,2,FALSE),0)),IF(sizing_w28_nsxt_model="Dedicated - HA Cluster",3,1)),
        PRODUCT((IF(AND(sizing_w29_chosen="Included",sizing_w29_nsxt_model&lt;&gt;"Shared"),VLOOKUP(sizing_w29_nsxt_appliance_size,table_nsxt_manager_cpu,2,FALSE),0)),IF(sizing_w29_nsxt_model="Dedicated - HA Cluster",3,1)),
        PRODUCT((IF(AND(sizing_w30_chosen="Included",sizing_w30_nsxt_model&lt;&gt;"Shared"),VLOOKUP(sizing_w30_nsxt_appliance_size,table_nsxt_manager_cpu,2,FALSE),0)),IF(sizing_w30_nsxt_model="Dedicated - HA Cluster",3,1)),
        PRODUCT((IF(AND(sizing_w31_chosen="Included",sizing_w31_nsxt_model&lt;&gt;"Shared"),VLOOKUP(sizing_w31_nsxt_appliance_size,table_nsxt_manager_cpu,2,FALSE),0)),IF(sizing_w31_nsxt_model="Dedicated - HA Cluster",3,1)),
        PRODUCT((IF(AND(sizing_w32_chosen="Included",sizing_w32_nsxt_model&lt;&gt;"Shared"),VLOOKUP(sizing_w32_nsxt_appliance_size,table_nsxt_manager_cpu,2,FALSE),0)),IF(sizing_w32_nsxt_model="Dedicated - HA Cluster",3,1)),
        PRODUCT((IF(AND(sizing_w33_chosen="Included",sizing_w33_nsxt_model&lt;&gt;"Shared"),VLOOKUP(sizing_w33_nsxt_appliance_size,table_nsxt_manager_cpu,2,FALSE),0)),IF(sizing_w33_nsxt_model="Dedicated - HA Cluster",3,1)),
        PRODUCT((IF(AND(sizing_w34_chosen="Included",sizing_w34_nsxt_model&lt;&gt;"Shared"),VLOOKUP(sizing_w34_nsxt_appliance_size,table_nsxt_manager_cpu,2,FALSE),0)),IF(sizing_w34_nsxt_model="Dedicated - HA Cluster",3,1)),
        PRODUCT((IF(AND(sizing_w35_chosen="Included",sizing_w35_nsxt_model&lt;&gt;"Shared"),VLOOKUP(sizing_w35_nsxt_appliance_size,table_nsxt_manager_cpu,2,FALSE),0)),IF(sizing_w35_nsxt_model="Dedicated - HA Cluster",3,1)),
'Static Reference Tables'!B486)</f>
        <v>0</v>
      </c>
      <c r="L16" s="26">
        <f>SUM(
        PRODUCT((IF(AND(sizing_w01_chosen="Included",sizing_w01_nsxt_model&lt;&gt;"Shared"),VLOOKUP(sizing_w01_nsxt_appliance_size,table_nsxt_manager_ram,2,FALSE),0)),IF(sizing_w01_nsxt_model="Dedicated - HA Cluster",3,1)),
        PRODUCT((IF(AND(sizing_w02_chosen="Included",sizing_w02_nsxt_model&lt;&gt;"Shared"),VLOOKUP(sizing_w02_nsxt_appliance_size,table_nsxt_manager_ram,2,FALSE),0)),IF(sizing_w02_nsxt_model="Dedicated - HA Cluster",3,1)),
        PRODUCT((IF(AND(sizing_w03_chosen="Included",sizing_w03_nsxt_model&lt;&gt;"Shared"),VLOOKUP(sizing_w03_nsxt_appliance_size,table_nsxt_manager_ram,2,FALSE),0)),IF(sizing_w03_nsxt_model="Dedicated - HA Cluster",3,1)),
        PRODUCT((IF(AND(sizing_w04_chosen="Included",sizing_w04_nsxt_model&lt;&gt;"Shared"),VLOOKUP(sizing_w04_nsxt_appliance_size,table_nsxt_manager_ram,2,FALSE),0)),IF(sizing_w04_nsxt_model="Dedicated - HA Cluster",3,1)),
        PRODUCT((IF(AND(sizing_w05_chosen="Included",sizing_w05_nsxt_model&lt;&gt;"Shared"),VLOOKUP(sizing_w05_nsxt_appliance_size,table_nsxt_manager_ram,2,FALSE),0)),IF(sizing_w05_nsxt_model="Dedicated - HA Cluster",3,1)),
        PRODUCT((IF(AND(sizing_w06_chosen="Included",sizing_w06_nsxt_model&lt;&gt;"Shared"),VLOOKUP(sizing_w06_nsxt_appliance_size,table_nsxt_manager_ram,2,FALSE),0)),IF(sizing_w06_nsxt_model="Dedicated - HA Cluster",3,1)),
        PRODUCT((IF(AND(sizing_w07_chosen="Included",sizing_w07_nsxt_model&lt;&gt;"Shared"),VLOOKUP(sizing_w07_nsxt_appliance_size,table_nsxt_manager_ram,2,FALSE),0)),IF(sizing_w07_nsxt_model="Dedicated - HA Cluster",3,1)),
        PRODUCT((IF(AND(sizing_w08_chosen="Included",sizing_w08_nsxt_model&lt;&gt;"Shared"),VLOOKUP(sizing_w08_nsxt_appliance_size,table_nsxt_manager_ram,2,FALSE),0)),IF(sizing_w08_nsxt_model="Dedicated - HA Cluster",3,1)),
        PRODUCT((IF(AND(sizing_w09_chosen="Included",sizing_w09_nsxt_model&lt;&gt;"Shared"),VLOOKUP(sizing_w09_nsxt_appliance_size,table_nsxt_manager_ram,2,FALSE),0)),IF(sizing_w09_nsxt_model="Dedicated - HA Cluster",3,1)),
        PRODUCT((IF(AND(sizing_w10_chosen="Included",sizing_w10_nsxt_model&lt;&gt;"Shared"),VLOOKUP(sizing_w10_nsxt_appliance_size,table_nsxt_manager_ram,2,FALSE),0)),IF(sizing_w10_nsxt_model="Dedicated - HA Cluster",3,1)),
        PRODUCT((IF(AND(sizing_w11_chosen="Included",sizing_w11_nsxt_model&lt;&gt;"Shared"),VLOOKUP(sizing_w11_nsxt_appliance_size,table_nsxt_manager_ram,2,FALSE),0)),IF(sizing_w11_nsxt_model="Dedicated - HA Cluster",3,1)),
        PRODUCT((IF(AND(sizing_w12_chosen="Included",sizing_w12_nsxt_model&lt;&gt;"Shared"),VLOOKUP(sizing_w12_nsxt_appliance_size,table_nsxt_manager_ram,2,FALSE),0)),IF(sizing_w12_nsxt_model="Dedicated - HA Cluster",3,1)),
        PRODUCT((IF(AND(sizing_w13_chosen="Included",sizing_w13_nsxt_model&lt;&gt;"Shared"),VLOOKUP(sizing_w13_nsxt_appliance_size,table_nsxt_manager_ram,2,FALSE),0)),IF(sizing_w13_nsxt_model="Dedicated - HA Cluster",3,1)),
        PRODUCT((IF(AND(sizing_w14_chosen="Included",sizing_w14_nsxt_model&lt;&gt;"Shared"),VLOOKUP(sizing_w14_nsxt_appliance_size,table_nsxt_manager_ram,2,FALSE),0)),IF(sizing_w14_nsxt_model="Dedicated - HA Cluster",3,1)),
        PRODUCT((IF(AND(sizing_w15_chosen="Included",sizing_w15_nsxt_model&lt;&gt;"Shared"),VLOOKUP(sizing_w15_nsxt_appliance_size,table_nsxt_manager_ram,2,FALSE),0)),IF(sizing_w15_nsxt_model="Dedicated - HA Cluster",3,1)),
        PRODUCT((IF(AND(sizing_w16_chosen="Included",sizing_w16_nsxt_model&lt;&gt;"Shared"),VLOOKUP(sizing_w16_nsxt_appliance_size,table_nsxt_manager_ram,2,FALSE),0)),IF(sizing_w16_nsxt_model="Dedicated - HA Cluster",3,1)),
        PRODUCT((IF(AND(sizing_w17_chosen="Included",sizing_w17_nsxt_model&lt;&gt;"Shared"),VLOOKUP(sizing_w17_nsxt_appliance_size,table_nsxt_manager_ram,2,FALSE),0)),IF(sizing_w17_nsxt_model="Dedicated - HA Cluster",3,1)),
        PRODUCT((IF(AND(sizing_w18_chosen="Included",sizing_w18_nsxt_model&lt;&gt;"Shared"),VLOOKUP(sizing_w18_nsxt_appliance_size,table_nsxt_manager_ram,2,FALSE),0)),IF(sizing_w18_nsxt_model="Dedicated - HA Cluster",3,1)),
        PRODUCT((IF(AND(sizing_w19_chosen="Included",sizing_w19_nsxt_model&lt;&gt;"Shared"),VLOOKUP(sizing_w19_nsxt_appliance_size,table_nsxt_manager_ram,2,FALSE),0)),IF(sizing_w19_nsxt_model="Dedicated - HA Cluster",3,1)),
        PRODUCT((IF(AND(sizing_w20_chosen="Included",sizing_w20_nsxt_model&lt;&gt;"Shared"),VLOOKUP(sizing_w20_nsxt_appliance_size,table_nsxt_manager_ram,2,FALSE),0)),IF(sizing_w20_nsxt_model="Dedicated - HA Cluster",3,1)),
        PRODUCT((IF(AND(sizing_w21_chosen="Included",sizing_w21_nsxt_model&lt;&gt;"Shared"),VLOOKUP(sizing_w21_nsxt_appliance_size,table_nsxt_manager_ram,2,FALSE),0)),IF(sizing_w21_nsxt_model="Dedicated - HA Cluster",3,1)),
        PRODUCT((IF(AND(sizing_w22_chosen="Included",sizing_w22_nsxt_model&lt;&gt;"Shared"),VLOOKUP(sizing_w22_nsxt_appliance_size,table_nsxt_manager_ram,2,FALSE),0)),IF(sizing_w22_nsxt_model="Dedicated - HA Cluster",3,1)),
        PRODUCT((IF(AND(sizing_w23_chosen="Included",sizing_w23_nsxt_model&lt;&gt;"Shared"),VLOOKUP(sizing_w23_nsxt_appliance_size,table_nsxt_manager_ram,2,FALSE),0)),IF(sizing_w23_nsxt_model="Dedicated - HA Cluster",3,1)),
        PRODUCT((IF(AND(sizing_w24_chosen="Included",sizing_w24_nsxt_model&lt;&gt;"Shared"),VLOOKUP(sizing_w24_nsxt_appliance_size,table_nsxt_manager_ram,2,FALSE),0)),IF(sizing_w24_nsxt_model="Dedicated - HA Cluster",3,1)),
        PRODUCT((IF(AND(sizing_w25_chosen="Included",sizing_w25_nsxt_model&lt;&gt;"Shared"),VLOOKUP(sizing_w25_nsxt_appliance_size,table_nsxt_manager_ram,2,FALSE),0)),IF(sizing_w25_nsxt_model="Dedicated - HA Cluster",3,1)),
        PRODUCT((IF(AND(sizing_w26_chosen="Included",sizing_w26_nsxt_model&lt;&gt;"Shared"),VLOOKUP(sizing_w26_nsxt_appliance_size,table_nsxt_manager_ram,2,FALSE),0)),IF(sizing_w26_nsxt_model="Dedicated - HA Cluster",3,1)),
        PRODUCT((IF(AND(sizing_w27_chosen="Included",sizing_w27_nsxt_model&lt;&gt;"Shared"),VLOOKUP(sizing_w27_nsxt_appliance_size,table_nsxt_manager_ram,2,FALSE),0)),IF(sizing_w27_nsxt_model="Dedicated - HA Cluster",3,1)),
        PRODUCT((IF(AND(sizing_w28_chosen="Included",sizing_w28_nsxt_model&lt;&gt;"Shared"),VLOOKUP(sizing_w28_nsxt_appliance_size,table_nsxt_manager_ram,2,FALSE),0)),IF(sizing_w28_nsxt_model="Dedicated - HA Cluster",3,1)),
        PRODUCT((IF(AND(sizing_w29_chosen="Included",sizing_w29_nsxt_model&lt;&gt;"Shared"),VLOOKUP(sizing_w29_nsxt_appliance_size,table_nsxt_manager_ram,2,FALSE),0)),IF(sizing_w29_nsxt_model="Dedicated - HA Cluster",3,1)),
        PRODUCT((IF(AND(sizing_w30_chosen="Included",sizing_w30_nsxt_model&lt;&gt;"Shared"),VLOOKUP(sizing_w30_nsxt_appliance_size,table_nsxt_manager_ram,2,FALSE),0)),IF(sizing_w30_nsxt_model="Dedicated - HA Cluster",3,1)),
        PRODUCT((IF(AND(sizing_w31_chosen="Included",sizing_w31_nsxt_model&lt;&gt;"Shared"),VLOOKUP(sizing_w31_nsxt_appliance_size,table_nsxt_manager_ram,2,FALSE),0)),IF(sizing_w31_nsxt_model="Dedicated - HA Cluster",3,1)),
        PRODUCT((IF(AND(sizing_w32_chosen="Included",sizing_w32_nsxt_model&lt;&gt;"Shared"),VLOOKUP(sizing_w32_nsxt_appliance_size,table_nsxt_manager_ram,2,FALSE),0)),IF(sizing_w32_nsxt_model="Dedicated - HA Cluster",3,1)),
        PRODUCT((IF(AND(sizing_w33_chosen="Included",sizing_w33_nsxt_model&lt;&gt;"Shared"),VLOOKUP(sizing_w33_nsxt_appliance_size,table_nsxt_manager_ram,2,FALSE),0)),IF(sizing_w33_nsxt_model="Dedicated - HA Cluster",3,1)),
        PRODUCT((IF(AND(sizing_w34_chosen="Included",sizing_w34_nsxt_model&lt;&gt;"Shared"),VLOOKUP(sizing_w34_nsxt_appliance_size,table_nsxt_manager_ram,2,FALSE),0)),IF(sizing_w34_nsxt_model="Dedicated - HA Cluster",3,1)),
        PRODUCT((IF(AND(sizing_w35_chosen="Included",sizing_w35_nsxt_model&lt;&gt;"Shared"),VLOOKUP(sizing_w35_nsxt_appliance_size,table_nsxt_manager_ram,2,FALSE),0)),IF(sizing_w35_nsxt_model="Dedicated - HA Cluster",3,1)),
'Static Reference Tables'!B487)</f>
        <v>0</v>
      </c>
      <c r="M16" s="26">
        <f>SUM(
        PRODUCT((IF(AND(sizing_w01_chosen="Included",sizing_w01_nsxt_model&lt;&gt;"Shared"),VLOOKUP(sizing_w01_nsxt_appliance_size,table_nsxt_manager_disk_gb,2,FALSE),0)),IF(sizing_w01_nsxt_model="Dedicated - HA Cluster",3,1)),
        PRODUCT((IF(AND(sizing_w02_chosen="Included",sizing_w02_nsxt_model&lt;&gt;"Shared"),VLOOKUP(sizing_w02_nsxt_appliance_size,table_nsxt_manager_disk_gb,2,FALSE),0)),IF(sizing_w02_nsxt_model="Dedicated - HA Cluster",3,1)),
        PRODUCT((IF(AND(sizing_w03_chosen="Included",sizing_w03_nsxt_model&lt;&gt;"Shared"),VLOOKUP(sizing_w03_nsxt_appliance_size,table_nsxt_manager_disk_gb,2,FALSE),0)),IF(sizing_w03_nsxt_model="Dedicated - HA Cluster",3,1)),
        PRODUCT((IF(AND(sizing_w04_chosen="Included",sizing_w04_nsxt_model&lt;&gt;"Shared"),VLOOKUP(sizing_w04_nsxt_appliance_size,table_nsxt_manager_disk_gb,2,FALSE),0)),IF(sizing_w04_nsxt_model="Dedicated - HA Cluster",3,1)),
        PRODUCT((IF(AND(sizing_w05_chosen="Included",sizing_w05_nsxt_model&lt;&gt;"Shared"),VLOOKUP(sizing_w05_nsxt_appliance_size,table_nsxt_manager_disk_gb,2,FALSE),0)),IF(sizing_w05_nsxt_model="Dedicated - HA Cluster",3,1)),
        PRODUCT((IF(AND(sizing_w06_chosen="Included",sizing_w06_nsxt_model&lt;&gt;"Shared"),VLOOKUP(sizing_w06_nsxt_appliance_size,table_nsxt_manager_disk_gb,2,FALSE),0)),IF(sizing_w06_nsxt_model="Dedicated - HA Cluster",3,1)),
        PRODUCT((IF(AND(sizing_w07_chosen="Included",sizing_w07_nsxt_model&lt;&gt;"Shared"),VLOOKUP(sizing_w07_nsxt_appliance_size,table_nsxt_manager_disk_gb,2,FALSE),0)),IF(sizing_w07_nsxt_model="Dedicated - HA Cluster",3,1)),
        PRODUCT((IF(AND(sizing_w08_chosen="Included",sizing_w08_nsxt_model&lt;&gt;"Shared"),VLOOKUP(sizing_w08_nsxt_appliance_size,table_nsxt_manager_disk_gb,2,FALSE),0)),IF(sizing_w08_nsxt_model="Dedicated - HA Cluster",3,1)),
        PRODUCT((IF(AND(sizing_w09_chosen="Included",sizing_w09_nsxt_model&lt;&gt;"Shared"),VLOOKUP(sizing_w09_nsxt_appliance_size,table_nsxt_manager_disk_gb,2,FALSE),0)),IF(sizing_w09_nsxt_model="Dedicated - HA Cluster",3,1)),
        PRODUCT((IF(AND(sizing_w10_chosen="Included",sizing_w10_nsxt_model&lt;&gt;"Shared"),VLOOKUP(sizing_w10_nsxt_appliance_size,table_nsxt_manager_disk_gb,2,FALSE),0)),IF(sizing_w10_nsxt_model="Dedicated - HA Cluster",3,1)),
        PRODUCT((IF(AND(sizing_w11_chosen="Included",sizing_w11_nsxt_model&lt;&gt;"Shared"),VLOOKUP(sizing_w11_nsxt_appliance_size,table_nsxt_manager_disk_gb,2,FALSE),0)),IF(sizing_w11_nsxt_model="Dedicated - HA Cluster",3,1)),
        PRODUCT((IF(AND(sizing_w12_chosen="Included",sizing_w12_nsxt_model&lt;&gt;"Shared"),VLOOKUP(sizing_w12_nsxt_appliance_size,table_nsxt_manager_disk_gb,2,FALSE),0)),IF(sizing_w12_nsxt_model="Dedicated - HA Cluster",3,1)),
        PRODUCT((IF(AND(sizing_w13_chosen="Included",sizing_w13_nsxt_model&lt;&gt;"Shared"),VLOOKUP(sizing_w13_nsxt_appliance_size,table_nsxt_manager_disk_gb,2,FALSE),0)),IF(sizing_w13_nsxt_model="Dedicated - HA Cluster",3,1)),
        PRODUCT((IF(AND(sizing_w14_chosen="Included",sizing_w14_nsxt_model&lt;&gt;"Shared"),VLOOKUP(sizing_w14_nsxt_appliance_size,table_nsxt_manager_disk_gb,2,FALSE),0)),IF(sizing_w14_nsxt_model="Dedicated - HA Cluster",3,1)),
        PRODUCT((IF(AND(sizing_w15_chosen="Included",sizing_w15_nsxt_model&lt;&gt;"Shared"),VLOOKUP(sizing_w15_nsxt_appliance_size,table_nsxt_manager_disk_gb,2,FALSE),0)),IF(sizing_w15_nsxt_model="Dedicated - HA Cluster",3,1)),
        PRODUCT((IF(AND(sizing_w16_chosen="Included",sizing_w16_nsxt_model&lt;&gt;"Shared"),VLOOKUP(sizing_w16_nsxt_appliance_size,table_nsxt_manager_disk_gb,2,FALSE),0)),IF(sizing_w16_nsxt_model="Dedicated - HA Cluster",3,1)),
        PRODUCT((IF(AND(sizing_w17_chosen="Included",sizing_w17_nsxt_model&lt;&gt;"Shared"),VLOOKUP(sizing_w17_nsxt_appliance_size,table_nsxt_manager_disk_gb,2,FALSE),0)),IF(sizing_w17_nsxt_model="Dedicated - HA Cluster",3,1)),
        PRODUCT((IF(AND(sizing_w18_chosen="Included",sizing_w18_nsxt_model&lt;&gt;"Shared"),VLOOKUP(sizing_w18_nsxt_appliance_size,table_nsxt_manager_disk_gb,2,FALSE),0)),IF(sizing_w18_nsxt_model="Dedicated - HA Cluster",3,1)),
        PRODUCT((IF(AND(sizing_w19_chosen="Included",sizing_w19_nsxt_model&lt;&gt;"Shared"),VLOOKUP(sizing_w19_nsxt_appliance_size,table_nsxt_manager_disk_gb,2,FALSE),0)),IF(sizing_w19_nsxt_model="Dedicated - HA Cluster",3,1)),
        PRODUCT((IF(AND(sizing_w20_chosen="Included",sizing_w20_nsxt_model&lt;&gt;"Shared"),VLOOKUP(sizing_w20_nsxt_appliance_size,table_nsxt_manager_disk_gb,2,FALSE),0)),IF(sizing_w20_nsxt_model="Dedicated - HA Cluster",3,1)),
        PRODUCT((IF(AND(sizing_w21_chosen="Included",sizing_w21_nsxt_model&lt;&gt;"Shared"),VLOOKUP(sizing_w21_nsxt_appliance_size,table_nsxt_manager_disk_gb,2,FALSE),0)),IF(sizing_w21_nsxt_model="Dedicated - HA Cluster",3,1)),
        PRODUCT((IF(AND(sizing_w22_chosen="Included",sizing_w22_nsxt_model&lt;&gt;"Shared"),VLOOKUP(sizing_w22_nsxt_appliance_size,table_nsxt_manager_disk_gb,2,FALSE),0)),IF(sizing_w22_nsxt_model="Dedicated - HA Cluster",3,1)),
        PRODUCT((IF(AND(sizing_w23_chosen="Included",sizing_w23_nsxt_model&lt;&gt;"Shared"),VLOOKUP(sizing_w23_nsxt_appliance_size,table_nsxt_manager_disk_gb,2,FALSE),0)),IF(sizing_w23_nsxt_model="Dedicated - HA Cluster",3,1)),
        PRODUCT((IF(AND(sizing_w24_chosen="Included",sizing_w24_nsxt_model&lt;&gt;"Shared"),VLOOKUP(sizing_w24_nsxt_appliance_size,table_nsxt_manager_disk_gb,2,FALSE),0)),IF(sizing_w24_nsxt_model="Dedicated - HA Cluster",3,1)),
        PRODUCT((IF(AND(sizing_w25_chosen="Included",sizing_w25_nsxt_model&lt;&gt;"Shared"),VLOOKUP(sizing_w25_nsxt_appliance_size,table_nsxt_manager_disk_gb,2,FALSE),0)),IF(sizing_w25_nsxt_model="Dedicated - HA Cluster",3,1)),
        PRODUCT((IF(AND(sizing_w26_chosen="Included",sizing_w26_nsxt_model&lt;&gt;"Shared"),VLOOKUP(sizing_w26_nsxt_appliance_size,table_nsxt_manager_disk_gb,2,FALSE),0)),IF(sizing_w26_nsxt_model="Dedicated - HA Cluster",3,1)),
        PRODUCT((IF(AND(sizing_w27_chosen="Included",sizing_w27_nsxt_model&lt;&gt;"Shared"),VLOOKUP(sizing_w27_nsxt_appliance_size,table_nsxt_manager_disk_gb,2,FALSE),0)),IF(sizing_w27_nsxt_model="Dedicated - HA Cluster",3,1)),
        PRODUCT((IF(AND(sizing_w28_chosen="Included",sizing_w28_nsxt_model&lt;&gt;"Shared"),VLOOKUP(sizing_w28_nsxt_appliance_size,table_nsxt_manager_disk_gb,2,FALSE),0)),IF(sizing_w28_nsxt_model="Dedicated - HA Cluster",3,1)),
        PRODUCT((IF(AND(sizing_w29_chosen="Included",sizing_w29_nsxt_model&lt;&gt;"Shared"),VLOOKUP(sizing_w29_nsxt_appliance_size,table_nsxt_manager_disk_gb,2,FALSE),0)),IF(sizing_w29_nsxt_model="Dedicated - HA Cluster",3,1)),
        PRODUCT((IF(AND(sizing_w30_chosen="Included",sizing_w30_nsxt_model&lt;&gt;"Shared"),VLOOKUP(sizing_w30_nsxt_appliance_size,table_nsxt_manager_disk_gb,2,FALSE),0)),IF(sizing_w30_nsxt_model="Dedicated - HA Cluster",3,1)),
        PRODUCT((IF(AND(sizing_w31_chosen="Included",sizing_w31_nsxt_model&lt;&gt;"Shared"),VLOOKUP(sizing_w31_nsxt_appliance_size,table_nsxt_manager_disk_gb,2,FALSE),0)),IF(sizing_w31_nsxt_model="Dedicated - HA Cluster",3,1)),
        PRODUCT((IF(AND(sizing_w32_chosen="Included",sizing_w32_nsxt_model&lt;&gt;"Shared"),VLOOKUP(sizing_w32_nsxt_appliance_size,table_nsxt_manager_disk_gb,2,FALSE),0)),IF(sizing_w32_nsxt_model="Dedicated - HA Cluster",3,1)),
        PRODUCT((IF(AND(sizing_w33_chosen="Included",sizing_w33_nsxt_model&lt;&gt;"Shared"),VLOOKUP(sizing_w33_nsxt_appliance_size,table_nsxt_manager_disk_gb,2,FALSE),0)),IF(sizing_w33_nsxt_model="Dedicated - HA Cluster",3,1)),
        PRODUCT((IF(AND(sizing_w34_chosen="Included",sizing_w34_nsxt_model&lt;&gt;"Shared"),VLOOKUP(sizing_w34_nsxt_appliance_size,table_nsxt_manager_disk_gb,2,FALSE),0)),IF(sizing_w34_nsxt_model="Dedicated - HA Cluster",3,1)),
        PRODUCT((IF(AND(sizing_w35_chosen="Included",sizing_w35_nsxt_model&lt;&gt;"Shared"),VLOOKUP(sizing_w35_nsxt_appliance_size,table_nsxt_manager_disk_gb,2,FALSE),0)),IF(sizing_w35_nsxt_model="Dedicated - HA Cluster",3,1)),
'Static Reference Tables'!B488)</f>
        <v>0</v>
      </c>
      <c r="O16" s="134" t="s">
        <v>3496</v>
      </c>
      <c r="P16" s="102"/>
      <c r="Q16" s="102"/>
      <c r="R16" s="432" t="str">
        <f>CONCATENATE(SUM(L8:L32))</f>
        <v>292</v>
      </c>
      <c r="S16" s="432"/>
      <c r="T16" s="3"/>
      <c r="U16" s="467"/>
      <c r="V16" s="467"/>
      <c r="W16" s="467"/>
      <c r="X16" s="467"/>
      <c r="Y16" s="467"/>
      <c r="Z16" s="467"/>
      <c r="AA16" s="467"/>
      <c r="AB16" s="467"/>
      <c r="AC16" s="128"/>
      <c r="AD16" s="128"/>
      <c r="AE16" s="128"/>
      <c r="AF16" s="128"/>
    </row>
    <row r="17" spans="2:33" ht="20" customHeight="1" x14ac:dyDescent="0.2">
      <c r="G17" s="134" t="s">
        <v>3497</v>
      </c>
      <c r="H17" s="102"/>
      <c r="I17" s="333"/>
      <c r="J17" s="8">
        <f>COUNTIF(S44:S78,"&lt;&gt;Excluded")*3</f>
        <v>0</v>
      </c>
      <c r="K17" s="8">
        <f>SUM(
(IF(AND(sizing_w01_chosen="Included",sizing_w01_avi_appliance_size&lt;&gt;"Excluded"),VLOOKUP(sizing_w01_avi_appliance_size,table_avi_lb_cpu,2,FALSE),0))*3,
(IF(AND(sizing_w02_chosen="Included",sizing_w02_avi_appliance_size&lt;&gt;"Excluded"),VLOOKUP(sizing_w02_avi_appliance_size,table_avi_lb_cpu,2,FALSE),0))*3,
(IF(AND(sizing_w03_chosen="Included",sizing_w03_avi_appliance_size&lt;&gt;"Excluded"),VLOOKUP(sizing_w03_avi_appliance_size,table_avi_lb_cpu,2,FALSE),0))*3,
(IF(AND(sizing_w04_chosen="Included",sizing_w04_avi_appliance_size&lt;&gt;"Excluded"),VLOOKUP(sizing_w04_avi_appliance_size,table_avi_lb_cpu,2,FALSE),0))*3,
(IF(AND(sizing_w05_chosen="Included",sizing_w05_avi_appliance_size&lt;&gt;"Excluded"),VLOOKUP(sizing_w05_avi_appliance_size,table_avi_lb_cpu,2,FALSE),0))*3,
(IF(AND(sizing_w06_chosen="Included",sizing_w06_avi_appliance_size&lt;&gt;"Excluded"),VLOOKUP(sizing_w06_avi_appliance_size,table_avi_lb_cpu,2,FALSE),0))*3,
(IF(AND(sizing_w07_chosen="Included",sizing_w07_avi_appliance_size&lt;&gt;"Excluded"),VLOOKUP(sizing_w07_avi_appliance_size,table_avi_lb_cpu,2,FALSE),0))*3,
(IF(AND(sizing_w08_chosen="Included",sizing_w08_avi_appliance_size&lt;&gt;"Excluded"),VLOOKUP(sizing_w08_avi_appliance_size,table_avi_lb_cpu,2,FALSE),0))*3,
(IF(AND(sizing_w09_chosen="Included",sizing_w09_avi_appliance_size&lt;&gt;"Excluded"),VLOOKUP(sizing_w09_avi_appliance_size,table_avi_lb_cpu,2,FALSE),0))*3,
(IF(AND(sizing_w10_chosen="Included",sizing_w10_avi_appliance_size&lt;&gt;"Excluded"),VLOOKUP(sizing_w10_avi_appliance_size,table_avi_lb_cpu,2,FALSE),0))*3,
(IF(AND(sizing_w11_chosen="Included",sizing_w11_avi_appliance_size&lt;&gt;"Excluded"),VLOOKUP(sizing_w11_avi_appliance_size,table_avi_lb_cpu,2,FALSE),0))*3,
(IF(AND(sizing_w12_chosen="Included",sizing_w12_avi_appliance_size&lt;&gt;"Excluded"),VLOOKUP(sizing_w12_avi_appliance_size,table_avi_lb_cpu,2,FALSE),0))*3,
(IF(AND(sizing_w13_chosen="Included",sizing_w13_avi_appliance_size&lt;&gt;"Excluded"),VLOOKUP(sizing_w13_avi_appliance_size,table_avi_lb_cpu,2,FALSE),0))*3,
(IF(AND(sizing_w14_chosen="Included",sizing_w14_avi_appliance_size&lt;&gt;"Excluded"),VLOOKUP(sizing_w14_avi_appliance_size,table_avi_lb_cpu,2,FALSE),0))*3,
(IF(AND(sizing_w15_chosen="Included",sizing_w15_avi_appliance_size&lt;&gt;"Excluded"),VLOOKUP(sizing_w15_avi_appliance_size,table_avi_lb_cpu,2,FALSE),0))*3,
(IF(AND(sizing_w16_chosen="Included",sizing_w16_avi_appliance_size&lt;&gt;"Excluded"),VLOOKUP(sizing_w16_avi_appliance_size,table_avi_lb_cpu,2,FALSE),0))*3,
(IF(AND(sizing_w17_chosen="Included",sizing_w17_avi_appliance_size&lt;&gt;"Excluded"),VLOOKUP(sizing_w17_avi_appliance_size,table_avi_lb_cpu,2,FALSE),0))*3,
(IF(AND(sizing_w18_chosen="Included",sizing_w18_avi_appliance_size&lt;&gt;"Excluded"),VLOOKUP(sizing_w18_avi_appliance_size,table_avi_lb_cpu,2,FALSE),0))*3,
(IF(AND(sizing_w19_chosen="Included",sizing_w19_avi_appliance_size&lt;&gt;"Excluded"),VLOOKUP(sizing_w19_avi_appliance_size,table_avi_lb_cpu,2,FALSE),0))*3,
(IF(AND(sizing_w20_chosen="Included",sizing_w20_avi_appliance_size&lt;&gt;"Excluded"),VLOOKUP(sizing_w20_avi_appliance_size,table_avi_lb_cpu,2,FALSE),0))*3,
(IF(AND(sizing_w21_chosen="Included",sizing_w21_avi_appliance_size&lt;&gt;"Excluded"),VLOOKUP(sizing_w21_avi_appliance_size,table_avi_lb_cpu,2,FALSE),0))*3,
(IF(AND(sizing_w22_chosen="Included",sizing_w22_avi_appliance_size&lt;&gt;"Excluded"),VLOOKUP(sizing_w22_avi_appliance_size,table_avi_lb_cpu,2,FALSE),0))*3,
(IF(AND(sizing_w23_chosen="Included",sizing_w23_avi_appliance_size&lt;&gt;"Excluded"),VLOOKUP(sizing_w23_avi_appliance_size,table_avi_lb_cpu,2,FALSE),0))*3,
(IF(AND(sizing_w24_chosen="Included",sizing_w24_avi_appliance_size&lt;&gt;"Excluded"),VLOOKUP(sizing_w24_avi_appliance_size,table_avi_lb_cpu,2,FALSE),0))*3,
(IF(AND(sizing_w25_chosen="Included",sizing_w25_avi_appliance_size&lt;&gt;"Excluded"),VLOOKUP(sizing_w25_avi_appliance_size,table_avi_lb_cpu,2,FALSE),0))*3,
(IF(AND(sizing_w26_chosen="Included",sizing_w26_avi_appliance_size&lt;&gt;"Excluded"),VLOOKUP(sizing_w26_avi_appliance_size,table_avi_lb_cpu,2,FALSE),0))*3,
(IF(AND(sizing_w27_chosen="Included",sizing_w27_avi_appliance_size&lt;&gt;"Excluded"),VLOOKUP(sizing_w27_avi_appliance_size,table_avi_lb_cpu,2,FALSE),0))*3,
(IF(AND(sizing_w28_chosen="Included",sizing_w28_avi_appliance_size&lt;&gt;"Excluded"),VLOOKUP(sizing_w28_avi_appliance_size,table_avi_lb_cpu,2,FALSE),0))*3,
(IF(AND(sizing_w29_chosen="Included",sizing_w29_avi_appliance_size&lt;&gt;"Excluded"),VLOOKUP(sizing_w29_avi_appliance_size,table_avi_lb_cpu,2,FALSE),0))*3,
(IF(AND(sizing_w30_chosen="Included",sizing_w30_avi_appliance_size&lt;&gt;"Excluded"),VLOOKUP(sizing_w30_avi_appliance_size,table_avi_lb_cpu,2,FALSE),0))*3,
(IF(AND(sizing_w31_chosen="Included",sizing_w31_avi_appliance_size&lt;&gt;"Excluded"),VLOOKUP(sizing_w31_avi_appliance_size,table_avi_lb_cpu,2,FALSE),0))*3,
(IF(AND(sizing_w32_chosen="Included",sizing_w32_avi_appliance_size&lt;&gt;"Excluded"),VLOOKUP(sizing_w32_avi_appliance_size,table_avi_lb_cpu,2,FALSE),0))*3,
(IF(AND(sizing_w33_chosen="Included",sizing_w33_avi_appliance_size&lt;&gt;"Excluded"),VLOOKUP(sizing_w33_avi_appliance_size,table_avi_lb_cpu,2,FALSE),0))*3,
(IF(AND(sizing_w34_chosen="Included",sizing_w34_avi_appliance_size&lt;&gt;"Excluded"),VLOOKUP(sizing_w34_avi_appliance_size,table_avi_lb_cpu,2,FALSE),0))*3,
(IF(AND(sizing_w35_chosen="Included",sizing_w35_avi_appliance_size&lt;&gt;"Excluded"),VLOOKUP(sizing_w35_avi_appliance_size,table_avi_lb_cpu,2,FALSE),0))*3)</f>
        <v>0</v>
      </c>
      <c r="L17" s="8">
        <f>SUM(
    (IF(AND(sizing_w01_chosen="Included",sizing_w01_avi_appliance_size&lt;&gt;"Excluded"),VLOOKUP(sizing_w01_avi_appliance_size,table_avi_lb_ram,2,FALSE),0))*3,
    (IF(AND(sizing_w02_chosen="Included",sizing_w02_avi_appliance_size&lt;&gt;"Excluded"),VLOOKUP(sizing_w02_avi_appliance_size,table_avi_lb_ram,2,FALSE),0))*3,
    (IF(AND(sizing_w03_chosen="Included",sizing_w03_avi_appliance_size&lt;&gt;"Excluded"),VLOOKUP(sizing_w03_avi_appliance_size,table_avi_lb_ram,2,FALSE),0))*3,
    (IF(AND(sizing_w04_chosen="Included",sizing_w04_avi_appliance_size&lt;&gt;"Excluded"),VLOOKUP(sizing_w04_avi_appliance_size,table_avi_lb_ram,2,FALSE),0))*3,
    (IF(AND(sizing_w05_chosen="Included",sizing_w05_avi_appliance_size&lt;&gt;"Excluded"),VLOOKUP(sizing_w05_avi_appliance_size,table_avi_lb_ram,2,FALSE),0))*3,
    (IF(AND(sizing_w06_chosen="Included",sizing_w06_avi_appliance_size&lt;&gt;"Excluded"),VLOOKUP(sizing_w06_avi_appliance_size,table_avi_lb_ram,2,FALSE),0))*3,
    (IF(AND(sizing_w07_chosen="Included",sizing_w07_avi_appliance_size&lt;&gt;"Excluded"),VLOOKUP(sizing_w07_avi_appliance_size,table_avi_lb_ram,2,FALSE),0))*3,
    (IF(AND(sizing_w08_chosen="Included",sizing_w08_avi_appliance_size&lt;&gt;"Excluded"),VLOOKUP(sizing_w08_avi_appliance_size,table_avi_lb_ram,2,FALSE),0))*3,
    (IF(AND(sizing_w09_chosen="Included",sizing_w09_avi_appliance_size&lt;&gt;"Excluded"),VLOOKUP(sizing_w09_avi_appliance_size,table_avi_lb_ram,2,FALSE),0))*3,
    (IF(AND(sizing_w10_chosen="Included",sizing_w10_avi_appliance_size&lt;&gt;"Excluded"),VLOOKUP(sizing_w10_avi_appliance_size,table_avi_lb_ram,2,FALSE),0))*3,
    (IF(AND(sizing_w11_chosen="Included",sizing_w11_avi_appliance_size&lt;&gt;"Excluded"),VLOOKUP(sizing_w11_avi_appliance_size,table_avi_lb_ram,2,FALSE),0))*3,
    (IF(AND(sizing_w12_chosen="Included",sizing_w12_avi_appliance_size&lt;&gt;"Excluded"),VLOOKUP(sizing_w12_avi_appliance_size,table_avi_lb_ram,2,FALSE),0))*3,
    (IF(AND(sizing_w13_chosen="Included",sizing_w13_avi_appliance_size&lt;&gt;"Excluded"),VLOOKUP(sizing_w13_avi_appliance_size,table_avi_lb_ram,2,FALSE),0))*3,
    (IF(AND(sizing_w14_chosen="Included",sizing_w14_avi_appliance_size&lt;&gt;"Excluded"),VLOOKUP(sizing_w14_avi_appliance_size,table_avi_lb_ram,2,FALSE),0))*3,
    (IF(AND(sizing_w15_chosen="Included",sizing_w15_avi_appliance_size&lt;&gt;"Excluded"),VLOOKUP(sizing_w15_avi_appliance_size,table_avi_lb_ram,2,FALSE),0))*3,
    (IF(AND(sizing_w16_chosen="Included",sizing_w16_avi_appliance_size&lt;&gt;"Excluded"),VLOOKUP(sizing_w16_avi_appliance_size,table_avi_lb_ram,2,FALSE),0))*3,
    (IF(AND(sizing_w17_chosen="Included",sizing_w17_avi_appliance_size&lt;&gt;"Excluded"),VLOOKUP(sizing_w17_avi_appliance_size,table_avi_lb_ram,2,FALSE),0))*3,
    (IF(AND(sizing_w18_chosen="Included",sizing_w18_avi_appliance_size&lt;&gt;"Excluded"),VLOOKUP(sizing_w18_avi_appliance_size,table_avi_lb_ram,2,FALSE),0))*3,
    (IF(AND(sizing_w19_chosen="Included",sizing_w19_avi_appliance_size&lt;&gt;"Excluded"),VLOOKUP(sizing_w19_avi_appliance_size,table_avi_lb_ram,2,FALSE),0))*3,
    (IF(AND(sizing_w20_chosen="Included",sizing_w20_avi_appliance_size&lt;&gt;"Excluded"),VLOOKUP(sizing_w20_avi_appliance_size,table_avi_lb_ram,2,FALSE),0))*3,
    (IF(AND(sizing_w21_chosen="Included",sizing_w21_avi_appliance_size&lt;&gt;"Excluded"),VLOOKUP(sizing_w21_avi_appliance_size,table_avi_lb_ram,2,FALSE),0))*3,
    (IF(AND(sizing_w22_chosen="Included",sizing_w22_avi_appliance_size&lt;&gt;"Excluded"),VLOOKUP(sizing_w22_avi_appliance_size,table_avi_lb_ram,2,FALSE),0))*3,
    (IF(AND(sizing_w23_chosen="Included",sizing_w23_avi_appliance_size&lt;&gt;"Excluded"),VLOOKUP(sizing_w23_avi_appliance_size,table_avi_lb_ram,2,FALSE),0))*3,
    (IF(AND(sizing_w24_chosen="Included",sizing_w24_avi_appliance_size&lt;&gt;"Excluded"),VLOOKUP(sizing_w24_avi_appliance_size,table_avi_lb_ram,2,FALSE),0))*3,
(IF(AND(sizing_w25_chosen="Included",sizing_w25_avi_appliance_size&lt;&gt;"Excluded"),VLOOKUP(sizing_w25_avi_appliance_size,table_avi_lb_ram,2,FALSE),0))*3,
(IF(AND(sizing_w26_chosen="Included",sizing_w26_avi_appliance_size&lt;&gt;"Excluded"),VLOOKUP(sizing_w26_avi_appliance_size,table_avi_lb_ram,2,FALSE),0))*3,
(IF(AND(sizing_w27_chosen="Included",sizing_w27_avi_appliance_size&lt;&gt;"Excluded"),VLOOKUP(sizing_w27_avi_appliance_size,table_avi_lb_ram,2,FALSE),0))*3,
(IF(AND(sizing_w28_chosen="Included",sizing_w28_avi_appliance_size&lt;&gt;"Excluded"),VLOOKUP(sizing_w28_avi_appliance_size,table_avi_lb_ram,2,FALSE),0))*3,
(IF(AND(sizing_w29_chosen="Included",sizing_w29_avi_appliance_size&lt;&gt;"Excluded"),VLOOKUP(sizing_w29_avi_appliance_size,table_avi_lb_ram,2,FALSE),0))*3,
(IF(AND(sizing_w30_chosen="Included",sizing_w30_avi_appliance_size&lt;&gt;"Excluded"),VLOOKUP(sizing_w30_avi_appliance_size,table_avi_lb_ram,2,FALSE),0))*3,
(IF(AND(sizing_w31_chosen="Included",sizing_w31_avi_appliance_size&lt;&gt;"Excluded"),VLOOKUP(sizing_w31_avi_appliance_size,table_avi_lb_ram,2,FALSE),0))*3,
(IF(AND(sizing_w32_chosen="Included",sizing_w32_avi_appliance_size&lt;&gt;"Excluded"),VLOOKUP(sizing_w32_avi_appliance_size,table_avi_lb_ram,2,FALSE),0))*3,
(IF(AND(sizing_w33_chosen="Included",sizing_w33_avi_appliance_size&lt;&gt;"Excluded"),VLOOKUP(sizing_w33_avi_appliance_size,table_avi_lb_ram,2,FALSE),0))*3,
(IF(AND(sizing_w34_chosen="Included",sizing_w34_avi_appliance_size&lt;&gt;"Excluded"),VLOOKUP(sizing_w34_avi_appliance_size,table_avi_lb_ram,2,FALSE),0))*3,
(IF(AND(sizing_w35_chosen="Included",sizing_w35_avi_appliance_size&lt;&gt;"Excluded"),VLOOKUP(sizing_w35_avi_appliance_size,table_avi_lb_ram,2,FALSE),0))*3)</f>
        <v>0</v>
      </c>
      <c r="M17" s="8">
        <f>SUM(
(IF(AND(sizing_w01_chosen="Included",sizing_w01_avi_appliance_size&lt;&gt;"Excluded"),VLOOKUP(sizing_w01_avi_appliance_size,table_avi_lb_disk,2,FALSE),0))*3,
(IF(AND(sizing_w02_chosen="Included",sizing_w02_avi_appliance_size&lt;&gt;"Excluded"),VLOOKUP(sizing_w02_avi_appliance_size,table_avi_lb_disk,2,FALSE),0))*3,
(IF(AND(sizing_w03_chosen="Included",sizing_w03_avi_appliance_size&lt;&gt;"Excluded"),VLOOKUP(sizing_w03_avi_appliance_size,table_avi_lb_disk,2,FALSE),0))*3,
(IF(AND(sizing_w04_chosen="Included",sizing_w04_avi_appliance_size&lt;&gt;"Excluded"),VLOOKUP(sizing_w04_avi_appliance_size,table_avi_lb_disk,2,FALSE),0))*3,
(IF(AND(sizing_w05_chosen="Included",sizing_w05_avi_appliance_size&lt;&gt;"Excluded"),VLOOKUP(sizing_w05_avi_appliance_size,table_avi_lb_disk,2,FALSE),0))*3,
(IF(AND(sizing_w06_chosen="Included",sizing_w06_avi_appliance_size&lt;&gt;"Excluded"),VLOOKUP(sizing_w06_avi_appliance_size,table_avi_lb_disk,2,FALSE),0))*3,
(IF(AND(sizing_w07_chosen="Included",sizing_w07_avi_appliance_size&lt;&gt;"Excluded"),VLOOKUP(sizing_w07_avi_appliance_size,table_avi_lb_disk,2,FALSE),0))*3,
(IF(AND(sizing_w08_chosen="Included",sizing_w08_avi_appliance_size&lt;&gt;"Excluded"),VLOOKUP(sizing_w08_avi_appliance_size,table_avi_lb_disk,2,FALSE),0))*3,
(IF(AND(sizing_w09_chosen="Included",sizing_w09_avi_appliance_size&lt;&gt;"Excluded"),VLOOKUP(sizing_w09_avi_appliance_size,table_avi_lb_disk,2,FALSE),0))*3,
(IF(AND(sizing_w10_chosen="Included",sizing_w10_avi_appliance_size&lt;&gt;"Excluded"),VLOOKUP(sizing_w10_avi_appliance_size,table_avi_lb_disk,2,FALSE),0))*3,
(IF(AND(sizing_w11_chosen="Included",sizing_w11_avi_appliance_size&lt;&gt;"Excluded"),VLOOKUP(sizing_w11_avi_appliance_size,table_avi_lb_disk,2,FALSE),0))*3,
(IF(AND(sizing_w12_chosen="Included",sizing_w12_avi_appliance_size&lt;&gt;"Excluded"),VLOOKUP(sizing_w12_avi_appliance_size,table_avi_lb_disk,2,FALSE),0))*3,
(IF(AND(sizing_w13_chosen="Included",sizing_w13_avi_appliance_size&lt;&gt;"Excluded"),VLOOKUP(sizing_w13_avi_appliance_size,table_avi_lb_disk,2,FALSE),0))*3,
(IF(AND(sizing_w14_chosen="Included",sizing_w14_avi_appliance_size&lt;&gt;"Excluded"),VLOOKUP(sizing_w14_avi_appliance_size,table_avi_lb_disk,2,FALSE),0))*3,
(IF(AND(sizing_w15_chosen="Included",sizing_w15_avi_appliance_size&lt;&gt;"Excluded"),VLOOKUP(sizing_w15_avi_appliance_size,table_avi_lb_disk,2,FALSE),0))*3,
(IF(AND(sizing_w16_chosen="Included",sizing_w16_avi_appliance_size&lt;&gt;"Excluded"),VLOOKUP(sizing_w16_avi_appliance_size,table_avi_lb_disk,2,FALSE),0))*3,
(IF(AND(sizing_w17_chosen="Included",sizing_w17_avi_appliance_size&lt;&gt;"Excluded"),VLOOKUP(sizing_w17_avi_appliance_size,table_avi_lb_disk,2,FALSE),0))*3,
(IF(AND(sizing_w18_chosen="Included",sizing_w18_avi_appliance_size&lt;&gt;"Excluded"),VLOOKUP(sizing_w18_avi_appliance_size,table_avi_lb_disk,2,FALSE),0))*3,
(IF(AND(sizing_w19_chosen="Included",sizing_w19_avi_appliance_size&lt;&gt;"Excluded"),VLOOKUP(sizing_w19_avi_appliance_size,table_avi_lb_disk,2,FALSE),0))*3,
(IF(AND(sizing_w20_chosen="Included",sizing_w20_avi_appliance_size&lt;&gt;"Excluded"),VLOOKUP(sizing_w20_avi_appliance_size,table_avi_lb_disk,2,FALSE),0))*3,
(IF(AND(sizing_w21_chosen="Included",sizing_w21_avi_appliance_size&lt;&gt;"Excluded"),VLOOKUP(sizing_w21_avi_appliance_size,table_avi_lb_disk,2,FALSE),0))*3,
(IF(AND(sizing_w22_chosen="Included",sizing_w22_avi_appliance_size&lt;&gt;"Excluded"),VLOOKUP(sizing_w22_avi_appliance_size,table_avi_lb_disk,2,FALSE),0))*3,
(IF(AND(sizing_w23_chosen="Included",sizing_w23_avi_appliance_size&lt;&gt;"Excluded"),VLOOKUP(sizing_w23_avi_appliance_size,table_avi_lb_disk,2,FALSE),0))*3,
(IF(AND(sizing_w24_chosen="Included",sizing_w24_avi_appliance_size&lt;&gt;"Excluded"),VLOOKUP(sizing_w24_avi_appliance_size,table_avi_lb_disk,2,FALSE),0))*3,
(IF(AND(sizing_w25_chosen="Included",sizing_w25_avi_appliance_size&lt;&gt;"Excluded"),VLOOKUP(sizing_w25_avi_appliance_size,table_avi_lb_disk,2,FALSE),0))*3,
(IF(AND(sizing_w26_chosen="Included",sizing_w26_avi_appliance_size&lt;&gt;"Excluded"),VLOOKUP(sizing_w26_avi_appliance_size,table_avi_lb_disk,2,FALSE),0))*3,
(IF(AND(sizing_w27_chosen="Included",sizing_w27_avi_appliance_size&lt;&gt;"Excluded"),VLOOKUP(sizing_w27_avi_appliance_size,table_avi_lb_disk,2,FALSE),0))*3,
(IF(AND(sizing_w28_chosen="Included",sizing_w28_avi_appliance_size&lt;&gt;"Excluded"),VLOOKUP(sizing_w28_avi_appliance_size,table_avi_lb_disk,2,FALSE),0))*3,
(IF(AND(sizing_w29_chosen="Included",sizing_w29_avi_appliance_size&lt;&gt;"Excluded"),VLOOKUP(sizing_w29_avi_appliance_size,table_avi_lb_disk,2,FALSE),0))*3,
(IF(AND(sizing_w30_chosen="Included",sizing_w30_avi_appliance_size&lt;&gt;"Excluded"),VLOOKUP(sizing_w30_avi_appliance_size,table_avi_lb_disk,2,FALSE),0))*3,
(IF(AND(sizing_w31_chosen="Included",sizing_w31_avi_appliance_size&lt;&gt;"Excluded"),VLOOKUP(sizing_w31_avi_appliance_size,table_avi_lb_disk,2,FALSE),0))*3,
(IF(AND(sizing_w32_chosen="Included",sizing_w32_avi_appliance_size&lt;&gt;"Excluded"),VLOOKUP(sizing_w32_avi_appliance_size,table_avi_lb_disk,2,FALSE),0))*3,
(IF(AND(sizing_w33_chosen="Included",sizing_w33_avi_appliance_size&lt;&gt;"Excluded"),VLOOKUP(sizing_w33_avi_appliance_size,table_avi_lb_disk,2,FALSE),0))*3,
(IF(AND(sizing_w34_chosen="Included",sizing_w34_avi_appliance_size&lt;&gt;"Excluded"),VLOOKUP(sizing_w34_avi_appliance_size,table_avi_lb_disk,2,FALSE),0))*3,
(IF(AND(sizing_w35_chosen="Included",sizing_w35_avi_appliance_size&lt;&gt;"Excluded"),VLOOKUP(sizing_w35_avi_appliance_size,table_avi_lb_disk,2,FALSE),0))*3)</f>
        <v>0</v>
      </c>
      <c r="O17" s="134" t="s">
        <v>3498</v>
      </c>
      <c r="P17" s="102"/>
      <c r="Q17" s="102"/>
      <c r="R17" s="432">
        <f>R15+R16</f>
        <v>7939</v>
      </c>
      <c r="S17" s="432"/>
      <c r="T17" s="3"/>
      <c r="U17" s="467"/>
      <c r="V17" s="467"/>
      <c r="W17" s="467"/>
      <c r="X17" s="467"/>
      <c r="Y17" s="467"/>
      <c r="Z17" s="467"/>
      <c r="AA17" s="467"/>
      <c r="AB17" s="467"/>
      <c r="AC17" s="128"/>
      <c r="AD17" s="128"/>
      <c r="AE17" s="128"/>
      <c r="AF17" s="128"/>
    </row>
    <row r="18" spans="2:33" ht="20" customHeight="1" x14ac:dyDescent="0.2">
      <c r="B18" s="427" t="s">
        <v>3883</v>
      </c>
      <c r="C18" s="428"/>
      <c r="D18" s="428"/>
      <c r="E18" s="429"/>
      <c r="G18" s="134" t="s">
        <v>3499</v>
      </c>
      <c r="H18" s="102"/>
      <c r="I18" s="333"/>
      <c r="J18" s="8">
        <f>SUM(PRODUCT(8,COUNTIF(V44:V78,"Include")))</f>
        <v>0</v>
      </c>
      <c r="K18" s="120">
        <f>SUM((PRODUCT((VLOOKUP("Include",table_ssp_cpu,2,FALSE)),COUNTIF(V44:V78,"Include"))))</f>
        <v>0</v>
      </c>
      <c r="L18" s="120">
        <f>SUM((PRODUCT((VLOOKUP("Include",table_ssp_ram,2,FALSE)),COUNTIF(V44:V78,"Include"))))</f>
        <v>0</v>
      </c>
      <c r="M18" s="120">
        <f>SUM((PRODUCT((VLOOKUP("Include",table_ssp_disk,2,FALSE)),COUNTIF(V44:V78,"Include"))))</f>
        <v>0</v>
      </c>
      <c r="O18" s="134" t="s">
        <v>3500</v>
      </c>
      <c r="P18" s="102"/>
      <c r="Q18" s="102"/>
      <c r="R18" s="432">
        <f>ROUNDUP(IF(sizing_storage_type="vSAN-ESA",R17*1.5,R17*2),0)</f>
        <v>11909</v>
      </c>
      <c r="S18" s="432"/>
      <c r="T18" s="3"/>
      <c r="U18" s="467"/>
      <c r="V18" s="467"/>
      <c r="W18" s="467"/>
      <c r="X18" s="467"/>
      <c r="Y18" s="467"/>
      <c r="Z18" s="467"/>
      <c r="AA18" s="467"/>
      <c r="AB18" s="467"/>
      <c r="AC18" s="128"/>
      <c r="AD18" s="128"/>
      <c r="AE18" s="128"/>
      <c r="AF18" s="128"/>
    </row>
    <row r="19" spans="2:33" ht="20" customHeight="1" x14ac:dyDescent="0.2">
      <c r="B19" s="472" t="s">
        <v>3474</v>
      </c>
      <c r="C19" s="476"/>
      <c r="D19" s="473"/>
      <c r="E19" s="129" t="s">
        <v>1043</v>
      </c>
      <c r="G19" s="454" t="s">
        <v>4115</v>
      </c>
      <c r="H19" s="455"/>
      <c r="I19" s="456"/>
      <c r="J19" s="8">
        <f>IF(sizing_vdefend_licensing_hub_chosen="Include",3,0)</f>
        <v>0</v>
      </c>
      <c r="K19" s="8">
        <f>IF(sizing_vdefend_licensing_hub_chosen="Include",sizing_table_ssp_lic_cpu,0)</f>
        <v>0</v>
      </c>
      <c r="L19" s="8">
        <f>IF(sizing_vdefend_licensing_hub_chosen="Include",sizing_table_ssp_lic_ram,0)</f>
        <v>0</v>
      </c>
      <c r="M19" s="8">
        <f>IF(sizing_vdefend_licensing_hub_chosen="Include",sizing_table_ssp_lic_disk,0)</f>
        <v>0</v>
      </c>
      <c r="O19" s="134" t="s">
        <v>3501</v>
      </c>
      <c r="P19" s="102"/>
      <c r="Q19" s="102"/>
      <c r="R19" s="432">
        <f>ROUNDUP(R18*(1+(sizing_virtual_machine_overhead/100)),0)</f>
        <v>15482</v>
      </c>
      <c r="S19" s="432"/>
      <c r="T19" s="32"/>
      <c r="U19" s="467"/>
      <c r="V19" s="467"/>
      <c r="W19" s="467"/>
      <c r="X19" s="467"/>
      <c r="Y19" s="467"/>
      <c r="Z19" s="467"/>
      <c r="AA19" s="467"/>
      <c r="AB19" s="467"/>
      <c r="AC19" s="128"/>
      <c r="AD19" s="128"/>
      <c r="AE19" s="128"/>
      <c r="AF19" s="128"/>
    </row>
    <row r="20" spans="2:33" ht="20" customHeight="1" x14ac:dyDescent="0.2">
      <c r="B20" s="454" t="s">
        <v>3881</v>
      </c>
      <c r="C20" s="455"/>
      <c r="D20" s="456"/>
      <c r="E20" s="66" t="s">
        <v>2145</v>
      </c>
      <c r="G20" s="134" t="s">
        <v>3739</v>
      </c>
      <c r="H20" s="102"/>
      <c r="I20" s="333"/>
      <c r="J20" s="8">
        <f>IF(sizing_vcf_deployment_model_chosen="Exclude","0",VLOOKUP(sizing_vcf_deployment_model_chosen,table_vcfms_control_nodes,2,FALSE))</f>
        <v>3</v>
      </c>
      <c r="K20" s="8">
        <f>IF(E22="Exclude","0",VLOOKUP(E22,table_vcfms_control_cpu,2,FALSE)*J20)</f>
        <v>12</v>
      </c>
      <c r="L20" s="8">
        <f>IF(E22="Exclude",0,VLOOKUP(E22,table_vcfms_control_ram,2,FALSE)*J20)</f>
        <v>30</v>
      </c>
      <c r="M20" s="8">
        <f>IF(E22="Exclude",0,VLOOKUP(E22,table_vcfms_control_disk,2,FALSE)*J20)</f>
        <v>300</v>
      </c>
      <c r="O20" s="134" t="s">
        <v>3502</v>
      </c>
      <c r="P20" s="102"/>
      <c r="Q20" s="102"/>
      <c r="R20" s="445">
        <f>IF(OR((sizing_storage_type="FC"),(sizing_storage_type="NFS")),ROUNDUP(R17*(1+(sizing_estimated_growth/100)),0),ROUNDUP(R19*(1+(sizing_estimated_growth/100)),0))</f>
        <v>17031</v>
      </c>
      <c r="S20" s="446"/>
      <c r="T20" s="32"/>
      <c r="U20" s="467"/>
      <c r="V20" s="467"/>
      <c r="W20" s="467"/>
      <c r="X20" s="467"/>
      <c r="Y20" s="467"/>
      <c r="Z20" s="467"/>
      <c r="AA20" s="467"/>
      <c r="AB20" s="467"/>
      <c r="AC20" s="128"/>
      <c r="AD20" s="128"/>
      <c r="AE20" s="128"/>
      <c r="AF20" s="128"/>
    </row>
    <row r="21" spans="2:33" ht="20" customHeight="1" x14ac:dyDescent="0.2">
      <c r="B21" s="454" t="s">
        <v>3880</v>
      </c>
      <c r="C21" s="455"/>
      <c r="D21" s="456"/>
      <c r="E21" s="66" t="s">
        <v>3867</v>
      </c>
      <c r="G21" s="134" t="s">
        <v>3735</v>
      </c>
      <c r="H21" s="102"/>
      <c r="I21" s="333"/>
      <c r="J21" s="8">
        <f>IF(sizing_vcf_deployment_model_chosen="Exclude","0",
IF(AND(sizing_vcf_instance_model="Additional Instance",sizing_vcf_deployment_size_chosen="Large"),"3",
IF(sizing_vcf_instance_model="Additional Instance","2",
IF(sizing_vcf_deployment_model_chosen="Simple",3,VLOOKUP(sizing_vcf_deployment_size_chosen,table_vcfms_worker_nodes,2,FALSE)))))</f>
        <v>3</v>
      </c>
      <c r="K21" s="8">
        <f>IF(sizing_vcf_deployment_model_chosen="Exclude","0",VLOOKUP(E22,table_vcfms_worker_cpu,2,FALSE)*J21)</f>
        <v>72</v>
      </c>
      <c r="L21" s="8">
        <f>IF(sizing_vcf_deployment_model_chosen="Exclude",0,VLOOKUP(E22,table_vcfms_worker_ram,2,FALSE)*J21)</f>
        <v>144</v>
      </c>
      <c r="M21" s="8">
        <f>SUM(IF(sizing_vcf_deployment_model_chosen="Exclude",0,VLOOKUP(E22,table_vcfms_worker_disk,2,FALSE)*J21),
IF(AND(sizing_vcf_instance_model="First Instance",sizing_vcf_deployment_size_chosen="Small"),2600,
IF(AND(sizing_vcf_instance_model="First Instance",sizing_vcf_deployment_size_chosen="Medium"),3000,
IF(AND(sizing_vcf_instance_model="First Instance",sizing_vcf_deployment_size_chosen="Large"),3702,
IF(AND(sizing_vcf_instance_model="Additional Instance",sizing_vcf_deployment_size_chosen="Small"),800,
IF(AND(sizing_vcf_instance_model="Additional Instance",sizing_vcf_deployment_size_chosen="Medium"),1002,
IF(AND(sizing_vcf_instance_model="Additional Instance",sizing_vcf_deployment_size_chosen="Large"),1200,"0")))))))</f>
        <v>3300</v>
      </c>
      <c r="O21" s="67" t="s">
        <v>3503</v>
      </c>
      <c r="P21" s="97"/>
      <c r="Q21" s="97"/>
      <c r="R21" s="483" t="str">
        <f>CONCATENATE(ROUNDUP(R20/(calculated_mgmt_host_count-1),0)," GB Disk")</f>
        <v>5677 GB Disk</v>
      </c>
      <c r="S21" s="483"/>
      <c r="U21" s="467"/>
      <c r="V21" s="467"/>
      <c r="W21" s="467"/>
      <c r="X21" s="467"/>
      <c r="Y21" s="467"/>
      <c r="Z21" s="467"/>
      <c r="AA21" s="467"/>
      <c r="AB21" s="467"/>
      <c r="AC21" s="128"/>
      <c r="AD21" s="128"/>
      <c r="AE21" s="128"/>
      <c r="AF21" s="128"/>
    </row>
    <row r="22" spans="2:33" ht="20" customHeight="1" x14ac:dyDescent="0.2">
      <c r="B22" s="454" t="s">
        <v>3679</v>
      </c>
      <c r="C22" s="455"/>
      <c r="D22" s="456"/>
      <c r="E22" s="66" t="s">
        <v>92</v>
      </c>
      <c r="G22" s="134" t="s">
        <v>1118</v>
      </c>
      <c r="H22" s="102"/>
      <c r="I22" s="333"/>
      <c r="J22" s="8">
        <f>IF(AND(sizing_advanced_mgmt_chosen="Selected",sizing_advanced_vcfops_size_chosen="Exclude"),0,
IF(AND(sizing_advanced_mgmt_chosen="Selected",sizing_advanced_vcfops_model_chosen="HA Cluster"),3,
IF(AND(sizing_advanced_mgmt_chosen="Selected",sizing_advanced_vcfops_model_chosen="Single Node"),1,
IF(sizing_vcfops_ha_chosen="Include",IF(sizing_vcf_deployment_model_chosen="High Availability",3,IF(sizing_vcf_deployment_model_chosen="Simple",1,0)),0))))</f>
        <v>0</v>
      </c>
      <c r="K22" s="8">
        <f>IF(AND(sizing_advanced_mgmt_chosen="Selected",sizing_advanced_vcfops_size_chosen="Exclude"),0,
IF(sizing_advanced_mgmt_chosen="Selected",PRODUCT(VLOOKUP(sizing_advanced_vcfops_size_chosen,table_vcfops_appliance_cpu,2,FALSE),J22),
IF(sizing_vcf_deployment_model_chosen&lt;&gt;"Exclude",
IF(AND(sizing_vcf_deployment_size_chosen="Small",sizing_vcf_deployment_model_chosen="High Availability"),PRODUCT(VLOOKUP("Medium",table_vcfops_appliance_cpu,2,FALSE),J22),
IF(AND(sizing_vcf_deployment_size_chosen="Medium",sizing_vcf_deployment_model_chosen="High Availability"),PRODUCT(VLOOKUP("Large",table_vcfops_appliance_cpu,2,FALSE),J22),
IF(AND(sizing_vcf_deployment_size_chosen="Large",sizing_vcf_deployment_model_chosen="High Availability"),PRODUCT(VLOOKUP("Extra Large",table_vcfops_appliance_cpu,2,FALSE),J22),
IF(sizing_vcf_deployment_size_chosen="Small",PRODUCT(VLOOKUP(E22,table_vcfops_appliance_cpu,2,FALSE),J22),0)))))))</f>
        <v>0</v>
      </c>
      <c r="L22" s="8">
        <f>IF(AND(sizing_advanced_mgmt_chosen="Selected",sizing_advanced_vcfops_size_chosen="Exclude"),0,
IF(sizing_advanced_mgmt_chosen="Selected",PRODUCT(VLOOKUP(sizing_advanced_vcfops_size_chosen,table_vcfops_appliance_ram,2,FALSE),J22),
IF(sizing_vcf_deployment_model_chosen&lt;&gt;"Exclude",
IF(AND(sizing_vcf_deployment_size_chosen="Small",sizing_vcf_deployment_model_chosen="High Availability"),PRODUCT(VLOOKUP("Medium",table_vcfops_appliance_ram,2,FALSE),J22),
IF(AND(sizing_vcf_deployment_size_chosen="Medium",sizing_vcf_deployment_model_chosen="High Availability"),PRODUCT(VLOOKUP("Large",table_vcfops_appliance_ram,2,FALSE),J22),
IF(AND(sizing_vcf_deployment_size_chosen="Large",sizing_vcf_deployment_model_chosen="High Availability"),PRODUCT(VLOOKUP("Extra Large",table_vcfops_appliance_ram,2,FALSE),J22),
IF(sizing_vcf_deployment_size_chosen="Small",PRODUCT(VLOOKUP(E22,table_vcfops_appliance_ram,2,FALSE),J22),0)))))))</f>
        <v>0</v>
      </c>
      <c r="M22" s="8">
        <f>IF(AND(sizing_advanced_mgmt_chosen="Selected",sizing_advanced_vcfops_size_chosen="Exclude"),0,
IF(sizing_advanced_mgmt_chosen="Selected",PRODUCT(VLOOKUP(sizing_advanced_vcfops_size_chosen,table_vcfops_appliance_disk,2,FALSE),J22),
IF(sizing_vcf_deployment_model_chosen&lt;&gt;"Exclude",
IF(AND(sizing_vcf_deployment_size_chosen="Small",sizing_vcf_deployment_model_chosen="High Availability"),PRODUCT(VLOOKUP("Medium",table_vcfops_appliance_disk,2,FALSE),J22),
IF(AND(sizing_vcf_deployment_size_chosen="Medium",sizing_vcf_deployment_model_chosen="High Availability"),PRODUCT(VLOOKUP("Large",table_vcfops_appliance_disk,2,FALSE),J22),
IF(AND(sizing_vcf_deployment_size_chosen="Large",sizing_vcf_deployment_model_chosen="High Availability"),PRODUCT(VLOOKUP("Extra Large",table_vcfops_appliance_disk,2,FALSE),J22),
IF(sizing_vcf_deployment_size_chosen="Small",PRODUCT(VLOOKUP(E22,table_vcfops_appliance_disk,2,FALSE),J22),0)))))))</f>
        <v>0</v>
      </c>
      <c r="U22" s="467"/>
      <c r="V22" s="467"/>
      <c r="W22" s="467"/>
      <c r="X22" s="467"/>
      <c r="Y22" s="467"/>
      <c r="Z22" s="467"/>
      <c r="AA22" s="467"/>
      <c r="AB22" s="467"/>
      <c r="AC22" s="128"/>
      <c r="AD22" s="128"/>
      <c r="AE22" s="128"/>
      <c r="AF22" s="128"/>
    </row>
    <row r="23" spans="2:33" ht="20" customHeight="1" x14ac:dyDescent="0.2">
      <c r="B23" s="54" t="s">
        <v>3691</v>
      </c>
      <c r="C23" s="55"/>
      <c r="D23" s="55"/>
      <c r="E23" s="56"/>
      <c r="G23" s="134" t="s">
        <v>3760</v>
      </c>
      <c r="H23" s="102"/>
      <c r="I23" s="333"/>
      <c r="J23" s="8">
        <f>IF(AND(sizing_advanced_mgmt_chosen="Selected",sizing_advanced_vcfops_collector_chosen="Exclude"),0,
IF(AND(sizing_advanced_mgmt_chosen="Selected",sizing_advanced_vcfops_collector_chosen&lt;&gt;"Exclude"),1,
IF(sizing_vcfops_collector_chosen="Include",1,0)))</f>
        <v>0</v>
      </c>
      <c r="K23" s="8">
        <f>IF(AND(sizing_advanced_mgmt_chosen="Selected",sizing_advanced_vcfops_collector_chosen="Exclude"),0,
IF(AND(sizing_advanced_mgmt_chosen="Selected",sizing_advanced_vcfops_collector_chosen="Standard"),VLOOKUP("Medium",table_vcfo_p_cpu,2,FALSE),
IF(AND(sizing_advanced_mgmt_chosen="Selected",sizing_advanced_vcfops_collector_chosen="Small"),VLOOKUP(sizing_advanced_vcfops_collector_chosen,table_vcfo_p_cpu,2,FALSE),
IF(sizing_vcfops_collector_chosen="Include",VLOOKUP(sizing_vcf_deployment_size_chosen,table_vcfo_p_cpu,2,FALSE),0))))</f>
        <v>0</v>
      </c>
      <c r="L23" s="8">
        <f>IF(AND(sizing_advanced_mgmt_chosen="Selected",sizing_advanced_vcfops_collector_chosen="Exclude"),0,
IF(AND(sizing_advanced_mgmt_chosen="Selected",sizing_advanced_vcfops_collector_chosen="Standard"),VLOOKUP("Medium",table_vcfo_p_ram,2,FALSE),
IF(AND(sizing_advanced_mgmt_chosen="Selected",sizing_advanced_vcfops_collector_chosen="Small"),VLOOKUP(sizing_advanced_vcfops_collector_chosen,table_vcfo_p_ram,2,FALSE),
IF(sizing_vcfops_collector_chosen="Include",VLOOKUP(sizing_vcf_deployment_size_chosen,table_vcfo_p_ram,2,FALSE),0))))</f>
        <v>0</v>
      </c>
      <c r="M23" s="8">
        <f>IF(AND(sizing_advanced_mgmt_chosen="Selected",sizing_advanced_vcfops_collector_chosen="Exclude"),0,
IF(AND(sizing_advanced_mgmt_chosen="Selected",sizing_advanced_vcfops_collector_chosen="Standard"),VLOOKUP("Medium",table_vcfo_p_disk,2,FALSE),
IF(AND(sizing_advanced_mgmt_chosen="Selected",sizing_advanced_vcfops_collector_chosen="Small"),VLOOKUP(sizing_advanced_vcfops_collector_chosen,table_vcfo_p_disk,2,FALSE),
IF(sizing_vcfops_collector_chosen="Include",VLOOKUP(sizing_vcf_deployment_size_chosen,table_vcfo_p_disk,2,FALSE),0))))</f>
        <v>0</v>
      </c>
      <c r="N23" s="6"/>
      <c r="O23" s="502" t="s">
        <v>4139</v>
      </c>
      <c r="P23" s="480"/>
      <c r="Q23" s="480"/>
      <c r="R23" s="480"/>
      <c r="S23" s="480"/>
      <c r="T23" s="6"/>
      <c r="U23" s="467"/>
      <c r="V23" s="467"/>
      <c r="W23" s="467"/>
      <c r="X23" s="467"/>
      <c r="Y23" s="467"/>
      <c r="Z23" s="467"/>
      <c r="AA23" s="467"/>
      <c r="AB23" s="467"/>
      <c r="AC23" s="128"/>
      <c r="AD23" s="128"/>
      <c r="AE23" s="128"/>
      <c r="AF23" s="128"/>
      <c r="AG23" s="128"/>
    </row>
    <row r="24" spans="2:33" ht="20" customHeight="1" x14ac:dyDescent="0.2">
      <c r="B24" s="454" t="s">
        <v>3733</v>
      </c>
      <c r="C24" s="455"/>
      <c r="D24" s="456"/>
      <c r="E24" s="8" t="str">
        <f>IF(sizing_vcf_deployment_model_chosen&lt;&gt;"Exclude","Include","Exclude")</f>
        <v>Include</v>
      </c>
      <c r="G24" s="134" t="s">
        <v>3729</v>
      </c>
      <c r="H24" s="102"/>
      <c r="I24" s="333"/>
      <c r="J24" s="8">
        <f>IF(sizing_vcf_instance_model="Additional Instance",0,IF(sizing_vcfops_ha_chosen="Exclude",0,1))</f>
        <v>0</v>
      </c>
      <c r="K24" s="8">
        <f>PRODUCT(IF(sizing_vcf_deployment_model_chosen="Exclude",0,2),J24)</f>
        <v>0</v>
      </c>
      <c r="L24" s="8">
        <f>PRODUCT(IF(sizing_vcf_deployment_model_chosen="Exclude",0,4),J24)</f>
        <v>0</v>
      </c>
      <c r="M24" s="8">
        <f>PRODUCT(IF(sizing_vcf_deployment_model_chosen="Exclude",0,12),J24)</f>
        <v>0</v>
      </c>
      <c r="O24" s="454" t="s">
        <v>4139</v>
      </c>
      <c r="P24" s="455"/>
      <c r="Q24" s="456"/>
      <c r="R24" s="498" t="s">
        <v>142</v>
      </c>
      <c r="S24" s="499"/>
      <c r="T24" s="6"/>
      <c r="U24" s="467"/>
      <c r="V24" s="467"/>
      <c r="W24" s="467"/>
      <c r="X24" s="467"/>
      <c r="Y24" s="467"/>
      <c r="Z24" s="467"/>
      <c r="AA24" s="467"/>
      <c r="AB24" s="467"/>
      <c r="AC24" s="128"/>
      <c r="AD24" s="128"/>
      <c r="AE24" s="128"/>
      <c r="AF24" s="128"/>
    </row>
    <row r="25" spans="2:33" ht="20" customHeight="1" x14ac:dyDescent="0.2">
      <c r="B25" s="134" t="s">
        <v>3980</v>
      </c>
      <c r="C25" s="102"/>
      <c r="D25" s="333"/>
      <c r="E25" s="133" t="s">
        <v>13</v>
      </c>
      <c r="G25" s="134" t="s">
        <v>3399</v>
      </c>
      <c r="H25" s="102"/>
      <c r="I25" s="333"/>
      <c r="J25" s="8">
        <f>IF(AND(sizing_advanced_mgmt_chosen="Selected",sizing_advanced_vcfauto_chosen="Large"),3,
IF(AND(sizing_advanced_mgmt_chosen="Selected",sizing_advanced_vcfauto_chosen="Medium"),3,
IF(AND(sizing_advanced_mgmt_chosen="Selected",sizing_advanced_vcfauto_chosen="Small"),1,
IF(AND(sizing_vcfauto_chosen="Include",sizing_vcf_deployment_model_chosen="High Availability"),3,
IF(AND(sizing_vcfauto_chosen="Include",sizing_vcf_deployment_model_chosen="Simple"),1,0)))))</f>
        <v>0</v>
      </c>
      <c r="K25" s="8">
        <f>IF(AND(sizing_advanced_mgmt_chosen="Selected",sizing_advanced_vcfauto_chosen&lt;&gt;"Exclude"),PRODUCT(VLOOKUP(sizing_advanced_vcfauto_chosen,table_vcfa_appliance_cpu,2,FALSE),J25),
IF(sizing_vcf_deployment_model_chosen="Exclude",0,PRODUCT(VLOOKUP(sizing_vcf_deployment_size_chosen,table_vcfa_appliance_cpu,2,FALSE),J25)))</f>
        <v>0</v>
      </c>
      <c r="L25" s="26">
        <f>IF(AND(sizing_advanced_mgmt_chosen="Selected",sizing_advanced_vcfauto_chosen&lt;&gt;"Exclude"),PRODUCT(VLOOKUP(sizing_advanced_vcfauto_chosen,table_vcfa_appliance_ram,2,FALSE),J25),
IF(sizing_vcf_deployment_model_chosen="Exclude",0,PRODUCT(VLOOKUP(sizing_vcf_deployment_size_chosen,table_vcfa_appliance_ram,2,FALSE),J25)))</f>
        <v>0</v>
      </c>
      <c r="M25" s="8">
        <f>IF(AND(sizing_advanced_mgmt_chosen="Selected",sizing_advanced_vcfauto_chosen&lt;&gt;"Exclude"),PRODUCT(VLOOKUP(sizing_advanced_vcfauto_chosen,table_vcfa_appliance_disk,2,FALSE),J25),
IF(sizing_vcf_deployment_model_chosen="Exclude",0,PRODUCT(VLOOKUP(sizing_vcf_deployment_size_chosen,table_vcfa_appliance_disk,2,FALSE),J25)))</f>
        <v>0</v>
      </c>
      <c r="N25" s="6"/>
      <c r="O25" s="454" t="s">
        <v>4123</v>
      </c>
      <c r="P25" s="455"/>
      <c r="Q25" s="456"/>
      <c r="R25" s="500" t="s">
        <v>3664</v>
      </c>
      <c r="S25" s="501"/>
      <c r="T25" s="6"/>
      <c r="U25" s="467"/>
      <c r="V25" s="467"/>
      <c r="W25" s="467"/>
      <c r="X25" s="467"/>
      <c r="Y25" s="467"/>
      <c r="Z25" s="467"/>
      <c r="AA25" s="467"/>
      <c r="AB25" s="467"/>
      <c r="AC25" s="128"/>
      <c r="AD25" s="128"/>
      <c r="AE25" s="128"/>
      <c r="AF25" s="128"/>
    </row>
    <row r="26" spans="2:33" ht="20" customHeight="1" x14ac:dyDescent="0.2">
      <c r="B26" s="134" t="s">
        <v>3982</v>
      </c>
      <c r="C26" s="102"/>
      <c r="D26" s="333"/>
      <c r="E26" s="133" t="s">
        <v>13</v>
      </c>
      <c r="G26" s="134" t="s">
        <v>3980</v>
      </c>
      <c r="H26" s="102"/>
      <c r="I26" s="333"/>
      <c r="J26" s="8">
        <f>IF(OR(sizing_vcfops_logs_replica_count_chosen="Exclude",sizing_vcfops_logs_chosen="Exclude"),0,IF(sizing_vcfops_logs_chosen="Large",2*sizing_vcfops_logs_replica_count_chosen,sizing_vcfops_logs_replica_count_chosen))</f>
        <v>0</v>
      </c>
      <c r="K26" s="8" t="str">
        <f>IF(OR(sizing_vcfops_logs_replica_count_chosen="Exclude",sizing_vcfops_logs_chosen="Exclude"),"0",PRODUCT(J26,VLOOKUP(sizing_vcf_deployment_size_chosen,table_vcfms_worker_cpu,2,)))</f>
        <v>0</v>
      </c>
      <c r="L26" s="8" t="str">
        <f>IF(OR(sizing_vcfops_logs_replica_count_chosen="Exclude",sizing_vcfops_logs_chosen="Exclude"),"0",PRODUCT(J26,VLOOKUP(sizing_vcf_deployment_size_chosen,table_vcfms_worker_ram,2,)))</f>
        <v>0</v>
      </c>
      <c r="M26" s="8">
        <f>IF(OR(sizing_vcfops_logs_replica_count_chosen="Exclude",sizing_vcfops_logs_chosen="Exclude"),0,PRODUCT(sizing_vcfops_logs_replica_count_chosen,VLOOKUP(E25,table_vrli_appliance_disk,2,)))</f>
        <v>0</v>
      </c>
      <c r="N26" s="6"/>
      <c r="O26" s="454" t="s">
        <v>4124</v>
      </c>
      <c r="P26" s="455"/>
      <c r="Q26" s="456"/>
      <c r="R26" s="496" t="s">
        <v>745</v>
      </c>
      <c r="S26" s="497"/>
      <c r="T26" s="6"/>
      <c r="U26" s="467"/>
      <c r="V26" s="467"/>
      <c r="W26" s="467"/>
      <c r="X26" s="467"/>
      <c r="Y26" s="467"/>
      <c r="Z26" s="467"/>
      <c r="AA26" s="467"/>
      <c r="AB26" s="467"/>
      <c r="AC26" s="128"/>
      <c r="AD26" s="128"/>
      <c r="AE26" s="128"/>
      <c r="AF26" s="128"/>
    </row>
    <row r="27" spans="2:33" ht="20" customHeight="1" x14ac:dyDescent="0.2">
      <c r="B27" s="134" t="s">
        <v>3504</v>
      </c>
      <c r="C27" s="102"/>
      <c r="D27" s="333"/>
      <c r="E27" s="133" t="s">
        <v>13</v>
      </c>
      <c r="G27" s="134" t="s">
        <v>3504</v>
      </c>
      <c r="H27" s="102"/>
      <c r="I27" s="333"/>
      <c r="J27" s="8">
        <f>IF(sizing_vcfops_net_chosen="Exclude",0,
IF(sizing_vcf_instance_model="Additional Instance",0,IF(sizing_vcfops_net_chosen="Large",3,1)))</f>
        <v>0</v>
      </c>
      <c r="K27" s="8">
        <f>IF(sizing_vcfops_net_chosen="Exclude",0,PRODUCT(VLOOKUP(sizing_vcfops_net_chosen,table_vcfopsnet_appliance_cpu,2,),J27))</f>
        <v>0</v>
      </c>
      <c r="L27" s="8">
        <f>IF(sizing_vcfops_net_chosen="Exclude",0,PRODUCT(VLOOKUP(sizing_vcfops_net_chosen,table_vcfopsnet_appliance_ram,2,),J27))</f>
        <v>0</v>
      </c>
      <c r="M27" s="8">
        <f>IF(sizing_vcfops_net_chosen="Exclude",0,PRODUCT(VLOOKUP(sizing_vcfops_net_chosen,table_vcfopsnet_appliance_disk,2,),J27))</f>
        <v>0</v>
      </c>
      <c r="O27" s="454" t="s">
        <v>4140</v>
      </c>
      <c r="P27" s="455"/>
      <c r="Q27" s="456"/>
      <c r="R27" s="496" t="s">
        <v>4142</v>
      </c>
      <c r="S27" s="497"/>
      <c r="T27" s="6"/>
      <c r="U27" s="467"/>
      <c r="V27" s="467"/>
      <c r="W27" s="467"/>
      <c r="X27" s="467"/>
      <c r="Y27" s="467"/>
      <c r="Z27" s="467"/>
      <c r="AA27" s="467"/>
      <c r="AB27" s="467"/>
      <c r="AC27" s="128"/>
      <c r="AD27" s="128"/>
      <c r="AE27" s="128"/>
      <c r="AF27" s="128"/>
      <c r="AG27" s="128"/>
    </row>
    <row r="28" spans="2:33" ht="20" customHeight="1" x14ac:dyDescent="0.2">
      <c r="B28" s="134" t="s">
        <v>3734</v>
      </c>
      <c r="C28" s="102"/>
      <c r="D28" s="333"/>
      <c r="E28" s="66" t="s">
        <v>13</v>
      </c>
      <c r="G28" s="134" t="s">
        <v>3505</v>
      </c>
      <c r="H28" s="102"/>
      <c r="I28" s="333"/>
      <c r="J28" s="8">
        <f>IF(sizing_vcfops_net_chosen="Exclude",0,1)</f>
        <v>0</v>
      </c>
      <c r="K28" s="8">
        <f>IF(sizing_vcfops_net_chosen="Exclude",0,PRODUCT(VLOOKUP(sizing_vcfops_net_chosen,table_vcfopsnet_collector_cpu,2,),J28))</f>
        <v>0</v>
      </c>
      <c r="L28" s="8">
        <f>IF(sizing_vcfops_net_chosen="Exclude",0,PRODUCT(VLOOKUP(sizing_vcfops_net_chosen,table_vcfopsnet_collector_ram,2,),J28))</f>
        <v>0</v>
      </c>
      <c r="M28" s="8">
        <f>IF(sizing_vcfops_net_chosen="Exclude",0,PRODUCT(VLOOKUP(sizing_vcfops_net_chosen,table_vcfopsnet_collector_disk,2,),J28))</f>
        <v>0</v>
      </c>
      <c r="N28" s="6"/>
      <c r="O28" s="433" t="s">
        <v>4141</v>
      </c>
      <c r="P28" s="433"/>
      <c r="Q28" s="433"/>
      <c r="R28" s="484" t="s">
        <v>92</v>
      </c>
      <c r="S28" s="484"/>
      <c r="T28" s="6"/>
      <c r="U28" s="467"/>
      <c r="V28" s="467"/>
      <c r="W28" s="467"/>
      <c r="X28" s="467"/>
      <c r="Y28" s="467"/>
      <c r="Z28" s="467"/>
      <c r="AA28" s="467"/>
      <c r="AB28" s="467"/>
      <c r="AC28" s="128"/>
      <c r="AD28" s="128"/>
      <c r="AE28" s="128"/>
      <c r="AF28" s="128"/>
      <c r="AG28" s="128"/>
    </row>
    <row r="29" spans="2:33" ht="20" customHeight="1" x14ac:dyDescent="0.2">
      <c r="B29" s="134" t="s">
        <v>3884</v>
      </c>
      <c r="C29" s="102"/>
      <c r="D29" s="333"/>
      <c r="E29" s="285" t="s">
        <v>13</v>
      </c>
      <c r="G29" s="134" t="s">
        <v>3981</v>
      </c>
      <c r="H29" s="102"/>
      <c r="I29" s="333"/>
      <c r="J29" s="8">
        <f>IF(AND(sizing_vcfrtm_chosen="Include",sizing_vcf_deployment_size_chosen="Small"),2,
IF(AND(sizing_vcfrtm_chosen="Include",sizing_vcf_deployment_size_chosen="Medium"),2,
IF(AND(sizing_vcfrtm_chosen="Include",sizing_vcf_deployment_size_chosen="Large"),3,0)))</f>
        <v>0</v>
      </c>
      <c r="K29" s="8">
        <f>IF(sizing_vcfrtm_chosen="Exclude",0,PRODUCT(J29*(VLOOKUP(sizing_vcf_deployment_size_chosen,table_vcfms_worker_cpu,2,))))</f>
        <v>0</v>
      </c>
      <c r="L29" s="8">
        <f>IF(sizing_vcfrtm_chosen="Exclude",0,PRODUCT(J29*(VLOOKUP(sizing_vcf_deployment_size_chosen,table_vcfms_worker_ram,2,))))</f>
        <v>0</v>
      </c>
      <c r="M29" s="8">
        <f>IF(sizing_vcfrtm_chosen="Exclude",0,205)</f>
        <v>0</v>
      </c>
      <c r="N29" s="6"/>
      <c r="O29" s="433" t="s">
        <v>4144</v>
      </c>
      <c r="P29" s="433"/>
      <c r="Q29" s="433"/>
      <c r="R29" s="491" t="s">
        <v>4143</v>
      </c>
      <c r="S29" s="491"/>
      <c r="T29" s="6"/>
      <c r="U29" s="467"/>
      <c r="V29" s="467"/>
      <c r="W29" s="467"/>
      <c r="X29" s="467"/>
      <c r="Y29" s="467"/>
      <c r="Z29" s="467"/>
      <c r="AA29" s="467"/>
      <c r="AB29" s="467"/>
      <c r="AC29" s="128"/>
      <c r="AD29" s="128"/>
      <c r="AE29" s="128"/>
      <c r="AF29" s="128"/>
      <c r="AG29" s="128"/>
    </row>
    <row r="30" spans="2:33" ht="20" customHeight="1" x14ac:dyDescent="0.2">
      <c r="B30" s="134" t="s">
        <v>3885</v>
      </c>
      <c r="C30" s="102"/>
      <c r="D30" s="333"/>
      <c r="E30" s="66" t="s">
        <v>13</v>
      </c>
      <c r="G30" s="134" t="s">
        <v>3750</v>
      </c>
      <c r="H30" s="102"/>
      <c r="I30" s="333"/>
      <c r="J30" s="8">
        <f>IF(sizing_vcf_instance_model="First Instance",0,IF(sizing_vcfvidb_chosen="Exclude",0,"N/A"))</f>
        <v>0</v>
      </c>
      <c r="K30" s="8">
        <f>IF(sizing_vcf_instance_model="First Instance",0,IF(sizing_vcfvidb_chosen="Exclude",0,"N/A"))</f>
        <v>0</v>
      </c>
      <c r="L30" s="8">
        <f>IF(sizing_vcf_instance_model="First Instance",0,IF(sizing_vcfvidb_chosen="Exclude",0,"N/A"))</f>
        <v>0</v>
      </c>
      <c r="M30" s="8">
        <f>IF(sizing_vcf_instance_model="First Instance",0,IF(sizing_vcfvidb_chosen="Exclude",0,VLOOKUP(sizing_vcfvidb_chosen,table_identity_broker_disk,2,FALSE)))</f>
        <v>0</v>
      </c>
      <c r="N30" s="6"/>
      <c r="O30" s="433" t="s">
        <v>4145</v>
      </c>
      <c r="P30" s="433"/>
      <c r="Q30" s="433"/>
      <c r="R30" s="485" t="s">
        <v>92</v>
      </c>
      <c r="S30" s="485"/>
      <c r="T30" s="6"/>
      <c r="U30" s="467"/>
      <c r="V30" s="467"/>
      <c r="W30" s="467"/>
      <c r="X30" s="467"/>
      <c r="Y30" s="467"/>
      <c r="Z30" s="467"/>
      <c r="AA30" s="467"/>
      <c r="AB30" s="467"/>
      <c r="AC30" s="128"/>
      <c r="AD30" s="128"/>
      <c r="AE30" s="128"/>
      <c r="AF30" s="128"/>
      <c r="AG30" s="128"/>
    </row>
    <row r="31" spans="2:33" ht="20" customHeight="1" x14ac:dyDescent="0.2">
      <c r="B31" s="54" t="s">
        <v>3882</v>
      </c>
      <c r="C31" s="55"/>
      <c r="D31" s="55"/>
      <c r="E31" s="56"/>
      <c r="G31" s="134" t="s">
        <v>3869</v>
      </c>
      <c r="H31" s="102"/>
      <c r="I31" s="333"/>
      <c r="J31" s="8">
        <f>IF(sizing_vcf_instance_model="First Instance",0,IF(sizing_vcfsd_chosen="Exclude",0,"N/A"))</f>
        <v>0</v>
      </c>
      <c r="K31" s="8">
        <f>IF(sizing_vcf_instance_model="First Instance",0,IF(sizing_vcfsd_chosen="Exclude",0,"N/A"))</f>
        <v>0</v>
      </c>
      <c r="L31" s="8">
        <f>IF(sizing_vcf_instance_model="First Instance",0,IF(sizing_vcfsd_chosen="Exclude",0,"N/A"))</f>
        <v>0</v>
      </c>
      <c r="M31" s="8">
        <f>IF(sizing_vcf_instance_model="First Instance",0,IF(sizing_vcfsd_chosen="Exclude",0,1500))</f>
        <v>0</v>
      </c>
      <c r="N31" s="6"/>
      <c r="O31" s="454" t="s">
        <v>3760</v>
      </c>
      <c r="P31" s="455"/>
      <c r="Q31" s="456"/>
      <c r="R31" s="486" t="s">
        <v>13</v>
      </c>
      <c r="S31" s="487"/>
      <c r="T31" s="6"/>
      <c r="U31" s="467"/>
      <c r="V31" s="467"/>
      <c r="W31" s="467"/>
      <c r="X31" s="467"/>
      <c r="Y31" s="467"/>
      <c r="Z31" s="467"/>
      <c r="AA31" s="467"/>
      <c r="AB31" s="467"/>
      <c r="AC31" s="128"/>
      <c r="AD31" s="128"/>
      <c r="AE31" s="128"/>
      <c r="AF31" s="128"/>
      <c r="AG31" s="128"/>
    </row>
    <row r="32" spans="2:33" ht="20" customHeight="1" x14ac:dyDescent="0.2">
      <c r="B32" s="134" t="s">
        <v>1118</v>
      </c>
      <c r="C32" s="102"/>
      <c r="D32" s="333"/>
      <c r="E32" s="133" t="s">
        <v>13</v>
      </c>
      <c r="F32" s="403" t="str">
        <f>IF(AND((sizing_vcf_instance_model="Additional Instance"),(sizing_vcfops_ha_chosen="Include")),"VCF Operations should not be included in the additional instance","")</f>
        <v/>
      </c>
      <c r="G32" s="134" t="s">
        <v>3988</v>
      </c>
      <c r="H32" s="102"/>
      <c r="I32" s="333"/>
      <c r="J32" s="8">
        <f>G92</f>
        <v>0</v>
      </c>
      <c r="K32" s="26">
        <f>(SUMPRODUCT('Management Domain Sizing'!$G$88:$G$91,'Management Domain Sizing'!H88:H91))</f>
        <v>0</v>
      </c>
      <c r="L32" s="26">
        <f>(SUMPRODUCT('Management Domain Sizing'!$G$88:$G$91,'Management Domain Sizing'!I88:I91))</f>
        <v>0</v>
      </c>
      <c r="M32" s="26">
        <f>(SUMPRODUCT('Management Domain Sizing'!$G$88:$G$91,'Management Domain Sizing'!J88:J91))</f>
        <v>0</v>
      </c>
      <c r="N32" s="6"/>
      <c r="O32" s="488" t="s">
        <v>3399</v>
      </c>
      <c r="P32" s="489"/>
      <c r="Q32" s="490"/>
      <c r="R32" s="491" t="s">
        <v>13</v>
      </c>
      <c r="S32" s="491"/>
      <c r="T32" s="6"/>
      <c r="U32" s="467"/>
      <c r="V32" s="467"/>
      <c r="W32" s="467"/>
      <c r="X32" s="467"/>
      <c r="Y32" s="467"/>
      <c r="Z32" s="467"/>
      <c r="AA32" s="467"/>
      <c r="AB32" s="467"/>
      <c r="AC32" s="128"/>
      <c r="AD32" s="128"/>
      <c r="AE32" s="128"/>
      <c r="AF32" s="128"/>
      <c r="AG32" s="128"/>
    </row>
    <row r="33" spans="2:33" ht="20" customHeight="1" x14ac:dyDescent="0.2">
      <c r="B33" s="134" t="s">
        <v>3399</v>
      </c>
      <c r="C33" s="102"/>
      <c r="D33" s="333"/>
      <c r="E33" s="133" t="s">
        <v>13</v>
      </c>
      <c r="G33" s="67" t="s">
        <v>3506</v>
      </c>
      <c r="H33" s="97"/>
      <c r="I33" s="389"/>
      <c r="J33" s="4">
        <f>SUM(J8:J29,J32)</f>
        <v>11</v>
      </c>
      <c r="K33" s="28" t="str">
        <f>CONCATENATE(SUM(K8:K29:K32)," vCPUs")</f>
        <v>114 vCPUs</v>
      </c>
      <c r="L33" s="28" t="str">
        <f>CONCATENATE(SUM(L8:L29,L32)," GB")</f>
        <v>292 GB</v>
      </c>
      <c r="M33" s="28" t="str">
        <f>CONCATENATE(SUM(M8:M32), " GB")</f>
        <v>7647 GB</v>
      </c>
      <c r="N33" s="6"/>
      <c r="O33" s="475" t="str">
        <f>IF(sizing_advanced_mgmt_chosen="Selected","When using Advanced MGMT Domain sizing you must use API during Deployment","")</f>
        <v/>
      </c>
      <c r="P33" s="475"/>
      <c r="Q33" s="475"/>
      <c r="R33" s="475"/>
      <c r="S33" s="475"/>
      <c r="T33" s="6"/>
      <c r="U33" s="467"/>
      <c r="V33" s="467"/>
      <c r="W33" s="467"/>
      <c r="X33" s="467"/>
      <c r="Y33" s="467"/>
      <c r="Z33" s="467"/>
      <c r="AA33" s="467"/>
      <c r="AB33" s="467"/>
      <c r="AC33" s="128"/>
      <c r="AD33" s="128"/>
      <c r="AE33" s="128"/>
      <c r="AF33" s="128"/>
      <c r="AG33" s="128"/>
    </row>
    <row r="34" spans="2:33" ht="20" customHeight="1" x14ac:dyDescent="0.2">
      <c r="B34" s="134" t="s">
        <v>3760</v>
      </c>
      <c r="C34" s="102"/>
      <c r="D34" s="333"/>
      <c r="E34" s="133" t="s">
        <v>13</v>
      </c>
      <c r="N34" s="6"/>
      <c r="O34" s="475" t="str">
        <f>IF(AND((sizing_vcf_deployment_model_chosen="Simple"),(sizing_vcf_deployment_size_chosen&lt;&gt;"Small")),"Simple Deployment Model can only be deployed with Size Small",
IF(AND((sizing_vcf_deployment_model_chosen="High Availability"),(sizing_vcf_deployment_size_chosen="Small")),"High Availability Deployment Model can only be deployed with size Medium or Large",""))</f>
        <v/>
      </c>
      <c r="P34" s="475"/>
      <c r="Q34" s="475"/>
      <c r="R34" s="475"/>
      <c r="S34" s="475"/>
      <c r="T34" s="6"/>
      <c r="U34" s="467"/>
      <c r="V34" s="467"/>
      <c r="W34" s="467"/>
      <c r="X34" s="467"/>
      <c r="Y34" s="467"/>
      <c r="Z34" s="467"/>
      <c r="AA34" s="467"/>
      <c r="AB34" s="467"/>
      <c r="AC34" s="128"/>
      <c r="AD34" s="128"/>
      <c r="AE34" s="128"/>
      <c r="AF34" s="128"/>
      <c r="AG34" s="128"/>
    </row>
    <row r="35" spans="2:33" ht="20" customHeight="1" x14ac:dyDescent="0.2">
      <c r="B35" s="454" t="s">
        <v>4198</v>
      </c>
      <c r="C35" s="455"/>
      <c r="D35" s="456"/>
      <c r="E35" s="420" t="s">
        <v>13</v>
      </c>
      <c r="G35" s="35" t="str">
        <f>IF(sizing_vdefend_licensing_hub_chosen="Include","",
IF(AND(COUNTIF(V44:V77,"&lt;&gt;Excluded")=0,COUNTIF(S44:S77,"&lt;&gt;Excluded")=0),
IF(AND(sizing_m01_ssp_chosen="Excluded",sizing_mgmt_avi_lb_appliance_size="Excluded"),"","License Hub for vDefend and Avi is required if deploying Avi Load Balancers or Security Service Platform"),"License Hub for vDefend and Avi is required if deploying Avi Load Balancers or Security Service Platform"))</f>
        <v/>
      </c>
      <c r="N35" s="6"/>
      <c r="O35" s="416" t="str">
        <f>IF(AND((sizing_vcfops_logs_chosen&lt;&gt;"Exclude"),(sizing_vcfops_logs_replica_count_chosen="Exclude")),"Select number of Replicas for Log Managment",
IF(AND((sizing_vcfops_logs_chosen="Medium"),(sizing_vcfops_logs_replica_count_chosen&lt;3)),"Min Number of Replicas for Size Medium is 3",
IF(AND((sizing_vcfops_logs_chosen="Large"),(sizing_vcfops_logs_replica_count_chosen&lt;3)),"Min Number of Replicas for Size Large is 3",
IF(AND((sizing_vcf_deployment_model_chosen="Simple"),OR(sizing_vcfops_logs_chosen="Large",sizing_vcfops_logs_chosen="Medium")),"The Log Management size should be the same size as the selected VCF Profile size",
IF(AND((sizing_vcf_deployment_size_chosen="Medium"),(sizing_vcfops_logs_chosen="Large")),"The Log Management size should be the same or smaller than the selected VCF Profile size","")))))</f>
        <v/>
      </c>
      <c r="P35" s="416"/>
      <c r="Q35" s="416"/>
      <c r="R35" s="416"/>
      <c r="S35" s="416"/>
      <c r="T35" s="6"/>
      <c r="U35" s="467"/>
      <c r="V35" s="467"/>
      <c r="W35" s="467"/>
      <c r="X35" s="467"/>
      <c r="Y35" s="467"/>
      <c r="Z35" s="467"/>
      <c r="AA35" s="467"/>
      <c r="AB35" s="467"/>
      <c r="AC35" s="128"/>
      <c r="AD35" s="128"/>
      <c r="AE35" s="128"/>
      <c r="AF35" s="128"/>
      <c r="AG35" s="128"/>
    </row>
    <row r="36" spans="2:33" ht="20" customHeight="1" x14ac:dyDescent="0.2">
      <c r="N36" s="6"/>
      <c r="O36" s="416" t="str">
        <f>IF(AND((sizing_vcf_instance_model="Additional Instance"),(sizing_vcfauto_chosen="Include")),"VCF Automation should not be included in the additional instance","")</f>
        <v/>
      </c>
      <c r="P36" s="416"/>
      <c r="Q36" s="416"/>
      <c r="R36" s="416"/>
      <c r="S36" s="416"/>
      <c r="T36" s="6"/>
      <c r="U36" s="467"/>
      <c r="V36" s="467"/>
      <c r="W36" s="467"/>
      <c r="X36" s="467"/>
      <c r="Y36" s="467"/>
      <c r="Z36" s="467"/>
      <c r="AA36" s="467"/>
      <c r="AB36" s="467"/>
      <c r="AC36" s="128"/>
      <c r="AD36" s="128"/>
      <c r="AE36" s="128"/>
      <c r="AF36" s="128"/>
      <c r="AG36" s="128"/>
    </row>
    <row r="37" spans="2:33" ht="20" customHeight="1" x14ac:dyDescent="0.2">
      <c r="O37" s="416" t="str">
        <f>IF(AND((sizing_vcfops_logs_chosen&lt;&gt;"Exclude"),(sizing_vcf_instance_model="Additional Instance")),"Log management can only be installed on the first instance","")</f>
        <v/>
      </c>
      <c r="P37" s="416"/>
      <c r="Q37" s="416"/>
      <c r="R37" s="416"/>
      <c r="S37" s="416"/>
    </row>
    <row r="38" spans="2:33" s="125" customFormat="1" ht="34" customHeight="1" x14ac:dyDescent="0.2">
      <c r="B38" s="54" t="s">
        <v>2349</v>
      </c>
      <c r="C38" s="55"/>
      <c r="D38" s="55"/>
      <c r="E38" s="55"/>
      <c r="F38" s="55"/>
      <c r="G38" s="55"/>
      <c r="H38" s="55"/>
      <c r="I38" s="55"/>
      <c r="J38" s="55"/>
      <c r="K38" s="55"/>
      <c r="L38" s="55"/>
      <c r="M38" s="55"/>
      <c r="N38" s="480"/>
      <c r="O38" s="480"/>
      <c r="P38" s="480"/>
      <c r="Q38" s="480"/>
      <c r="R38" s="480"/>
      <c r="S38" s="480"/>
      <c r="T38" s="480"/>
      <c r="U38" s="480"/>
      <c r="V38" s="480"/>
      <c r="W38" s="480"/>
      <c r="X38" s="480"/>
      <c r="Y38" s="480"/>
      <c r="Z38" s="480"/>
      <c r="AA38" s="480"/>
      <c r="AB38" s="480"/>
    </row>
    <row r="39" spans="2:33" ht="20" customHeight="1" x14ac:dyDescent="0.2">
      <c r="B39" s="63" t="s">
        <v>2351</v>
      </c>
      <c r="C39" s="63" t="s">
        <v>3507</v>
      </c>
      <c r="D39" s="472" t="s">
        <v>3508</v>
      </c>
      <c r="E39" s="473"/>
      <c r="F39" s="472" t="s">
        <v>3509</v>
      </c>
      <c r="G39" s="473"/>
      <c r="H39" s="63" t="s">
        <v>3510</v>
      </c>
      <c r="I39" s="472" t="s">
        <v>3738</v>
      </c>
      <c r="J39" s="476"/>
      <c r="K39" s="473"/>
      <c r="L39" s="472" t="s">
        <v>4023</v>
      </c>
      <c r="M39" s="476"/>
      <c r="N39" s="473"/>
      <c r="O39" s="472" t="s">
        <v>3511</v>
      </c>
      <c r="P39" s="473"/>
      <c r="Q39" s="472" t="s">
        <v>3512</v>
      </c>
      <c r="R39" s="476"/>
      <c r="S39" s="476"/>
      <c r="T39" s="473"/>
      <c r="U39" s="457" t="s">
        <v>3513</v>
      </c>
      <c r="V39" s="457"/>
      <c r="W39" s="457"/>
      <c r="X39" s="368" t="s">
        <v>21</v>
      </c>
      <c r="Y39" s="368"/>
      <c r="Z39" s="368"/>
      <c r="AA39" s="368"/>
      <c r="AB39" s="369"/>
    </row>
    <row r="40" spans="2:33" ht="20" customHeight="1" x14ac:dyDescent="0.2">
      <c r="B40" s="26" t="s">
        <v>3514</v>
      </c>
      <c r="C40" s="66" t="s">
        <v>3515</v>
      </c>
      <c r="D40" s="8" t="str">
        <f>IF(sizing_advanced_mgmt_chosen="Selected",sizing_advanced_m01_vcenter_appliance_size,IF(sizing_vcf_deployment_model_chosen="Exclude","Excluded",
IF(sizing_vcf_deployment_model_chosen="Simple","Small",
IF(AND(sizing_vcf_deployment_model_chosen="High Availability",sizing_vcf_deployment_size_chosen="Small"),"Small",
IF(AND(sizing_vcf_deployment_model_chosen="High Availability",sizing_vcf_deployment_size_chosen="Medium"),"Medium",
IF(AND(sizing_vcf_deployment_model_chosen="High Availability",sizing_vcf_deployment_size_chosen="Large"),"Large"))))))</f>
        <v>Medium</v>
      </c>
      <c r="E40" s="8" t="str">
        <f>CONCATENATE(IF(sizing_m01_included="Included",VLOOKUP(D40,table_vcenter_appliance_cpu,2,FALSE),0)," CPUS ",": ",IF(sizing_m01_included="Included",VLOOKUP(D40,table_vcenter_appliance_ram,2,FALSE),0)," GB")</f>
        <v>8 CPUS : 30 GB</v>
      </c>
      <c r="F40" s="8" t="str">
        <f>IF(sizing_advanced_mgmt_chosen="Selected",sizing_advanced_m01_vcenter_storage_size_chosen,IF(sizing_vcf_deployment_model_chosen="Simple","Large",
IF(AND(sizing_vcf_deployment_model_chosen="High Availability",sizing_vcf_deployment_size_chosen="Small"),"Large",
IF(AND(sizing_vcf_deployment_model_chosen="High Availability",sizing_vcf_deployment_size_chosen="Medium"),"Large",
IF(AND(sizing_vcf_deployment_model_chosen="High Availability",sizing_vcf_deployment_size_chosen="Large"),"XLarge")))))</f>
        <v>Large</v>
      </c>
      <c r="G40" s="8" t="str">
        <f>CONCATENATE(IF(sizing_m01_included="Included",VLOOKUP(CONCATENATE(D40,F40),table_vcenter_disk_gb,2,FALSE),0)," GB")</f>
        <v>2233 GB</v>
      </c>
      <c r="H40" s="8" t="str">
        <f>IF(sizing_advanced_mgmt_chosen="Selected",sizing_advanced_m01_nsxt_model,IF(sizing_vcf_deployment_model_chosen="Simple","Mandatory - Single Node","Mandatory - HA Cluster"))</f>
        <v>Mandatory - HA Cluster</v>
      </c>
      <c r="I40" s="8" t="str">
        <f>IF(sizing_advanced_mgmt_chosen="Selected",sizing_advanced_m01_nsxt_appliance_size,IF(sizing_vcf_deployment_model_chosen="Simple","Medium",
IF(AND(sizing_vcf_deployment_model_chosen="High Availability",sizing_vcf_deployment_size_chosen="Medium"),"Medium",
IF(AND(sizing_vcf_deployment_model_chosen="High Availability",sizing_vcf_deployment_size_chosen="Large"),"Large","Medium"))))</f>
        <v>Medium</v>
      </c>
      <c r="J40" s="454" t="str">
        <f>CONCATENATE(IF(AND(sizing_m01_included="Included",mgmt_nsxt_appliance_size_chosen&lt;&gt;"Shared"),
VLOOKUP(sizing_m01_nsxt_appliance_size,table_nsxt_manager_cpu,2,FALSE),0), " CPUS : ",IF(AND(sizing_m01_included="Included",mgmt_nsxt_appliance_size_chosen&lt;&gt;"Shared"),
VLOOKUP(sizing_m01_nsxt_appliance_size,table_nsxt_manager_ram,2,FALSE),0)," GB : ",IF(AND(sizing_m01_included="Included",mgmt_nsxt_appliance_size_chosen&lt;&gt;"Shared"),
VLOOKUP(sizing_m01_nsxt_appliance_size,table_nsxt_manager_disk_gb,2,FALSE),0)," GB")</f>
        <v>6 CPUS : 24 GB : 300 GB</v>
      </c>
      <c r="K40" s="456"/>
      <c r="L40" s="66" t="s">
        <v>2142</v>
      </c>
      <c r="M40" s="454" t="str">
        <f>IF(sizing_m01_nsxt_edge_size="Excluded","0 GB : 0 RAM : 0 GB",(CONCATENATE(IF(sizing_m01_included="Included",VLOOKUP(sizing_m01_nsxt_edge_size,table_nsxt_edge_cpu,2,FALSE),0)," CPUs : ",IF(sizing_m01_included="Included",VLOOKUP(sizing_m01_nsxt_edge_size,table_nsxt_edge_ram,2,FALSE),0)," GB: ",IF(sizing_m01_included="Included",VLOOKUP(sizing_m01_nsxt_edge_size,table_nsxt_edge_disk_gb,2,FALSE),0)," GB ")))</f>
        <v>0 GB : 0 RAM : 0 GB</v>
      </c>
      <c r="N40" s="456"/>
      <c r="O40" s="66" t="s">
        <v>2142</v>
      </c>
      <c r="P40" s="8" t="str">
        <f>CONCATENATE(IF(sizing_m01_nsxt_gm_appliance_size&lt;&gt;"Excluded",VLOOKUP(sizing_m01_nsxt_gm_appliance_size,table_nsxt_manager_cpu,2,FALSE),0)," CPU : ",IF(sizing_m01_nsxt_gm_appliance_size&lt;&gt;"Excluded",VLOOKUP(sizing_m01_nsxt_gm_appliance_size,table_nsxt_manager_ram,2,FALSE),0)," GB : ",IF(sizing_m01_nsxt_gm_appliance_size&lt;&gt;"Excluded",VLOOKUP(sizing_m01_nsxt_gm_appliance_size,table_nsxt_manager_disk_gb,2,FALSE),0)," GB")</f>
        <v>0 CPU : 0 GB : 0 GB</v>
      </c>
      <c r="Q40" s="66" t="s">
        <v>2142</v>
      </c>
      <c r="R40" s="454" t="str">
        <f>IF(sizing_mgmt_avi_lb_appliance_size="Exclude","0 GB : 0 RAM : 0 GB",CONCATENATE(IF(AND(sizing_m01_included="Included",sizing_mgmt_avi_lb_appliance_size&lt;&gt;"Excluded"),VLOOKUP(sizing_mgmt_avi_lb_appliance_size,table_avi_lb_cpu,2,FALSE),0)," CPUs : ",IF(AND(sizing_m01_included="Included",sizing_mgmt_avi_lb_appliance_size&lt;&gt;"Excluded"),VLOOKUP(sizing_mgmt_avi_lb_appliance_size,table_avi_lb_ram,2,FALSE),0)," GB : ",IF(AND(sizing_m01_included="Included",sizing_mgmt_avi_lb_appliance_size&lt;&gt;"Excluded"),VLOOKUP(sizing_mgmt_avi_lb_appliance_size,table_avi_lb_disk,2,FALSE),0)," GB"))</f>
        <v>0 CPUs : 0 GB : 0 GB</v>
      </c>
      <c r="S40" s="455"/>
      <c r="T40" s="456"/>
      <c r="U40" s="66" t="s">
        <v>2142</v>
      </c>
      <c r="V40" s="433" t="str">
        <f>CONCATENATE(IF(sizing_m01_ssp_chosen&lt;&gt;"Excluded",VLOOKUP(sizing_m01_ssp_chosen,table_ssp_cpu,2,FALSE),0)," CPUs : ",
IF(sizing_m01_ssp_chosen&lt;&gt;"Excluded",VLOOKUP(sizing_m01_ssp_chosen,table_ssp_ram,2,FALSE),0), " GB : ",
IF(sizing_m01_ssp_chosen&lt;&gt;"Excluded",VLOOKUP(sizing_m01_ssp_chosen,table_ssp_disk,2,FALSE),0)," GB")</f>
        <v>0 CPUs : 0 GB : 0 GB</v>
      </c>
      <c r="W40" s="433"/>
      <c r="X40" s="454" t="str">
        <f>IF(sizing_m01_included="Included",CONCATENATE("vCenter ",VLOOKUP(sizing_m01_vcenter_appliance_size,vcenter_sizing_limits,2,FALSE)," | NSX ",VLOOKUP(sizing_m01_nsxt_appliance_size,nsx_sizing_limits,2,FALSE)),"")</f>
        <v>vCenter 400 Hosts - 4000 VM | NSX 128 Hosts - 5 vSphere Clusters</v>
      </c>
      <c r="Y40" s="455"/>
      <c r="Z40" s="455"/>
      <c r="AA40" s="455"/>
      <c r="AB40" s="456"/>
    </row>
    <row r="41" spans="2:33" ht="20" customHeight="1" x14ac:dyDescent="0.2">
      <c r="G41" s="3"/>
      <c r="I41" s="2"/>
    </row>
    <row r="42" spans="2:33" s="125" customFormat="1" ht="34" customHeight="1" x14ac:dyDescent="0.2">
      <c r="B42" s="54" t="s">
        <v>3516</v>
      </c>
      <c r="C42" s="55"/>
      <c r="D42" s="135"/>
      <c r="E42" s="135"/>
      <c r="F42" s="135"/>
      <c r="G42" s="135"/>
      <c r="H42" s="135"/>
      <c r="I42" s="135"/>
      <c r="J42" s="135"/>
      <c r="K42" s="135"/>
      <c r="L42" s="135"/>
      <c r="M42" s="135"/>
      <c r="N42" s="135"/>
      <c r="O42" s="135"/>
      <c r="P42" s="127"/>
      <c r="Q42" s="127"/>
      <c r="R42" s="474"/>
      <c r="S42" s="474"/>
      <c r="T42" s="474"/>
      <c r="U42" s="474"/>
      <c r="V42" s="474"/>
      <c r="W42" s="474"/>
      <c r="X42" s="474"/>
      <c r="Y42" s="474"/>
      <c r="Z42" s="474"/>
      <c r="AA42" s="474"/>
      <c r="AB42" s="474"/>
    </row>
    <row r="43" spans="2:33" ht="20" customHeight="1" x14ac:dyDescent="0.2">
      <c r="B43" s="63" t="s">
        <v>2351</v>
      </c>
      <c r="C43" s="63" t="s">
        <v>3507</v>
      </c>
      <c r="D43" s="472" t="s">
        <v>3517</v>
      </c>
      <c r="E43" s="473"/>
      <c r="F43" s="472" t="s">
        <v>3518</v>
      </c>
      <c r="G43" s="473"/>
      <c r="H43" s="63" t="s">
        <v>3510</v>
      </c>
      <c r="I43" s="457" t="s">
        <v>3519</v>
      </c>
      <c r="J43" s="457"/>
      <c r="K43" s="457"/>
      <c r="L43" s="63" t="s">
        <v>3520</v>
      </c>
      <c r="M43" s="472" t="s">
        <v>3521</v>
      </c>
      <c r="N43" s="476"/>
      <c r="O43" s="473"/>
      <c r="P43" s="457" t="s">
        <v>3522</v>
      </c>
      <c r="Q43" s="457"/>
      <c r="R43" s="457"/>
      <c r="S43" s="457" t="s">
        <v>3512</v>
      </c>
      <c r="T43" s="457"/>
      <c r="U43" s="457"/>
      <c r="V43" s="472" t="s">
        <v>3523</v>
      </c>
      <c r="W43" s="473"/>
      <c r="X43" s="472" t="s">
        <v>21</v>
      </c>
      <c r="Y43" s="476"/>
      <c r="Z43" s="476"/>
      <c r="AA43" s="476"/>
      <c r="AB43" s="473"/>
    </row>
    <row r="44" spans="2:33" ht="20" customHeight="1" x14ac:dyDescent="0.2">
      <c r="B44" s="26" t="s">
        <v>3524</v>
      </c>
      <c r="C44" s="136" t="s">
        <v>2142</v>
      </c>
      <c r="D44" s="66" t="s">
        <v>92</v>
      </c>
      <c r="E44" s="8" t="str">
        <f>CONCATENATE(IF(sizing_w01_chosen="Included",VLOOKUP(sizing_w01_vcenter_appliance_size,table_vcenter_appliance_cpu,2,FALSE),0)," CPUs ",": ",IF(sizing_w01_chosen="Included",VLOOKUP(sizing_w01_vcenter_appliance_size,table_vcenter_appliance_ram,2,FALSE),0)," GB")</f>
        <v>0 CPUs : 0 GB</v>
      </c>
      <c r="F44" s="66" t="s">
        <v>745</v>
      </c>
      <c r="G44" s="8" t="str">
        <f>CONCATENATE(IF(sizing_w01_chosen="Included",VLOOKUP(CONCATENATE(sizing_w01_vcenter_appliance_size,sizing_w01_vcenter_storage_size),table_vcenter_disk_gb,2,FALSE),0)," GB")</f>
        <v>0 GB</v>
      </c>
      <c r="H44" s="66" t="s">
        <v>2277</v>
      </c>
      <c r="I44" s="66" t="s">
        <v>657</v>
      </c>
      <c r="J44" s="454" t="str">
        <f>CONCATENATE(IF(sizing_w01_chosen="Included",VLOOKUP(sizing_w01_nsxt_appliance_size,table_nsxt_manager_cpu,2,FALSE),0)," CPUs : ",IF(sizing_w01_chosen="Included",VLOOKUP(sizing_w01_nsxt_appliance_size,table_nsxt_manager_ram,2,FALSE),0), " GB : ",IF(sizing_w01_chosen="Included",VLOOKUP(sizing_w01_nsxt_appliance_size,table_nsxt_manager_disk_gb,2,FALSE),0)," GB")</f>
        <v>0 CPUs : 0 GB : 0 GB</v>
      </c>
      <c r="K44" s="456"/>
      <c r="L44" s="66" t="s">
        <v>2142</v>
      </c>
      <c r="M44" s="66" t="s">
        <v>92</v>
      </c>
      <c r="N44" s="468" t="str">
        <f>CONCATENATE(IF(AND(sizing_w01_gm_chosen&lt;&gt;"Excluded",sizing_w01_gm_chosen&lt;&gt;"Connect Instance"),VLOOKUP(sizing_w01_nsxt_gm_appliance_size,table_nsxt_manager_cpu,2,FALSE),0)," CPUs : ",IF(AND(sizing_w01_gm_chosen&lt;&gt;"Excluded",sizing_w01_gm_chosen&lt;&gt;"Connect Instance"),VLOOKUP(sizing_w01_nsxt_gm_appliance_size,table_nsxt_manager_ram,2,FALSE),0)," GB : ",IF(AND(sizing_w01_gm_chosen&lt;&gt;"Excluded",sizing_w01_gm_chosen&lt;&gt;"Connect Instance"),VLOOKUP(sizing_w01_nsxt_gm_appliance_size,table_nsxt_manager_disk_gb,2,FALSE),0)," GB")</f>
        <v>0 CPUs : 0 GB : 0 GB</v>
      </c>
      <c r="O44" s="469"/>
      <c r="P44" s="66" t="s">
        <v>13</v>
      </c>
      <c r="Q44" s="433" t="str">
        <f>(CONCATENATE(IF(AND(sizing_w01_chosen="Included",sizing_w01_spr_chosen="Include"),VLOOKUP(input_wld_srm_vm_size,table_srm_cpu,2,FALSE),0)," CPUs :",IF(AND(sizing_w01_chosen="Included",sizing_w01_spr_chosen="Include"),VLOOKUP(input_wld_srm_vm_size,table_srm_ram,2,FALSE),0)," GB : ",IF(AND(sizing_w01_chosen="Included",sizing_w01_spr_chosen="Include"),VLOOKUP(input_wld_srm_vm_size,table_srm_disk,2,FALSE),0)," GB"))</f>
        <v>0 CPUs :0 GB : 0 GB</v>
      </c>
      <c r="R44" s="433"/>
      <c r="S44" s="367" t="s">
        <v>2142</v>
      </c>
      <c r="T44" s="494" t="str">
        <f>CONCATENATE(IF(AND(sizing_w01_chosen="Included",sizing_w01_avi_appliance_size&lt;&gt;"Excluded"),VLOOKUP(sizing_w01_avi_appliance_size,table_avi_lb_cpu,2,FALSE),0), " CPUs : ",IF(AND(sizing_w01_chosen="Included",sizing_w01_avi_appliance_size&lt;&gt;"Excluded"),VLOOKUP(sizing_w01_avi_appliance_size,table_avi_lb_ram,2,FALSE),0), " GB : ",IF(AND(sizing_w01_chosen="Included",sizing_w01_avi_appliance_size&lt;&gt;"Excluded"),VLOOKUP(sizing_w01_avi_appliance_size,table_avi_lb_disk,2,FALSE),0)," GB")</f>
        <v>0 CPUs : 0 GB : 0 GB</v>
      </c>
      <c r="U44" s="495"/>
      <c r="V44" s="66" t="s">
        <v>2142</v>
      </c>
      <c r="W44" s="8" t="str">
        <f>CONCATENATE(
IF(AND(sizing_w01_ssp_chosen&lt;&gt;"Excluded",sizing_w01_ssp_chosen&lt;&gt;"Deployed in WLD"),VLOOKUP(sizing_w01_ssp_chosen,table_ssp_cpu,2,FALSE),0)," CPUs : ",
IF(AND(sizing_w01_ssp_chosen&lt;&gt;"Excluded",sizing_w01_ssp_chosen&lt;&gt;"Deployed in WLD"),VLOOKUP(sizing_w01_ssp_chosen,table_ssp_ram,2,FALSE),0), " GB : ",
IF(AND(sizing_w01_ssp_chosen&lt;&gt;"Excluded",sizing_w01_ssp_chosen&lt;&gt;"Deployed in WLD"),VLOOKUP(sizing_w01_ssp_chosen,table_ssp_disk,2,FALSE),0)," GB")</f>
        <v>0 CPUs : 0 GB : 0 GB</v>
      </c>
      <c r="X44" s="454" t="str">
        <f>IF(sizing_w01_chosen="Included",CONCATENATE("vCenter:",VLOOKUP(sizing_w01_vcenter_appliance_size,vcenter_sizing_limits,2,FALSE)," | NSX LM ",VLOOKUP(sizing_w01_nsxt_appliance_size,nsx_sizing_limits,2,FALSE)),"")</f>
        <v/>
      </c>
      <c r="Y44" s="455"/>
      <c r="Z44" s="455"/>
      <c r="AA44" s="455"/>
      <c r="AB44" s="456"/>
    </row>
    <row r="45" spans="2:33" ht="20" customHeight="1" x14ac:dyDescent="0.2">
      <c r="B45" s="26" t="s">
        <v>3525</v>
      </c>
      <c r="C45" s="136" t="s">
        <v>2142</v>
      </c>
      <c r="D45" s="137" t="s">
        <v>92</v>
      </c>
      <c r="E45" s="8" t="str">
        <f>CONCATENATE(IF(sizing_w02_chosen="Included",VLOOKUP(sizing_w02_vcenter_appliance_size,table_vcenter_appliance_cpu,2,FALSE),0)," CPUs ",": ",IF(sizing_w02_chosen="Included",VLOOKUP(sizing_w02_vcenter_appliance_size,table_vcenter_appliance_ram,2,FALSE),0)," GB")</f>
        <v>0 CPUs : 0 GB</v>
      </c>
      <c r="F45" s="137" t="s">
        <v>745</v>
      </c>
      <c r="G45" s="8" t="str">
        <f>CONCATENATE(IF(sizing_w02_chosen="Included",VLOOKUP(CONCATENATE(sizing_w02_vcenter_appliance_size,sizing_w02_vcenter_storage_size),table_vcenter_disk_gb,2,FALSE),0)," GB")</f>
        <v>0 GB</v>
      </c>
      <c r="H45" s="137" t="s">
        <v>2277</v>
      </c>
      <c r="I45" s="137" t="s">
        <v>657</v>
      </c>
      <c r="J45" s="454" t="str">
        <f>CONCATENATE(IF(AND(sizing_w02_chosen="Included",sizing_w02_nsxt_model&lt;&gt;"Shared"),VLOOKUP(sizing_w02_nsxt_appliance_size,table_nsxt_manager_cpu,2,FALSE),0)," CPUs : ",IF(AND(sizing_w02_chosen="Included",sizing_w02_nsxt_model&lt;&gt;"Shared"),VLOOKUP(sizing_w02_nsxt_appliance_size,table_nsxt_manager_ram,2,FALSE),0), " GB : ",IF(AND(sizing_w02_chosen="Included",sizing_w02_nsxt_model&lt;&gt;"Shared"),VLOOKUP(sizing_w02_nsxt_appliance_size,table_nsxt_manager_disk_gb,2,FALSE),0)," GB")</f>
        <v>0 CPUs : 0 GB : 0 GB</v>
      </c>
      <c r="K45" s="456"/>
      <c r="L45" s="123" t="s">
        <v>2142</v>
      </c>
      <c r="M45" s="123" t="s">
        <v>92</v>
      </c>
      <c r="N45" s="468" t="str">
        <f>CONCATENATE(IF(AND(sizing_w02_gm_chosen&lt;&gt;"Excluded",sizing_w02_gm_chosen&lt;&gt;"Connect Instance"),VLOOKUP(sizing_w02_nsxt_gm_appliance_size,table_nsxt_manager_cpu,2,FALSE),0)," CPUs : ",IF(AND(sizing_w02_gm_chosen&lt;&gt;"Excluded",sizing_w02_gm_chosen&lt;&gt;"Connect Instance"),VLOOKUP(sizing_w02_nsxt_gm_appliance_size,table_nsxt_manager_ram,2,FALSE),0)," GB : ",IF(AND(sizing_w02_gm_chosen&lt;&gt;"Excluded",sizing_w02_gm_chosen&lt;&gt;"Connect Instance"),VLOOKUP(sizing_w02_nsxt_gm_appliance_size,table_nsxt_manager_disk_gb,2,FALSE),0)," GB")</f>
        <v>0 CPUs : 0 GB : 0 GB</v>
      </c>
      <c r="O45" s="469"/>
      <c r="P45" s="123" t="s">
        <v>13</v>
      </c>
      <c r="Q45" s="432" t="str">
        <f>(CONCATENATE(IF(AND(sizing_w02_chosen="Included",sizing_w02_spr_chosen="Include"),VLOOKUP(input_wld_srm_vm_size,table_srm_cpu,2,FALSE),0)," CPUs :",IF(AND(sizing_w02_chosen="Included",sizing_w02_spr_chosen="Include"),VLOOKUP(input_wld_srm_vm_size,table_srm_ram,2,FALSE),0)," GB : ",IF(AND(sizing_w02_chosen="Included",sizing_w02_spr_chosen="Include"),VLOOKUP(input_wld_srm_vm_size,table_srm_disk,2,FALSE),0)," GB"))</f>
        <v>0 CPUs :0 GB : 0 GB</v>
      </c>
      <c r="R45" s="432"/>
      <c r="S45" s="138" t="s">
        <v>2142</v>
      </c>
      <c r="T45" s="433" t="str">
        <f>CONCATENATE(IF(AND(sizing_w02_chosen="Included",sizing_w02_avi_appliance_size&lt;&gt;"Excluded"),VLOOKUP(sizing_w02_avi_appliance_size,table_avi_lb_cpu,2,FALSE),0), " CPUs : ",IF(AND(sizing_w02_chosen="Included",sizing_w02_avi_appliance_size&lt;&gt;"Excluded"),VLOOKUP(sizing_w02_avi_appliance_size,table_avi_lb_ram,2,FALSE),0), " GB : ",IF(AND(sizing_w02_chosen="Included",sizing_w02_avi_appliance_size&lt;&gt;"Excluded"),VLOOKUP(sizing_w02_avi_appliance_size,table_avi_lb_disk,2,FALSE),0)," GB")</f>
        <v>0 CPUs : 0 GB : 0 GB</v>
      </c>
      <c r="U45" s="454"/>
      <c r="V45" s="66" t="s">
        <v>2142</v>
      </c>
      <c r="W45" s="8" t="str">
        <f>CONCATENATE(
IF(AND(sizing_w02_ssp_chosen&lt;&gt;"Excluded",sizing_w02_ssp_chosen&lt;&gt;"Deployed in WLD"),VLOOKUP(sizing_w02_ssp_chosen,table_ssp_cpu,2,FALSE),0)," CPUs : ",
IF(AND(sizing_w02_ssp_chosen&lt;&gt;"Excluded",sizing_w02_ssp_chosen&lt;&gt;"Deployed in WLD"),VLOOKUP(sizing_w02_ssp_chosen,table_ssp_ram,2,FALSE),0), " GB : ",
IF(AND(sizing_w02_ssp_chosen&lt;&gt;"Excluded",sizing_w02_ssp_chosen&lt;&gt;"Deployed in WLD"),VLOOKUP(sizing_w02_ssp_chosen,table_ssp_disk,2,FALSE),0)," GB")</f>
        <v>0 CPUs : 0 GB : 0 GB</v>
      </c>
      <c r="X45" s="454" t="str">
        <f>IF(sizing_w02_chosen="Included",CONCATENATE("vCenter:",VLOOKUP(sizing_w02_vcenter_appliance_size,vcenter_sizing_limits,2,FALSE)," | NSX LM ",VLOOKUP(sizing_w02_nsxt_appliance_size,nsx_sizing_limits,2,FALSE)),"")</f>
        <v/>
      </c>
      <c r="Y45" s="455"/>
      <c r="Z45" s="455"/>
      <c r="AA45" s="455"/>
      <c r="AB45" s="456"/>
    </row>
    <row r="46" spans="2:33" ht="20" customHeight="1" x14ac:dyDescent="0.2">
      <c r="B46" s="26" t="s">
        <v>3526</v>
      </c>
      <c r="C46" s="139" t="s">
        <v>2142</v>
      </c>
      <c r="D46" s="137" t="s">
        <v>92</v>
      </c>
      <c r="E46" s="8" t="str">
        <f>CONCATENATE(IF(sizing_w03_chosen="Included",VLOOKUP(sizing_w03_vcenter_appliance_size,table_vcenter_appliance_cpu,2,FALSE),0)," CPUs ",": ",IF(sizing_w03_chosen="Included",VLOOKUP(sizing_w03_vcenter_appliance_size,table_vcenter_appliance_ram,2,FALSE),0)," GB")</f>
        <v>0 CPUs : 0 GB</v>
      </c>
      <c r="F46" s="137" t="s">
        <v>745</v>
      </c>
      <c r="G46" s="8" t="str">
        <f>CONCATENATE(IF(sizing_w03_chosen="Included",VLOOKUP(CONCATENATE(sizing_w03_vcenter_appliance_size,sizing_w03_vcenter_storage_size),table_vcenter_disk_gb,2,FALSE),0)," GB")</f>
        <v>0 GB</v>
      </c>
      <c r="H46" s="137" t="s">
        <v>2277</v>
      </c>
      <c r="I46" s="137" t="s">
        <v>657</v>
      </c>
      <c r="J46" s="454" t="str">
        <f>CONCATENATE(IF(AND(sizing_w03_chosen="Included",sizing_w03_nsxt_model&lt;&gt;"Shared"),VLOOKUP(sizing_w03_nsxt_appliance_size,table_nsxt_manager_cpu,2,FALSE),0)," CPUs : ",IF(AND(sizing_w03_chosen="Included",sizing_w03_nsxt_model&lt;&gt;"Shared"),VLOOKUP(sizing_w03_nsxt_appliance_size,table_nsxt_manager_ram,2,FALSE),0), " GB : ",IF(AND(sizing_w03_chosen="Included",sizing_w03_nsxt_model&lt;&gt;"Shared"),VLOOKUP(sizing_w03_nsxt_appliance_size,table_nsxt_manager_disk_gb,2,FALSE),0)," GB")</f>
        <v>0 CPUs : 0 GB : 0 GB</v>
      </c>
      <c r="K46" s="456"/>
      <c r="L46" s="123" t="s">
        <v>2142</v>
      </c>
      <c r="M46" s="66" t="s">
        <v>92</v>
      </c>
      <c r="N46" s="468" t="str">
        <f>CONCATENATE(IF(AND(sizing_w03_gm_chosen&lt;&gt;"Excluded",sizing_w03_gm_chosen&lt;&gt;"Connect Instance"),VLOOKUP(sizing_w03_nsxt_gm_appliance_size,table_nsxt_manager_cpu,2,FALSE),0)," CPUs : ",IF(AND(sizing_w03_gm_chosen&lt;&gt;"Excluded",sizing_w03_gm_chosen&lt;&gt;"Connect Instance"),VLOOKUP(sizing_w03_nsxt_gm_appliance_size,table_nsxt_manager_ram,2,FALSE),0)," GB : ",IF(AND(sizing_w03_gm_chosen&lt;&gt;"Excluded",sizing_w03_gm_chosen&lt;&gt;"Connect Instance"),VLOOKUP(sizing_w03_nsxt_gm_appliance_size,table_nsxt_manager_disk_gb,2,FALSE),0)," GB")</f>
        <v>0 CPUs : 0 GB : 0 GB</v>
      </c>
      <c r="O46" s="469"/>
      <c r="P46" s="123" t="s">
        <v>13</v>
      </c>
      <c r="Q46" s="432" t="str">
        <f>(CONCATENATE(IF(AND(sizing_w03_chosen="Included",sizing_w03_spr_chosen="Include"),VLOOKUP(input_wld_srm_vm_size,table_srm_cpu,2,FALSE),0)," CPUs :",IF(AND(sizing_w03_chosen="Included",sizing_w03_spr_chosen="Include"),VLOOKUP(input_wld_srm_vm_size,table_srm_ram,2,FALSE),0)," GB : ",IF(AND(sizing_w03_chosen="Included",sizing_w03_spr_chosen="Include"),VLOOKUP(input_wld_srm_vm_size,table_srm_disk,2,FALSE),0)," GB"))</f>
        <v>0 CPUs :0 GB : 0 GB</v>
      </c>
      <c r="R46" s="432"/>
      <c r="S46" s="138" t="s">
        <v>2142</v>
      </c>
      <c r="T46" s="432" t="str">
        <f>CONCATENATE(IF(AND(sizing_w03_chosen="Included",sizing_w03_avi_appliance_size&lt;&gt;"Excluded"),VLOOKUP(sizing_w03_avi_appliance_size,table_avi_lb_cpu,2,FALSE),0), " CPUs : ",IF(AND(sizing_w03_chosen="Included",sizing_w03_avi_appliance_size&lt;&gt;"Excluded"),VLOOKUP(sizing_w03_avi_appliance_size,table_avi_lb_ram,2,FALSE),0), " GB : ",IF(AND(sizing_w03_chosen="Included",sizing_w03_avi_appliance_size&lt;&gt;"Excluded"),VLOOKUP(sizing_w03_avi_appliance_size,table_avi_lb_disk,2,FALSE),0)," GB")</f>
        <v>0 CPUs : 0 GB : 0 GB</v>
      </c>
      <c r="U46" s="445"/>
      <c r="V46" s="66" t="s">
        <v>2142</v>
      </c>
      <c r="W46" s="8" t="str">
        <f>CONCATENATE(
IF(AND(sizing_w03_ssp_chosen&lt;&gt;"Excluded",sizing_w03_ssp_chosen&lt;&gt;"Deployed in WLD"),VLOOKUP(sizing_w03_ssp_chosen,table_ssp_cpu,2,FALSE),0)," CPUs : ",
IF(AND(sizing_w03_ssp_chosen&lt;&gt;"Excluded",sizing_w03_ssp_chosen&lt;&gt;"Deployed in WLD"),VLOOKUP(sizing_w03_ssp_chosen,table_ssp_ram,2,FALSE),0), " GB : ",
IF(AND(sizing_w03_ssp_chosen&lt;&gt;"Excluded",sizing_w03_ssp_chosen&lt;&gt;"Deployed in WLD"),VLOOKUP(sizing_w03_ssp_chosen,table_ssp_disk,2,FALSE),0)," GB")</f>
        <v>0 CPUs : 0 GB : 0 GB</v>
      </c>
      <c r="X46" s="454" t="str">
        <f>IF(sizing_w03_chosen="Included",CONCATENATE("vCenter:",VLOOKUP(sizing_w03_vcenter_appliance_size,vcenter_sizing_limits,2,FALSE)," | NSX LM ",VLOOKUP(sizing_w03_nsxt_appliance_size,nsx_sizing_limits,2,FALSE)),"")</f>
        <v/>
      </c>
      <c r="Y46" s="455"/>
      <c r="Z46" s="455"/>
      <c r="AA46" s="455"/>
      <c r="AB46" s="456"/>
    </row>
    <row r="47" spans="2:33" ht="20" customHeight="1" x14ac:dyDescent="0.2">
      <c r="B47" s="26" t="s">
        <v>3527</v>
      </c>
      <c r="C47" s="139" t="s">
        <v>2142</v>
      </c>
      <c r="D47" s="137" t="s">
        <v>92</v>
      </c>
      <c r="E47" s="8" t="str">
        <f>CONCATENATE(IF(sizing_w04_chosen="Included",VLOOKUP(sizing_w04_vcenter_appliance_size,table_vcenter_appliance_cpu,2,FALSE),0)," CPUs ",": ",IF(sizing_w04_chosen="Included",VLOOKUP(sizing_w04_vcenter_appliance_size,table_vcenter_appliance_ram,2,FALSE),0)," GB")</f>
        <v>0 CPUs : 0 GB</v>
      </c>
      <c r="F47" s="137" t="s">
        <v>745</v>
      </c>
      <c r="G47" s="8" t="str">
        <f>CONCATENATE(IF(sizing_w04_chosen="Included",VLOOKUP(CONCATENATE(sizing_w04_vcenter_appliance_size,sizing_w04_vcenter_storage_size),table_vcenter_disk_gb,2,FALSE),0)," GB")</f>
        <v>0 GB</v>
      </c>
      <c r="H47" s="137" t="s">
        <v>2277</v>
      </c>
      <c r="I47" s="137" t="s">
        <v>657</v>
      </c>
      <c r="J47" s="454" t="str">
        <f>CONCATENATE(IF(AND(sizing_w04_chosen="Included",sizing_w04_nsxt_model&lt;&gt;"Shared"),VLOOKUP(sizing_w04_nsxt_appliance_size,table_nsxt_manager_cpu,2,FALSE),0)," CPUs : ",IF(AND(sizing_w04_chosen="Included",sizing_w04_nsxt_model&lt;&gt;"Shared"),VLOOKUP(sizing_w04_nsxt_appliance_size,table_nsxt_manager_ram,2,FALSE),0), " GB : ",IF(AND(sizing_w04_chosen="Included",sizing_w04_nsxt_model&lt;&gt;"Shared"),VLOOKUP(sizing_w04_nsxt_appliance_size,table_nsxt_manager_disk_gb,2,FALSE),0)," GB")</f>
        <v>0 CPUs : 0 GB : 0 GB</v>
      </c>
      <c r="K47" s="456"/>
      <c r="L47" s="123" t="s">
        <v>2142</v>
      </c>
      <c r="M47" s="66" t="s">
        <v>657</v>
      </c>
      <c r="N47" s="468" t="str">
        <f>CONCATENATE(IF(AND(sizing_w04_gm_chosen&lt;&gt;"Excluded",sizing_w04_gm_chosen&lt;&gt;"Connect Instance"),VLOOKUP(sizing_w04_nsxt_gm_appliance_size,table_nsxt_manager_cpu,2,FALSE),0)," CPUs : ",IF(AND(sizing_w04_gm_chosen&lt;&gt;"Excluded",sizing_w04_gm_chosen&lt;&gt;"Connect Instance"),VLOOKUP(sizing_w04_nsxt_gm_appliance_size,table_nsxt_manager_ram,2,FALSE),0)," GB : ",IF(AND(sizing_w04_gm_chosen&lt;&gt;"Excluded",sizing_w04_gm_chosen&lt;&gt;"Connect Instance"),VLOOKUP(sizing_w04_nsxt_gm_appliance_size,table_nsxt_manager_disk_gb,2,FALSE),0)," GB")</f>
        <v>0 CPUs : 0 GB : 0 GB</v>
      </c>
      <c r="O47" s="469"/>
      <c r="P47" s="123" t="s">
        <v>13</v>
      </c>
      <c r="Q47" s="432" t="str">
        <f>(CONCATENATE(IF(AND(sizing_w04_chosen="Included",sizing_w04_spr_chosen="Include"),VLOOKUP(input_wld_srm_vm_size,table_srm_cpu,2,FALSE),0)," CPUs :",IF(AND(sizing_w04_chosen="Included",sizing_w04_spr_chosen="Include"),VLOOKUP(input_wld_srm_vm_size,table_srm_ram,2,FALSE),0)," GB : ",IF(AND(sizing_w04_chosen="Included",sizing_w04_spr_chosen="Include"),VLOOKUP(input_wld_srm_vm_size,table_srm_disk,2,FALSE),0)," GB"))</f>
        <v>0 CPUs :0 GB : 0 GB</v>
      </c>
      <c r="R47" s="432"/>
      <c r="S47" s="123" t="s">
        <v>2142</v>
      </c>
      <c r="T47" s="432" t="str">
        <f>CONCATENATE(IF(AND(sizing_w04_chosen="Included",sizing_w04_avi_appliance_size&lt;&gt;"Excluded"),VLOOKUP(sizing_w04_avi_appliance_size,table_avi_lb_cpu,2,FALSE),0), " CPUs : ",IF(AND(sizing_w04_chosen="Included",sizing_w04_avi_appliance_size&lt;&gt;"Excluded"),VLOOKUP(sizing_w04_avi_appliance_size,table_avi_lb_ram,2,FALSE),0), " GB : ",IF(AND(sizing_w04_chosen="Included",sizing_w04_avi_appliance_size&lt;&gt;"Excluded"),VLOOKUP(sizing_w04_avi_appliance_size,table_avi_lb_disk,2,FALSE),0)," GB")</f>
        <v>0 CPUs : 0 GB : 0 GB</v>
      </c>
      <c r="U47" s="445"/>
      <c r="V47" s="66" t="s">
        <v>2142</v>
      </c>
      <c r="W47" s="8" t="str">
        <f>CONCATENATE(
IF(AND(sizing_w04_ssp_chosen&lt;&gt;"Excluded",sizing_w04_ssp_chosen&lt;&gt;"Deployed in WLD"),VLOOKUP(sizing_w04_ssp_chosen,table_ssp_cpu,2,FALSE),0)," CPUs : ",
IF(AND(sizing_w04_ssp_chosen&lt;&gt;"Excluded",sizing_w04_ssp_chosen&lt;&gt;"Deployed in WLD"),VLOOKUP(sizing_w04_ssp_chosen,table_ssp_ram,2,FALSE),0), " GB : ",
IF(AND(sizing_w04_ssp_chosen&lt;&gt;"Excluded",sizing_w04_ssp_chosen&lt;&gt;"Deployed in WLD"),VLOOKUP(sizing_w04_ssp_chosen,table_ssp_disk,2,FALSE),0)," GB")</f>
        <v>0 CPUs : 0 GB : 0 GB</v>
      </c>
      <c r="X47" s="454" t="str">
        <f>IF(sizing_w04_chosen="Included",CONCATENATE("vCenter:",VLOOKUP(sizing_w04_vcenter_appliance_size,vcenter_sizing_limits,2,FALSE)," | NSX LM ",VLOOKUP(sizing_w04_nsxt_appliance_size,nsx_sizing_limits,2,FALSE)),"")</f>
        <v/>
      </c>
      <c r="Y47" s="455"/>
      <c r="Z47" s="455"/>
      <c r="AA47" s="455"/>
      <c r="AB47" s="456"/>
    </row>
    <row r="48" spans="2:33" ht="20" customHeight="1" x14ac:dyDescent="0.2">
      <c r="B48" s="26" t="s">
        <v>3528</v>
      </c>
      <c r="C48" s="139" t="s">
        <v>2142</v>
      </c>
      <c r="D48" s="137" t="s">
        <v>92</v>
      </c>
      <c r="E48" s="121" t="str">
        <f>CONCATENATE(IF(sizing_w05_chosen="Included",VLOOKUP(sizing_w05_vcenter_appliance_size,table_vcenter_appliance_cpu,2,FALSE),0)," CPUs ",": ",IF(sizing_w05_chosen="Included",VLOOKUP(sizing_w05_vcenter_appliance_size,table_vcenter_appliance_ram,2,FALSE),0)," GB")</f>
        <v>0 CPUs : 0 GB</v>
      </c>
      <c r="F48" s="137" t="s">
        <v>745</v>
      </c>
      <c r="G48" s="121" t="str">
        <f>CONCATENATE(IF(sizing_w05_chosen="Included",VLOOKUP(CONCATENATE(sizing_w05_vcenter_appliance_size,sizing_w05_vcenter_storage_size),table_vcenter_disk_gb,2,FALSE),0)," GB")</f>
        <v>0 GB</v>
      </c>
      <c r="H48" s="137" t="s">
        <v>2277</v>
      </c>
      <c r="I48" s="137" t="s">
        <v>657</v>
      </c>
      <c r="J48" s="470" t="str">
        <f>CONCATENATE(IF(AND(sizing_w05_chosen="Included",sizing_w05_nsxt_model&lt;&gt;"Shared"),VLOOKUP(sizing_w05_nsxt_appliance_size,table_nsxt_manager_cpu,2,FALSE),0)," CPUs : ",IF(AND(sizing_w05_chosen="Included",sizing_w05_nsxt_model&lt;&gt;"Shared"),VLOOKUP(sizing_w05_nsxt_appliance_size,table_nsxt_manager_ram,2,FALSE),0), " GB : ",IF(AND(sizing_w05_chosen="Included",sizing_w05_nsxt_model&lt;&gt;"Shared"),VLOOKUP(sizing_w05_nsxt_appliance_size,table_nsxt_manager_disk_gb,2,FALSE),0)," GB")</f>
        <v>0 CPUs : 0 GB : 0 GB</v>
      </c>
      <c r="K48" s="471"/>
      <c r="L48" s="123" t="s">
        <v>2142</v>
      </c>
      <c r="M48" s="66" t="s">
        <v>657</v>
      </c>
      <c r="N48" s="468" t="str">
        <f>CONCATENATE(IF(AND(sizing_w05_gm_chosen&lt;&gt;"Excluded",sizing_w05_gm_chosen&lt;&gt;"Connect Instance"),VLOOKUP(sizing_w05_nsxt_gm_appliance_size,table_nsxt_manager_cpu,2,FALSE),0)," CPUs : ",IF(AND(sizing_w05_gm_chosen&lt;&gt;"Excluded",sizing_w05_gm_chosen&lt;&gt;"Connect Instance"),VLOOKUP(sizing_w05_nsxt_gm_appliance_size,table_nsxt_manager_ram,2,FALSE),0)," GB : ",IF(AND(sizing_w05_gm_chosen&lt;&gt;"Excluded",sizing_w05_gm_chosen&lt;&gt;"Connect Instance"),VLOOKUP(sizing_w05_nsxt_gm_appliance_size,table_nsxt_manager_disk_gb,2,FALSE),0)," GB")</f>
        <v>0 CPUs : 0 GB : 0 GB</v>
      </c>
      <c r="O48" s="469"/>
      <c r="P48" s="123" t="s">
        <v>13</v>
      </c>
      <c r="Q48" s="432" t="str">
        <f>(CONCATENATE(IF(AND(sizing_w05_chosen="Included",sizing_w05_spr_chosen="Include"),VLOOKUP(input_wld_srm_vm_size,table_srm_cpu,2,FALSE),0)," CPUs :",IF(AND(sizing_w05_chosen="Included",sizing_w05_spr_chosen="Include"),VLOOKUP(input_wld_srm_vm_size,table_srm_ram,2,FALSE),0)," GB : ",IF(AND(sizing_w05_chosen="Included",sizing_w05_spr_chosen="Include"),VLOOKUP(input_wld_srm_vm_size,table_srm_disk,2,FALSE),0)," GB"))</f>
        <v>0 CPUs :0 GB : 0 GB</v>
      </c>
      <c r="R48" s="432"/>
      <c r="S48" s="123" t="s">
        <v>2142</v>
      </c>
      <c r="T48" s="432" t="str">
        <f>CONCATENATE(IF(AND(sizing_w05_chosen="Included",sizing_w05_avi_appliance_size&lt;&gt;"Excluded"),VLOOKUP(sizing_w05_avi_appliance_size,table_avi_lb_cpu,2,FALSE),0), " CPUs : ",IF(AND(sizing_w05_chosen="Included",sizing_w05_avi_appliance_size&lt;&gt;"Excluded"),VLOOKUP(sizing_w05_avi_appliance_size,table_avi_lb_ram,2,FALSE),0), " GB : ",IF(AND(sizing_w05_chosen="Included",sizing_w05_avi_appliance_size&lt;&gt;"Excluded"),VLOOKUP(sizing_w05_avi_appliance_size,table_avi_lb_disk,2,FALSE),0)," GB")</f>
        <v>0 CPUs : 0 GB : 0 GB</v>
      </c>
      <c r="U48" s="445"/>
      <c r="V48" s="66" t="s">
        <v>2142</v>
      </c>
      <c r="W48" s="8" t="str">
        <f>CONCATENATE(
IF(AND(sizing_w05_ssp_chosen&lt;&gt;"Excluded",sizing_w05_ssp_chosen&lt;&gt;"Deployed in WLD"),VLOOKUP(sizing_w05_ssp_chosen,table_ssp_cpu,2,FALSE),0)," CPUs : ",
IF(AND(sizing_w05_ssp_chosen&lt;&gt;"Excluded",sizing_w05_ssp_chosen&lt;&gt;"Deployed in WLD"),VLOOKUP(sizing_w05_ssp_chosen,table_ssp_ram,2,FALSE),0), " GB : ",
IF(AND(sizing_w05_ssp_chosen&lt;&gt;"Excluded",sizing_w05_ssp_chosen&lt;&gt;"Deployed in WLD"),VLOOKUP(sizing_w05_ssp_chosen,table_ssp_disk,2,FALSE),0)," GB")</f>
        <v>0 CPUs : 0 GB : 0 GB</v>
      </c>
      <c r="X48" s="454" t="str">
        <f>IF(sizing_w05_chosen="Included",CONCATENATE("vCenter:",VLOOKUP(sizing_w05_vcenter_appliance_size,vcenter_sizing_limits,2,FALSE)," | NSX LM ",VLOOKUP(sizing_w05_nsxt_appliance_size,nsx_sizing_limits,2,FALSE)),"")</f>
        <v/>
      </c>
      <c r="Y48" s="455"/>
      <c r="Z48" s="455"/>
      <c r="AA48" s="455"/>
      <c r="AB48" s="456"/>
    </row>
    <row r="49" spans="2:28" ht="20" customHeight="1" x14ac:dyDescent="0.2">
      <c r="B49" s="26" t="s">
        <v>3529</v>
      </c>
      <c r="C49" s="139" t="s">
        <v>2142</v>
      </c>
      <c r="D49" s="137" t="s">
        <v>92</v>
      </c>
      <c r="E49" s="121" t="str">
        <f>CONCATENATE(IF(sizing_w06_chosen="Included",VLOOKUP(sizing_w06_vcenter_appliance_size,table_vcenter_appliance_cpu,2,FALSE),0)," CPUs ",": ",IF(sizing_w06_chosen="Included",VLOOKUP(sizing_w06_vcenter_appliance_size,table_vcenter_appliance_ram,2,FALSE),0)," GB")</f>
        <v>0 CPUs : 0 GB</v>
      </c>
      <c r="F49" s="137" t="s">
        <v>745</v>
      </c>
      <c r="G49" s="121" t="str">
        <f>CONCATENATE(IF(sizing_w06_chosen="Included",VLOOKUP(CONCATENATE(sizing_w06_vcenter_appliance_size,sizing_w06_vcenter_storage_size),table_vcenter_disk_gb,2,FALSE),0)," GB")</f>
        <v>0 GB</v>
      </c>
      <c r="H49" s="137" t="s">
        <v>2277</v>
      </c>
      <c r="I49" s="137" t="s">
        <v>657</v>
      </c>
      <c r="J49" s="470" t="str">
        <f>CONCATENATE(IF(AND(sizing_w06_chosen="Included",sizing_w06_nsxt_model&lt;&gt;"Shared"),VLOOKUP(sizing_w06_nsxt_appliance_size,table_nsxt_manager_cpu,2,FALSE),0)," CPUs : ",IF(AND(sizing_w06_chosen="Included",sizing_w06_nsxt_model&lt;&gt;"Shared"),VLOOKUP(sizing_w06_nsxt_appliance_size,table_nsxt_manager_ram,2,FALSE),0), " GB : ",IF(AND(sizing_w06_chosen="Included",sizing_w06_nsxt_model&lt;&gt;"Shared"),VLOOKUP(sizing_w06_nsxt_appliance_size,table_nsxt_manager_disk_gb,2,FALSE),0)," GB")</f>
        <v>0 CPUs : 0 GB : 0 GB</v>
      </c>
      <c r="K49" s="471"/>
      <c r="L49" s="123" t="s">
        <v>2142</v>
      </c>
      <c r="M49" s="66" t="s">
        <v>657</v>
      </c>
      <c r="N49" s="468" t="str">
        <f>CONCATENATE(IF(AND(sizing_w06_gm_chosen&lt;&gt;"Excluded",sizing_w06_gm_chosen&lt;&gt;"Connect Instance"),VLOOKUP(sizing_w06_nsxt_gm_appliance_size,table_nsxt_manager_cpu,2,FALSE),0)," CPUs : ",IF(AND(sizing_w06_gm_chosen&lt;&gt;"Excluded",sizing_w06_gm_chosen&lt;&gt;"Connect Instance"),VLOOKUP(sizing_w06_nsxt_gm_appliance_size,table_nsxt_manager_ram,2,FALSE),0)," GB : ",IF(AND(sizing_w06_gm_chosen&lt;&gt;"Excluded",sizing_w06_gm_chosen&lt;&gt;"Connect Instance"),VLOOKUP(sizing_w06_nsxt_gm_appliance_size,table_nsxt_manager_disk_gb,2,FALSE),0)," GB")</f>
        <v>0 CPUs : 0 GB : 0 GB</v>
      </c>
      <c r="O49" s="469"/>
      <c r="P49" s="123" t="s">
        <v>13</v>
      </c>
      <c r="Q49" s="432" t="str">
        <f>(CONCATENATE(IF(AND(sizing_w06_chosen="Included",sizing_w06_spr_chosen="Include"),VLOOKUP(input_wld_srm_vm_size,table_srm_cpu,2,FALSE),0)," CPUs :",IF(AND(sizing_w06_chosen="Included",sizing_w06_spr_chosen="Include"),VLOOKUP(input_wld_srm_vm_size,table_srm_ram,2,FALSE),0)," GB : ",IF(AND(sizing_w06_chosen="Included",sizing_w06_spr_chosen="Include"),VLOOKUP(input_wld_srm_vm_size,table_srm_disk,2,FALSE),0)," GB"))</f>
        <v>0 CPUs :0 GB : 0 GB</v>
      </c>
      <c r="R49" s="432"/>
      <c r="S49" s="123" t="s">
        <v>2142</v>
      </c>
      <c r="T49" s="432" t="str">
        <f>CONCATENATE(IF(AND(sizing_w06_chosen="Included",sizing_w06_avi_appliance_size&lt;&gt;"Excluded"),VLOOKUP(sizing_w06_avi_appliance_size,table_avi_lb_cpu,2,FALSE),0), " CPUs : ",IF(AND(sizing_w06_chosen="Included",sizing_w06_avi_appliance_size&lt;&gt;"Excluded"),VLOOKUP(sizing_w06_avi_appliance_size,table_avi_lb_ram,2,FALSE),0), " GB : ",IF(AND(sizing_w06_chosen="Included",sizing_w06_avi_appliance_size&lt;&gt;"Excluded"),VLOOKUP(sizing_w06_avi_appliance_size,table_avi_lb_disk,2,FALSE),0)," GB")</f>
        <v>0 CPUs : 0 GB : 0 GB</v>
      </c>
      <c r="U49" s="445"/>
      <c r="V49" s="66" t="s">
        <v>2142</v>
      </c>
      <c r="W49" s="8" t="str">
        <f>CONCATENATE(
IF(AND(sizing_w06_ssp_chosen&lt;&gt;"Excluded",sizing_w06_ssp_chosen&lt;&gt;"Deployed in WLD"),VLOOKUP(sizing_w06_ssp_chosen,table_ssp_cpu,2,FALSE),0)," CPUs : ",
IF(AND(sizing_w06_ssp_chosen&lt;&gt;"Excluded",sizing_w06_ssp_chosen&lt;&gt;"Deployed in WLD"),VLOOKUP(sizing_w06_ssp_chosen,table_ssp_ram,2,FALSE),0), " GB : ",
IF(AND(sizing_w06_ssp_chosen&lt;&gt;"Excluded",sizing_w06_ssp_chosen&lt;&gt;"Deployed in WLD"),VLOOKUP(sizing_w06_ssp_chosen,table_ssp_disk,2,FALSE),0)," GB")</f>
        <v>0 CPUs : 0 GB : 0 GB</v>
      </c>
      <c r="X49" s="454" t="str">
        <f>IF(sizing_w06_chosen="Included",CONCATENATE("vCenter:",VLOOKUP(sizing_w06_vcenter_appliance_size,vcenter_sizing_limits,2,FALSE)," | NSX LM ",VLOOKUP(sizing_w06_nsxt_appliance_size,nsx_sizing_limits,2,FALSE)),"")</f>
        <v/>
      </c>
      <c r="Y49" s="455"/>
      <c r="Z49" s="455"/>
      <c r="AA49" s="455"/>
      <c r="AB49" s="456"/>
    </row>
    <row r="50" spans="2:28" ht="20" customHeight="1" x14ac:dyDescent="0.2">
      <c r="B50" s="26" t="s">
        <v>3530</v>
      </c>
      <c r="C50" s="139" t="s">
        <v>2142</v>
      </c>
      <c r="D50" s="137" t="s">
        <v>92</v>
      </c>
      <c r="E50" s="121" t="str">
        <f>CONCATENATE(IF(sizing_w07_chosen="Included",VLOOKUP(sizing_w07_vcenter_appliance_size,table_vcenter_appliance_cpu,2,FALSE),0)," CPUs ",": ",IF(sizing_w07_chosen="Included",VLOOKUP(sizing_w07_vcenter_appliance_size,table_vcenter_appliance_ram,2,FALSE),0)," GB")</f>
        <v>0 CPUs : 0 GB</v>
      </c>
      <c r="F50" s="137" t="s">
        <v>745</v>
      </c>
      <c r="G50" s="121" t="str">
        <f>CONCATENATE(IF(sizing_w07_chosen="Included",VLOOKUP(CONCATENATE(sizing_w07_vcenter_appliance_size,sizing_w07_vcenter_storage_size),table_vcenter_disk_gb,2,FALSE),0)," GB")</f>
        <v>0 GB</v>
      </c>
      <c r="H50" s="137" t="s">
        <v>2277</v>
      </c>
      <c r="I50" s="137" t="s">
        <v>657</v>
      </c>
      <c r="J50" s="470" t="str">
        <f>CONCATENATE(IF(AND(sizing_w07_chosen="Included",sizing_w07_nsxt_model&lt;&gt;"Shared"),VLOOKUP(sizing_w07_nsxt_appliance_size,table_nsxt_manager_cpu,2,FALSE),0)," CPUs : ",IF(AND(sizing_w07_chosen="Included",sizing_w07_nsxt_model&lt;&gt;"Shared"),VLOOKUP(sizing_w07_nsxt_appliance_size,table_nsxt_manager_ram,2,FALSE),0), " GB : ",IF(AND(sizing_w07_chosen="Included",sizing_w07_nsxt_model&lt;&gt;"Shared"),VLOOKUP(sizing_w07_nsxt_appliance_size,table_nsxt_manager_disk_gb,2,FALSE),0)," GB")</f>
        <v>0 CPUs : 0 GB : 0 GB</v>
      </c>
      <c r="K50" s="471"/>
      <c r="L50" s="123" t="s">
        <v>2142</v>
      </c>
      <c r="M50" s="66" t="s">
        <v>657</v>
      </c>
      <c r="N50" s="468" t="str">
        <f>CONCATENATE(IF(AND(sizing_w07_gm_chosen&lt;&gt;"Excluded",sizing_w07_gm_chosen&lt;&gt;"Connect Instance"),VLOOKUP(sizing_w07_nsxt_gm_appliance_size,table_nsxt_manager_cpu,2,FALSE),0)," CPUs : ",IF(AND(sizing_w07_gm_chosen&lt;&gt;"Excluded",sizing_w07_gm_chosen&lt;&gt;"Connect Instance"),VLOOKUP(sizing_w07_nsxt_gm_appliance_size,table_nsxt_manager_ram,2,FALSE),0)," GB : ",IF(AND(sizing_w07_gm_chosen&lt;&gt;"Excluded",sizing_w07_gm_chosen&lt;&gt;"Connect Instance"),VLOOKUP(sizing_w07_nsxt_gm_appliance_size,table_nsxt_manager_disk_gb,2,FALSE),0)," GB")</f>
        <v>0 CPUs : 0 GB : 0 GB</v>
      </c>
      <c r="O50" s="469"/>
      <c r="P50" s="123" t="s">
        <v>13</v>
      </c>
      <c r="Q50" s="432" t="str">
        <f>(CONCATENATE(IF(AND(sizing_w07_chosen="Included",sizing_w07_spr_chosen="Include"),VLOOKUP(input_wld_srm_vm_size,table_srm_cpu,2,FALSE),0)," CPUs :",IF(AND(sizing_w07_chosen="Included",sizing_w07_spr_chosen="Include"),VLOOKUP(input_wld_srm_vm_size,table_srm_ram,2,FALSE),0)," GB : ",IF(AND(sizing_w07_chosen="Included",sizing_w07_spr_chosen="Include"),VLOOKUP(input_wld_srm_vm_size,table_srm_disk,2,FALSE),0)," GB"))</f>
        <v>0 CPUs :0 GB : 0 GB</v>
      </c>
      <c r="R50" s="432"/>
      <c r="S50" s="123" t="s">
        <v>2142</v>
      </c>
      <c r="T50" s="432" t="str">
        <f>CONCATENATE(IF(AND(sizing_w07_chosen="Included",sizing_w07_avi_appliance_size&lt;&gt;"Excluded"),VLOOKUP(sizing_w07_avi_appliance_size,table_avi_lb_cpu,2,FALSE),0), " CPUs : ",IF(AND(sizing_w07_chosen="Included",sizing_w07_avi_appliance_size&lt;&gt;"Excluded"),VLOOKUP(sizing_w07_avi_appliance_size,table_avi_lb_ram,2,FALSE),0), " GB : ",IF(AND(sizing_w07_chosen="Included",sizing_w07_avi_appliance_size&lt;&gt;"Excluded"),VLOOKUP(sizing_w07_avi_appliance_size,table_avi_lb_disk,2,FALSE),0)," GB")</f>
        <v>0 CPUs : 0 GB : 0 GB</v>
      </c>
      <c r="U50" s="445"/>
      <c r="V50" s="66" t="s">
        <v>2142</v>
      </c>
      <c r="W50" s="8" t="str">
        <f>CONCATENATE(
IF(AND(sizing_w07_ssp_chosen&lt;&gt;"Excluded",sizing_w07_ssp_chosen&lt;&gt;"Deployed in WLD"),VLOOKUP(sizing_w07_ssp_chosen,table_ssp_cpu,2,FALSE),0)," CPUs : ",
IF(AND(sizing_w07_ssp_chosen&lt;&gt;"Excluded",sizing_w07_ssp_chosen&lt;&gt;"Deployed in WLD"),VLOOKUP(sizing_w07_ssp_chosen,table_ssp_ram,2,FALSE),0), " GB : ",
IF(AND(sizing_w07_ssp_chosen&lt;&gt;"Excluded",sizing_w07_ssp_chosen&lt;&gt;"Deployed in WLD"),VLOOKUP(sizing_w07_ssp_chosen,table_ssp_disk,2,FALSE),0)," GB")</f>
        <v>0 CPUs : 0 GB : 0 GB</v>
      </c>
      <c r="X50" s="454" t="str">
        <f>IF(sizing_w07_chosen="Included",CONCATENATE("vCenter:",VLOOKUP(sizing_w07_vcenter_appliance_size,vcenter_sizing_limits,2,FALSE)," | NSX LM ",VLOOKUP(sizing_w07_nsxt_appliance_size,nsx_sizing_limits,2,FALSE)),"")</f>
        <v/>
      </c>
      <c r="Y50" s="455"/>
      <c r="Z50" s="455"/>
      <c r="AA50" s="455"/>
      <c r="AB50" s="456"/>
    </row>
    <row r="51" spans="2:28" ht="20" customHeight="1" x14ac:dyDescent="0.2">
      <c r="B51" s="26" t="s">
        <v>3531</v>
      </c>
      <c r="C51" s="139" t="s">
        <v>2142</v>
      </c>
      <c r="D51" s="137" t="s">
        <v>92</v>
      </c>
      <c r="E51" s="121" t="str">
        <f>CONCATENATE(IF(sizing_w08_chosen="Included",VLOOKUP(sizing_w08_vcenter_appliance_size,table_vcenter_appliance_cpu,2,FALSE),0)," CPUs ",": ",IF(sizing_w08_chosen="Included",VLOOKUP(sizing_w08_vcenter_appliance_size,table_vcenter_appliance_ram,2,FALSE),0)," GB")</f>
        <v>0 CPUs : 0 GB</v>
      </c>
      <c r="F51" s="137" t="s">
        <v>745</v>
      </c>
      <c r="G51" s="121" t="str">
        <f>CONCATENATE(IF(sizing_w08_chosen="Included",VLOOKUP(CONCATENATE(sizing_w08_vcenter_appliance_size,sizing_w08_vcenter_storage_size),table_vcenter_disk_gb,2,FALSE),0)," GB")</f>
        <v>0 GB</v>
      </c>
      <c r="H51" s="137" t="s">
        <v>2277</v>
      </c>
      <c r="I51" s="137" t="s">
        <v>657</v>
      </c>
      <c r="J51" s="470" t="str">
        <f>CONCATENATE(IF(AND(sizing_w08_chosen="Included",sizing_w08_nsxt_model&lt;&gt;"Shared"),VLOOKUP(sizing_w08_nsxt_appliance_size,table_nsxt_manager_cpu,2,FALSE),0)," CPUs : ",IF(AND(sizing_w08_chosen="Included",sizing_w08_nsxt_model&lt;&gt;"Shared"),VLOOKUP(sizing_w08_nsxt_appliance_size,table_nsxt_manager_ram,2,FALSE),0), " GB : ",IF(AND(sizing_w08_chosen="Included",sizing_w08_nsxt_model&lt;&gt;"Shared"),VLOOKUP(sizing_w08_nsxt_appliance_size,table_nsxt_manager_disk_gb,2,FALSE),0)," GB")</f>
        <v>0 CPUs : 0 GB : 0 GB</v>
      </c>
      <c r="K51" s="471"/>
      <c r="L51" s="123" t="s">
        <v>2142</v>
      </c>
      <c r="M51" s="66" t="s">
        <v>657</v>
      </c>
      <c r="N51" s="468" t="str">
        <f>CONCATENATE(IF(AND(sizing_w08_gm_chosen&lt;&gt;"Excluded",sizing_w08_gm_chosen&lt;&gt;"Connect Instance"),VLOOKUP(sizing_w08_nsxt_gm_appliance_size,table_nsxt_manager_cpu,2,FALSE),0)," CPUs : ",IF(AND(sizing_w08_gm_chosen&lt;&gt;"Excluded",sizing_w08_gm_chosen&lt;&gt;"Connect Instance"),VLOOKUP(sizing_w08_nsxt_gm_appliance_size,table_nsxt_manager_ram,2,FALSE),0)," GB : ",IF(AND(sizing_w08_gm_chosen&lt;&gt;"Excluded",sizing_w08_gm_chosen&lt;&gt;"Connect Instance"),VLOOKUP(sizing_w08_nsxt_gm_appliance_size,table_nsxt_manager_disk_gb,2,FALSE),0)," GB")</f>
        <v>0 CPUs : 0 GB : 0 GB</v>
      </c>
      <c r="O51" s="469"/>
      <c r="P51" s="123" t="s">
        <v>13</v>
      </c>
      <c r="Q51" s="432" t="str">
        <f>(CONCATENATE(IF(AND(sizing_w08_chosen="Included",sizing_w08_spr_chosen="Include"),VLOOKUP(input_wld_srm_vm_size,table_srm_cpu,2,FALSE),0)," CPUs :",IF(AND(sizing_w08_chosen="Included",sizing_w08_spr_chosen="Include"),VLOOKUP(input_wld_srm_vm_size,table_srm_ram,2,FALSE),0)," GB : ",IF(AND(sizing_w08_chosen="Included",sizing_w08_spr_chosen="Include"),VLOOKUP(input_wld_srm_vm_size,table_srm_disk,2,FALSE),0)," GB"))</f>
        <v>0 CPUs :0 GB : 0 GB</v>
      </c>
      <c r="R51" s="432"/>
      <c r="S51" s="123" t="s">
        <v>2142</v>
      </c>
      <c r="T51" s="432" t="str">
        <f>CONCATENATE(IF(AND(sizing_w08_chosen="Included",sizing_w08_avi_appliance_size&lt;&gt;"Excluded"),VLOOKUP(sizing_w08_avi_appliance_size,table_avi_lb_cpu,2,FALSE),0), " CPUs : ",IF(AND(sizing_w08_chosen="Included",sizing_w08_avi_appliance_size&lt;&gt;"Excluded"),VLOOKUP(sizing_w08_avi_appliance_size,table_avi_lb_ram,2,FALSE),0), " GB : ",IF(AND(sizing_w08_chosen="Included",sizing_w08_avi_appliance_size&lt;&gt;"Excluded"),VLOOKUP(sizing_w08_avi_appliance_size,table_avi_lb_disk,2,FALSE),0)," GB")</f>
        <v>0 CPUs : 0 GB : 0 GB</v>
      </c>
      <c r="U51" s="445"/>
      <c r="V51" s="66" t="s">
        <v>2142</v>
      </c>
      <c r="W51" s="8" t="str">
        <f>CONCATENATE(
IF(AND(sizing_w08_ssp_chosen&lt;&gt;"Excluded",sizing_w08_ssp_chosen&lt;&gt;"Deployed in WLD"),VLOOKUP(sizing_w08_ssp_chosen,table_ssp_cpu,2,FALSE),0)," CPUs : ",
IF(AND(sizing_w08_ssp_chosen&lt;&gt;"Excluded",sizing_w08_ssp_chosen&lt;&gt;"Deployed in WLD"),VLOOKUP(sizing_w08_ssp_chosen,table_ssp_ram,2,FALSE),0), " GB : ",
IF(AND(sizing_w08_ssp_chosen&lt;&gt;"Excluded",sizing_w08_ssp_chosen&lt;&gt;"Deployed in WLD"),VLOOKUP(sizing_w08_ssp_chosen,table_ssp_disk,2,FALSE),0)," GB")</f>
        <v>0 CPUs : 0 GB : 0 GB</v>
      </c>
      <c r="X51" s="454" t="str">
        <f>IF(sizing_w08_chosen="Included",CONCATENATE("vCenter:",VLOOKUP(sizing_w08_vcenter_appliance_size,vcenter_sizing_limits,2,FALSE)," | NSX LM ",VLOOKUP(sizing_w08_nsxt_appliance_size,nsx_sizing_limits,2,FALSE)),"")</f>
        <v/>
      </c>
      <c r="Y51" s="455"/>
      <c r="Z51" s="455"/>
      <c r="AA51" s="455"/>
      <c r="AB51" s="456"/>
    </row>
    <row r="52" spans="2:28" ht="20" customHeight="1" x14ac:dyDescent="0.2">
      <c r="B52" s="26" t="s">
        <v>3532</v>
      </c>
      <c r="C52" s="139" t="s">
        <v>2142</v>
      </c>
      <c r="D52" s="137" t="s">
        <v>92</v>
      </c>
      <c r="E52" s="121" t="str">
        <f>CONCATENATE(IF(sizing_w09_chosen="Included",VLOOKUP(sizing_w09_vcenter_appliance_size,table_vcenter_appliance_cpu,2,FALSE),0)," CPUs ",": ",IF(sizing_w09_chosen="Included",VLOOKUP(sizing_w09_vcenter_appliance_size,table_vcenter_appliance_ram,2,FALSE),0)," GB")</f>
        <v>0 CPUs : 0 GB</v>
      </c>
      <c r="F52" s="137" t="s">
        <v>745</v>
      </c>
      <c r="G52" s="121" t="str">
        <f>CONCATENATE(IF(sizing_w09_chosen="Included",VLOOKUP(CONCATENATE(sizing_w09_vcenter_appliance_size,sizing_w09_vcenter_storage_size),table_vcenter_disk_gb,2,FALSE),0)," GB")</f>
        <v>0 GB</v>
      </c>
      <c r="H52" s="137" t="s">
        <v>2277</v>
      </c>
      <c r="I52" s="137" t="s">
        <v>657</v>
      </c>
      <c r="J52" s="470" t="str">
        <f>CONCATENATE(IF(AND(sizing_w09_chosen="Included",sizing_w09_nsxt_model&lt;&gt;"Shared"),VLOOKUP(sizing_w09_nsxt_appliance_size,table_nsxt_manager_cpu,2,FALSE),0)," CPUs : ",IF(AND(sizing_w09_chosen="Included",sizing_w09_nsxt_model&lt;&gt;"Shared"),VLOOKUP(sizing_w09_nsxt_appliance_size,table_nsxt_manager_ram,2,FALSE),0), " GB : ",IF(AND(sizing_w09_chosen="Included",sizing_w09_nsxt_model&lt;&gt;"Shared"),VLOOKUP(sizing_w09_nsxt_appliance_size,table_nsxt_manager_disk_gb,2,FALSE),0)," GB")</f>
        <v>0 CPUs : 0 GB : 0 GB</v>
      </c>
      <c r="K52" s="471"/>
      <c r="L52" s="123" t="s">
        <v>2142</v>
      </c>
      <c r="M52" s="66" t="s">
        <v>657</v>
      </c>
      <c r="N52" s="468" t="str">
        <f>CONCATENATE(IF(AND(sizing_w09_gm_chosen&lt;&gt;"Excluded",sizing_w09_gm_chosen&lt;&gt;"Connect Instance"),VLOOKUP(sizing_w09_nsxt_gm_appliance_size,table_nsxt_manager_cpu,2,FALSE),0)," CPUs : ",IF(AND(sizing_w09_gm_chosen&lt;&gt;"Excluded",sizing_w09_gm_chosen&lt;&gt;"Connect Instance"),VLOOKUP(sizing_w09_nsxt_gm_appliance_size,table_nsxt_manager_ram,2,FALSE),0)," GB : ",IF(AND(sizing_w09_gm_chosen&lt;&gt;"Excluded",sizing_w09_gm_chosen&lt;&gt;"Connect Instance"),VLOOKUP(sizing_w09_nsxt_gm_appliance_size,table_nsxt_manager_disk_gb,2,FALSE),0)," GB")</f>
        <v>0 CPUs : 0 GB : 0 GB</v>
      </c>
      <c r="O52" s="469"/>
      <c r="P52" s="123" t="s">
        <v>13</v>
      </c>
      <c r="Q52" s="432" t="str">
        <f>(CONCATENATE(IF(AND(sizing_w09_chosen="Included",sizing_w09_spr_chosen="Include"),VLOOKUP(input_wld_srm_vm_size,table_srm_cpu,2,FALSE),0)," CPUs :",IF(AND(sizing_w09_chosen="Included",sizing_w09_spr_chosen="Include"),VLOOKUP(input_wld_srm_vm_size,table_srm_ram,2,FALSE),0)," GB : ",IF(AND(sizing_w09_chosen="Included",sizing_w09_spr_chosen="Include"),VLOOKUP(input_wld_srm_vm_size,table_srm_disk,2,FALSE),0)," GB"))</f>
        <v>0 CPUs :0 GB : 0 GB</v>
      </c>
      <c r="R52" s="432"/>
      <c r="S52" s="123" t="s">
        <v>2142</v>
      </c>
      <c r="T52" s="432" t="str">
        <f>CONCATENATE(IF(AND(sizing_w09_chosen="Included",sizing_w09_avi_appliance_size&lt;&gt;"Excluded"),VLOOKUP(sizing_w09_avi_appliance_size,table_avi_lb_cpu,2,FALSE),0), " CPUs : ",IF(AND(sizing_w09_chosen="Included",sizing_w09_avi_appliance_size&lt;&gt;"Excluded"),VLOOKUP(sizing_w09_avi_appliance_size,table_avi_lb_ram,2,FALSE),0), " GB : ",IF(AND(sizing_w09_chosen="Included",sizing_w09_avi_appliance_size&lt;&gt;"Excluded"),VLOOKUP(sizing_w09_avi_appliance_size,table_avi_lb_disk,2,FALSE),0)," GB")</f>
        <v>0 CPUs : 0 GB : 0 GB</v>
      </c>
      <c r="U52" s="445"/>
      <c r="V52" s="66" t="s">
        <v>2142</v>
      </c>
      <c r="W52" s="8" t="str">
        <f>CONCATENATE(
IF(AND(sizing_w09_ssp_chosen&lt;&gt;"Excluded",sizing_w09_ssp_chosen&lt;&gt;"Deployed in WLD"),VLOOKUP(sizing_w09_ssp_chosen,table_ssp_cpu,2,FALSE),0)," CPUs : ",
IF(AND(sizing_w09_ssp_chosen&lt;&gt;"Excluded",sizing_w09_ssp_chosen&lt;&gt;"Deployed in WLD"),VLOOKUP(sizing_w09_ssp_chosen,table_ssp_ram,2,FALSE),0), " GB : ",
IF(AND(sizing_w09_ssp_chosen&lt;&gt;"Excluded",sizing_w09_ssp_chosen&lt;&gt;"Deployed in WLD"),VLOOKUP(sizing_w09_ssp_chosen,table_ssp_disk,2,FALSE),0)," GB")</f>
        <v>0 CPUs : 0 GB : 0 GB</v>
      </c>
      <c r="X52" s="454" t="str">
        <f>IF(sizing_w09_chosen="Included",CONCATENATE("vCenter:",VLOOKUP(sizing_w09_vcenter_appliance_size,vcenter_sizing_limits,2,FALSE)," | NSX LM ",VLOOKUP(sizing_w09_nsxt_appliance_size,nsx_sizing_limits,2,FALSE)),"")</f>
        <v/>
      </c>
      <c r="Y52" s="455"/>
      <c r="Z52" s="455"/>
      <c r="AA52" s="455"/>
      <c r="AB52" s="456"/>
    </row>
    <row r="53" spans="2:28" ht="20" customHeight="1" x14ac:dyDescent="0.2">
      <c r="B53" s="26" t="s">
        <v>3533</v>
      </c>
      <c r="C53" s="139" t="s">
        <v>2142</v>
      </c>
      <c r="D53" s="137" t="s">
        <v>92</v>
      </c>
      <c r="E53" s="121" t="str">
        <f>CONCATENATE(IF(sizing_w10_chosen="Included",VLOOKUP(sizing_w10_vcenter_appliance_size,table_vcenter_appliance_cpu,2,FALSE),0)," CPUs ",": ",IF(sizing_w10_chosen="Included",VLOOKUP(sizing_w10_vcenter_appliance_size,table_vcenter_appliance_ram,2,FALSE),0)," GB")</f>
        <v>0 CPUs : 0 GB</v>
      </c>
      <c r="F53" s="137" t="s">
        <v>745</v>
      </c>
      <c r="G53" s="121" t="str">
        <f>CONCATENATE(IF(sizing_w10_chosen="Included",VLOOKUP(CONCATENATE(sizing_w10_vcenter_appliance_size,sizing_w10_vcenter_storage_size),table_vcenter_disk_gb,2,FALSE),0)," GB")</f>
        <v>0 GB</v>
      </c>
      <c r="H53" s="137" t="s">
        <v>2277</v>
      </c>
      <c r="I53" s="137" t="s">
        <v>657</v>
      </c>
      <c r="J53" s="470" t="str">
        <f>CONCATENATE(IF(AND(sizing_w10_chosen="Included",sizing_w10_nsxt_model&lt;&gt;"Shared"),VLOOKUP(sizing_w10_nsxt_appliance_size,table_nsxt_manager_cpu,2,FALSE),0)," CPUs : ",IF(AND(sizing_w10_chosen="Included",sizing_w10_nsxt_model&lt;&gt;"Shared"),VLOOKUP(sizing_w10_nsxt_appliance_size,table_nsxt_manager_ram,2,FALSE),0), " GB : ",IF(AND(sizing_w10_chosen="Included",sizing_w10_nsxt_model&lt;&gt;"Shared"),VLOOKUP(sizing_w10_nsxt_appliance_size,table_nsxt_manager_disk_gb,2,FALSE),0)," GB")</f>
        <v>0 CPUs : 0 GB : 0 GB</v>
      </c>
      <c r="K53" s="471"/>
      <c r="L53" s="123" t="s">
        <v>2142</v>
      </c>
      <c r="M53" s="66" t="s">
        <v>657</v>
      </c>
      <c r="N53" s="468" t="str">
        <f>CONCATENATE(IF(AND(sizing_w10_gm_chosen&lt;&gt;"Excluded",sizing_w10_gm_chosen&lt;&gt;"Connect Instance"),VLOOKUP(sizing_w10_nsxt_gm_appliance_size,table_nsxt_manager_cpu,2,FALSE),0)," CPUs : ",IF(AND(sizing_w10_gm_chosen&lt;&gt;"Excluded",sizing_w10_gm_chosen&lt;&gt;"Connect Instance"),VLOOKUP(sizing_w10_nsxt_gm_appliance_size,table_nsxt_manager_ram,2,FALSE),0)," GB : ",IF(AND(sizing_w10_gm_chosen&lt;&gt;"Excluded",sizing_w10_gm_chosen&lt;&gt;"Connect Instance"),VLOOKUP(sizing_w10_nsxt_gm_appliance_size,table_nsxt_manager_disk_gb,2,FALSE),0)," GB")</f>
        <v>0 CPUs : 0 GB : 0 GB</v>
      </c>
      <c r="O53" s="469"/>
      <c r="P53" s="123" t="s">
        <v>13</v>
      </c>
      <c r="Q53" s="432" t="str">
        <f>(CONCATENATE(IF(AND(sizing_w10_chosen="Included",sizing_w10_spr_chosen="Include"),VLOOKUP(input_wld_srm_vm_size,table_srm_cpu,2,FALSE),0)," CPUs :",IF(AND(sizing_w10_chosen="Included",sizing_w10_spr_chosen="Include"),VLOOKUP(input_wld_srm_vm_size,table_srm_ram,2,FALSE),0)," GB : ",IF(AND(sizing_w10_chosen="Included",sizing_w10_spr_chosen="Include"),VLOOKUP(input_wld_srm_vm_size,table_srm_disk,2,FALSE),0)," GB"))</f>
        <v>0 CPUs :0 GB : 0 GB</v>
      </c>
      <c r="R53" s="432"/>
      <c r="S53" s="123" t="s">
        <v>2142</v>
      </c>
      <c r="T53" s="432" t="str">
        <f>CONCATENATE(IF(AND(sizing_w10_chosen="Included",sizing_w10_avi_appliance_size&lt;&gt;"Excluded"),VLOOKUP(sizing_w10_avi_appliance_size,table_avi_lb_cpu,2,FALSE),0), " CPUs : ",IF(AND(sizing_w10_chosen="Included",sizing_w10_avi_appliance_size&lt;&gt;"Excluded"),VLOOKUP(sizing_w10_avi_appliance_size,table_avi_lb_ram,2,FALSE),0), " GB : ",IF(AND(sizing_w10_chosen="Included",sizing_w10_avi_appliance_size&lt;&gt;"Excluded"),VLOOKUP(sizing_w10_avi_appliance_size,table_avi_lb_disk,2,FALSE),0)," GB")</f>
        <v>0 CPUs : 0 GB : 0 GB</v>
      </c>
      <c r="U53" s="445"/>
      <c r="V53" s="66" t="s">
        <v>2142</v>
      </c>
      <c r="W53" s="8" t="str">
        <f>CONCATENATE(
IF(AND(sizing_w10_ssp_chosen&lt;&gt;"Excluded",sizing_w10_ssp_chosen&lt;&gt;"Deployed in WLD"),VLOOKUP(sizing_w10_ssp_chosen,table_ssp_cpu,2,FALSE),0)," CPUs : ",
IF(AND(sizing_w10_ssp_chosen&lt;&gt;"Excluded",sizing_w10_ssp_chosen&lt;&gt;"Deployed in WLD"),VLOOKUP(sizing_w10_ssp_chosen,table_ssp_ram,2,FALSE),0), " GB : ",
IF(AND(sizing_w10_ssp_chosen&lt;&gt;"Excluded",sizing_w10_ssp_chosen&lt;&gt;"Deployed in WLD"),VLOOKUP(sizing_w10_ssp_chosen,table_ssp_disk,2,FALSE),0)," GB")</f>
        <v>0 CPUs : 0 GB : 0 GB</v>
      </c>
      <c r="X53" s="454" t="str">
        <f>IF(sizing_w10_chosen="Included",CONCATENATE("vCenter:",VLOOKUP(sizing_w10_vcenter_appliance_size,vcenter_sizing_limits,2,FALSE)," | NSX LM ",VLOOKUP(sizing_w10_nsxt_appliance_size,nsx_sizing_limits,2,FALSE)),"")</f>
        <v/>
      </c>
      <c r="Y53" s="455"/>
      <c r="Z53" s="455"/>
      <c r="AA53" s="455"/>
      <c r="AB53" s="456"/>
    </row>
    <row r="54" spans="2:28" ht="20" customHeight="1" x14ac:dyDescent="0.2">
      <c r="B54" s="26" t="s">
        <v>3534</v>
      </c>
      <c r="C54" s="139" t="s">
        <v>2142</v>
      </c>
      <c r="D54" s="137" t="s">
        <v>92</v>
      </c>
      <c r="E54" s="121" t="str">
        <f>CONCATENATE(IF(sizing_w11_chosen="Included",VLOOKUP(sizing_w11_vcenter_appliance_size,table_vcenter_appliance_cpu,2,FALSE),0)," CPUs ",": ",IF(sizing_w11_chosen="Included",VLOOKUP(sizing_w11_vcenter_appliance_size,table_vcenter_appliance_ram,2,FALSE),0)," GB")</f>
        <v>0 CPUs : 0 GB</v>
      </c>
      <c r="F54" s="137" t="s">
        <v>745</v>
      </c>
      <c r="G54" s="121" t="str">
        <f>CONCATENATE(IF(sizing_w11_chosen="Included",VLOOKUP(CONCATENATE(sizing_w11_vcenter_appliance_size,sizing_w11_vcenter_storage_size),table_vcenter_disk_gb,2,FALSE),0)," GB")</f>
        <v>0 GB</v>
      </c>
      <c r="H54" s="137" t="s">
        <v>2277</v>
      </c>
      <c r="I54" s="137" t="s">
        <v>657</v>
      </c>
      <c r="J54" s="470" t="str">
        <f>CONCATENATE(IF(AND(sizing_w11_chosen="Included",sizing_w11_nsxt_model&lt;&gt;"Shared"),VLOOKUP(sizing_w11_nsxt_appliance_size,table_nsxt_manager_cpu,2,FALSE),0)," CPUs : ",IF(AND(sizing_w11_chosen="Included",sizing_w11_nsxt_model&lt;&gt;"Shared"),VLOOKUP(sizing_w11_nsxt_appliance_size,table_nsxt_manager_ram,2,FALSE),0), " GB : ",IF(AND(sizing_w11_chosen="Included",sizing_w11_nsxt_model&lt;&gt;"Shared"),VLOOKUP(sizing_w11_nsxt_appliance_size,table_nsxt_manager_disk_gb,2,FALSE),0)," GB")</f>
        <v>0 CPUs : 0 GB : 0 GB</v>
      </c>
      <c r="K54" s="471"/>
      <c r="L54" s="123" t="s">
        <v>2142</v>
      </c>
      <c r="M54" s="66" t="s">
        <v>657</v>
      </c>
      <c r="N54" s="468" t="str">
        <f>CONCATENATE(IF(AND(sizing_w11_gm_chosen&lt;&gt;"Excluded",sizing_w11_gm_chosen&lt;&gt;"Connect Instance"),VLOOKUP(sizing_w11_nsxt_gm_appliance_size,table_nsxt_manager_cpu,2,FALSE),0)," CPUs : ",IF(AND(sizing_w11_gm_chosen&lt;&gt;"Excluded",sizing_w11_gm_chosen&lt;&gt;"Connect Instance"),VLOOKUP(sizing_w11_nsxt_gm_appliance_size,table_nsxt_manager_ram,2,FALSE),0)," GB : ",IF(AND(sizing_w11_gm_chosen&lt;&gt;"Excluded",sizing_w11_gm_chosen&lt;&gt;"Connect Instance"),VLOOKUP(sizing_w11_nsxt_gm_appliance_size,table_nsxt_manager_disk_gb,2,FALSE),0)," GB")</f>
        <v>0 CPUs : 0 GB : 0 GB</v>
      </c>
      <c r="O54" s="469"/>
      <c r="P54" s="123" t="s">
        <v>13</v>
      </c>
      <c r="Q54" s="432" t="str">
        <f>(CONCATENATE(IF(AND(sizing_w11_chosen="Included",sizing_w11_spr_chosen="Include"),VLOOKUP(input_wld_srm_vm_size,table_srm_cpu,2,FALSE),0)," CPUs :",IF(AND(sizing_w11_chosen="Included",sizing_w11_spr_chosen="Include"),VLOOKUP(input_wld_srm_vm_size,table_srm_ram,2,FALSE),0)," GB : ",IF(AND(sizing_w11_chosen="Included",sizing_w11_spr_chosen="Include"),VLOOKUP(input_wld_srm_vm_size,table_srm_disk,2,FALSE),0)," GB"))</f>
        <v>0 CPUs :0 GB : 0 GB</v>
      </c>
      <c r="R54" s="432"/>
      <c r="S54" s="123" t="s">
        <v>2142</v>
      </c>
      <c r="T54" s="432" t="str">
        <f>CONCATENATE(IF(AND(sizing_w11_chosen="Included",sizing_w11_avi_appliance_size&lt;&gt;"Excluded"),VLOOKUP(sizing_w11_avi_appliance_size,table_avi_lb_cpu,2,FALSE),0), " CPUs : ",IF(AND(sizing_w11_chosen="Included",sizing_w11_avi_appliance_size&lt;&gt;"Excluded"),VLOOKUP(sizing_w11_avi_appliance_size,table_avi_lb_ram,2,FALSE),0), " GB : ",IF(AND(sizing_w11_chosen="Included",sizing_w11_avi_appliance_size&lt;&gt;"Excluded"),VLOOKUP(sizing_w11_avi_appliance_size,table_avi_lb_disk,2,FALSE),0)," GB")</f>
        <v>0 CPUs : 0 GB : 0 GB</v>
      </c>
      <c r="U54" s="445"/>
      <c r="V54" s="66" t="s">
        <v>2142</v>
      </c>
      <c r="W54" s="8" t="str">
        <f>CONCATENATE(
IF(AND(sizing_w11_ssp_chosen&lt;&gt;"Excluded",sizing_w11_ssp_chosen&lt;&gt;"Deployed in WLD"),VLOOKUP(sizing_w11_ssp_chosen,table_ssp_cpu,2,FALSE),0)," CPUs : ",
IF(AND(sizing_w11_ssp_chosen&lt;&gt;"Excluded",sizing_w11_ssp_chosen&lt;&gt;"Deployed in WLD"),VLOOKUP(sizing_w11_ssp_chosen,table_ssp_ram,2,FALSE),0), " GB : ",
IF(AND(sizing_w11_ssp_chosen&lt;&gt;"Excluded",sizing_w11_ssp_chosen&lt;&gt;"Deployed in WLD"),VLOOKUP(sizing_w11_ssp_chosen,table_ssp_disk,2,FALSE),0)," GB")</f>
        <v>0 CPUs : 0 GB : 0 GB</v>
      </c>
      <c r="X54" s="454" t="str">
        <f>IF(sizing_w11_chosen="Included",CONCATENATE("vCenter:",VLOOKUP(sizing_w11_vcenter_appliance_size,vcenter_sizing_limits,2,FALSE)," | NSX LM ",VLOOKUP(sizing_w11_nsxt_appliance_size,nsx_sizing_limits,2,FALSE)),"")</f>
        <v/>
      </c>
      <c r="Y54" s="455"/>
      <c r="Z54" s="455"/>
      <c r="AA54" s="455"/>
      <c r="AB54" s="456"/>
    </row>
    <row r="55" spans="2:28" ht="20" customHeight="1" x14ac:dyDescent="0.2">
      <c r="B55" s="26" t="s">
        <v>3535</v>
      </c>
      <c r="C55" s="139" t="s">
        <v>2142</v>
      </c>
      <c r="D55" s="137" t="s">
        <v>92</v>
      </c>
      <c r="E55" s="121" t="str">
        <f>CONCATENATE(IF(sizing_w12_chosen="Included",VLOOKUP(sizing_w12_vcenter_appliance_size,table_vcenter_appliance_cpu,2,FALSE),0)," CPUs ",": ",IF(sizing_w12_chosen="Included",VLOOKUP(sizing_w12_vcenter_appliance_size,table_vcenter_appliance_ram,2,FALSE),0)," GB")</f>
        <v>0 CPUs : 0 GB</v>
      </c>
      <c r="F55" s="137" t="s">
        <v>745</v>
      </c>
      <c r="G55" s="121" t="str">
        <f>CONCATENATE(IF(sizing_w12_chosen="Included",VLOOKUP(CONCATENATE(sizing_w12_vcenter_appliance_size,sizing_w12_vcenter_storage_size),table_vcenter_disk_gb,2,FALSE),0)," GB")</f>
        <v>0 GB</v>
      </c>
      <c r="H55" s="137" t="s">
        <v>2277</v>
      </c>
      <c r="I55" s="137" t="s">
        <v>657</v>
      </c>
      <c r="J55" s="470" t="str">
        <f>CONCATENATE(IF(AND(sizing_w12_chosen="Included",sizing_w12_nsxt_model&lt;&gt;"Shared"),VLOOKUP(sizing_w12_nsxt_appliance_size,table_nsxt_manager_cpu,2,FALSE),0)," CPUs : ",IF(AND(sizing_w12_chosen="Included",sizing_w12_nsxt_model&lt;&gt;"Shared"),VLOOKUP(sizing_w12_nsxt_appliance_size,table_nsxt_manager_ram,2,FALSE),0), " GB : ",IF(AND(sizing_w12_chosen="Included",sizing_w12_nsxt_model&lt;&gt;"Shared"),VLOOKUP(sizing_w12_nsxt_appliance_size,table_nsxt_manager_disk_gb,2,FALSE),0)," GB")</f>
        <v>0 CPUs : 0 GB : 0 GB</v>
      </c>
      <c r="K55" s="471"/>
      <c r="L55" s="123" t="s">
        <v>2142</v>
      </c>
      <c r="M55" s="66" t="s">
        <v>657</v>
      </c>
      <c r="N55" s="468" t="str">
        <f>CONCATENATE(IF(AND(sizing_w12_gm_chosen&lt;&gt;"Excluded",sizing_w12_gm_chosen&lt;&gt;"Connect Instance"),VLOOKUP(sizing_w12_nsxt_gm_appliance_size,table_nsxt_manager_cpu,2,FALSE),0)," CPUs : ",IF(AND(sizing_w12_gm_chosen&lt;&gt;"Excluded",sizing_w12_gm_chosen&lt;&gt;"Connect Instance"),VLOOKUP(sizing_w12_nsxt_gm_appliance_size,table_nsxt_manager_ram,2,FALSE),0)," GB : ",IF(AND(sizing_w12_gm_chosen&lt;&gt;"Excluded",sizing_w12_gm_chosen&lt;&gt;"Connect Instance"),VLOOKUP(sizing_w12_nsxt_gm_appliance_size,table_nsxt_manager_disk_gb,2,FALSE),0)," GB")</f>
        <v>0 CPUs : 0 GB : 0 GB</v>
      </c>
      <c r="O55" s="469"/>
      <c r="P55" s="123" t="s">
        <v>13</v>
      </c>
      <c r="Q55" s="432" t="str">
        <f>(CONCATENATE(IF(AND(sizing_w12_chosen="Included",sizing_w12_spr_chosen="Include"),VLOOKUP(input_wld_srm_vm_size,table_srm_cpu,2,FALSE),0)," CPUs :",IF(AND(sizing_w12_chosen="Included",sizing_w12_spr_chosen="Include"),VLOOKUP(input_wld_srm_vm_size,table_srm_ram,2,FALSE),0)," GB : ",IF(AND(sizing_w12_chosen="Included",sizing_w12_spr_chosen="Include"),VLOOKUP(input_wld_srm_vm_size,table_srm_disk,2,FALSE),0)," GB"))</f>
        <v>0 CPUs :0 GB : 0 GB</v>
      </c>
      <c r="R55" s="432"/>
      <c r="S55" s="123" t="s">
        <v>2142</v>
      </c>
      <c r="T55" s="432" t="str">
        <f>CONCATENATE(IF(AND(sizing_w12_chosen="Included",sizing_w12_avi_appliance_size&lt;&gt;"Excluded"),VLOOKUP(sizing_w12_avi_appliance_size,table_avi_lb_cpu,2,FALSE),0), " CPUs : ",IF(AND(sizing_w12_chosen="Included",sizing_w12_avi_appliance_size&lt;&gt;"Excluded"),VLOOKUP(sizing_w12_avi_appliance_size,table_avi_lb_ram,2,FALSE),0), " GB : ",IF(AND(sizing_w12_chosen="Included",sizing_w12_avi_appliance_size&lt;&gt;"Excluded"),VLOOKUP(sizing_w12_avi_appliance_size,table_avi_lb_disk,2,FALSE),0)," GB")</f>
        <v>0 CPUs : 0 GB : 0 GB</v>
      </c>
      <c r="U55" s="445"/>
      <c r="V55" s="66" t="s">
        <v>2142</v>
      </c>
      <c r="W55" s="8" t="str">
        <f>CONCATENATE(
IF(AND(sizing_w12_ssp_chosen&lt;&gt;"Excluded",sizing_w12_ssp_chosen&lt;&gt;"Deployed in WLD"),VLOOKUP(sizing_w12_ssp_chosen,table_ssp_cpu,2,FALSE),0)," CPUs : ",
IF(AND(sizing_w12_ssp_chosen&lt;&gt;"Excluded",sizing_w12_ssp_chosen&lt;&gt;"Deployed in WLD"),VLOOKUP(sizing_w12_ssp_chosen,table_ssp_ram,2,FALSE),0), " GB : ",
IF(AND(sizing_w12_ssp_chosen&lt;&gt;"Excluded",sizing_w12_ssp_chosen&lt;&gt;"Deployed in WLD"),VLOOKUP(sizing_w12_ssp_chosen,table_ssp_disk,2,FALSE),0)," GB")</f>
        <v>0 CPUs : 0 GB : 0 GB</v>
      </c>
      <c r="X55" s="454" t="str">
        <f>IF(sizing_w12_chosen="Included",CONCATENATE("vCenter:",VLOOKUP(sizing_w12_vcenter_appliance_size,vcenter_sizing_limits,2,FALSE)," | NSX LM ",VLOOKUP(sizing_w12_nsxt_appliance_size,nsx_sizing_limits,2,FALSE)),"")</f>
        <v/>
      </c>
      <c r="Y55" s="455"/>
      <c r="Z55" s="455"/>
      <c r="AA55" s="455"/>
      <c r="AB55" s="456"/>
    </row>
    <row r="56" spans="2:28" ht="20" customHeight="1" x14ac:dyDescent="0.2">
      <c r="B56" s="26" t="s">
        <v>3536</v>
      </c>
      <c r="C56" s="139" t="s">
        <v>2142</v>
      </c>
      <c r="D56" s="137" t="s">
        <v>92</v>
      </c>
      <c r="E56" s="121" t="str">
        <f>CONCATENATE(IF(sizing_w13_chosen="Included",VLOOKUP(sizing_w13_vcenter_appliance_size,table_vcenter_appliance_cpu,2,FALSE),0)," CPUs ",": ",IF(sizing_w13_chosen="Included",VLOOKUP(sizing_w13_vcenter_appliance_size,table_vcenter_appliance_ram,2,FALSE),0)," GB")</f>
        <v>0 CPUs : 0 GB</v>
      </c>
      <c r="F56" s="137" t="s">
        <v>745</v>
      </c>
      <c r="G56" s="121" t="str">
        <f>CONCATENATE(IF(sizing_w13_chosen="Included",VLOOKUP(CONCATENATE(sizing_w13_vcenter_appliance_size,sizing_w13_vcenter_storage_size),table_vcenter_disk_gb,2,FALSE),0)," GB")</f>
        <v>0 GB</v>
      </c>
      <c r="H56" s="137" t="s">
        <v>2277</v>
      </c>
      <c r="I56" s="137" t="s">
        <v>657</v>
      </c>
      <c r="J56" s="470" t="str">
        <f>CONCATENATE(IF(AND(sizing_w13_chosen="Included",sizing_w13_nsxt_model&lt;&gt;"Shared"),VLOOKUP(sizing_w13_nsxt_appliance_size,table_nsxt_manager_cpu,2,FALSE),0)," CPUs : ",IF(AND(sizing_w13_chosen="Included",sizing_w13_nsxt_model&lt;&gt;"Shared"),VLOOKUP(sizing_w13_nsxt_appliance_size,table_nsxt_manager_ram,2,FALSE),0), " GB : ",IF(AND(sizing_w13_chosen="Included",sizing_w13_nsxt_model&lt;&gt;"Shared"),VLOOKUP(sizing_w13_nsxt_appliance_size,table_nsxt_manager_disk_gb,2,FALSE),0)," GB")</f>
        <v>0 CPUs : 0 GB : 0 GB</v>
      </c>
      <c r="K56" s="471"/>
      <c r="L56" s="123" t="s">
        <v>2142</v>
      </c>
      <c r="M56" s="66" t="s">
        <v>657</v>
      </c>
      <c r="N56" s="468" t="str">
        <f>CONCATENATE(IF(AND(sizing_w13_gm_chosen&lt;&gt;"Excluded",sizing_w13_gm_chosen&lt;&gt;"Connect Instance"),VLOOKUP(sizing_w13_nsxt_gm_appliance_size,table_nsxt_manager_cpu,2,FALSE),0)," CPUs : ",IF(AND(sizing_w13_gm_chosen&lt;&gt;"Excluded",sizing_w13_gm_chosen&lt;&gt;"Connect Instance"),VLOOKUP(sizing_w13_nsxt_gm_appliance_size,table_nsxt_manager_ram,2,FALSE),0)," GB : ",IF(AND(sizing_w13_gm_chosen&lt;&gt;"Excluded",sizing_w13_gm_chosen&lt;&gt;"Connect Instance"),VLOOKUP(sizing_w13_nsxt_gm_appliance_size,table_nsxt_manager_disk_gb,2,FALSE),0)," GB")</f>
        <v>0 CPUs : 0 GB : 0 GB</v>
      </c>
      <c r="O56" s="469"/>
      <c r="P56" s="123" t="s">
        <v>13</v>
      </c>
      <c r="Q56" s="432" t="str">
        <f>(CONCATENATE(IF(AND(sizing_w13_chosen="Included",sizing_w13_spr_chosen="Include"),VLOOKUP(input_wld_srm_vm_size,table_srm_cpu,2,FALSE),0)," CPUs :",IF(AND(sizing_w13_chosen="Included",sizing_w13_spr_chosen="Include"),VLOOKUP(input_wld_srm_vm_size,table_srm_ram,2,FALSE),0)," GB : ",IF(AND(sizing_w13_chosen="Included",sizing_w13_spr_chosen="Include"),VLOOKUP(input_wld_srm_vm_size,table_srm_disk,2,FALSE),0)," GB"))</f>
        <v>0 CPUs :0 GB : 0 GB</v>
      </c>
      <c r="R56" s="432"/>
      <c r="S56" s="123" t="s">
        <v>2142</v>
      </c>
      <c r="T56" s="432" t="str">
        <f>CONCATENATE(IF(AND(sizing_w13_chosen="Included",sizing_w13_avi_appliance_size&lt;&gt;"Excluded"),VLOOKUP(sizing_w13_avi_appliance_size,table_avi_lb_cpu,2,FALSE),0), " CPUs : ",IF(AND(sizing_w13_chosen="Included",sizing_w13_avi_appliance_size&lt;&gt;"Excluded"),VLOOKUP(sizing_w13_avi_appliance_size,table_avi_lb_ram,2,FALSE),0), " GB : ",IF(AND(sizing_w13_chosen="Included",sizing_w13_avi_appliance_size&lt;&gt;"Excluded"),VLOOKUP(sizing_w13_avi_appliance_size,table_avi_lb_disk,2,FALSE),0)," GB")</f>
        <v>0 CPUs : 0 GB : 0 GB</v>
      </c>
      <c r="U56" s="445"/>
      <c r="V56" s="66" t="s">
        <v>2142</v>
      </c>
      <c r="W56" s="8" t="str">
        <f>CONCATENATE(
IF(AND(sizing_w13_ssp_chosen&lt;&gt;"Excluded",sizing_w13_ssp_chosen&lt;&gt;"Deployed in WLD"),VLOOKUP(sizing_w13_ssp_chosen,table_ssp_cpu,2,FALSE),0)," CPUs : ",
IF(AND(sizing_w13_ssp_chosen&lt;&gt;"Excluded",sizing_w13_ssp_chosen&lt;&gt;"Deployed in WLD"),VLOOKUP(sizing_w13_ssp_chosen,table_ssp_ram,2,FALSE),0), " GB : ",
IF(AND(sizing_w13_ssp_chosen&lt;&gt;"Excluded",sizing_w13_ssp_chosen&lt;&gt;"Deployed in WLD"),VLOOKUP(sizing_w13_ssp_chosen,table_ssp_disk,2,FALSE),0)," GB")</f>
        <v>0 CPUs : 0 GB : 0 GB</v>
      </c>
      <c r="X56" s="454" t="str">
        <f>IF(sizing_w13_chosen="Included",CONCATENATE("vCenter:",VLOOKUP(sizing_w13_vcenter_appliance_size,vcenter_sizing_limits,2,FALSE)," | NSX LM ",VLOOKUP(sizing_w13_nsxt_appliance_size,nsx_sizing_limits,2,FALSE)),"")</f>
        <v/>
      </c>
      <c r="Y56" s="455"/>
      <c r="Z56" s="455"/>
      <c r="AA56" s="455"/>
      <c r="AB56" s="456"/>
    </row>
    <row r="57" spans="2:28" ht="20" customHeight="1" x14ac:dyDescent="0.2">
      <c r="B57" s="26" t="s">
        <v>3537</v>
      </c>
      <c r="C57" s="139" t="s">
        <v>2142</v>
      </c>
      <c r="D57" s="137" t="s">
        <v>92</v>
      </c>
      <c r="E57" s="121" t="str">
        <f>CONCATENATE(IF(sizing_w14_chosen="Included",VLOOKUP(sizing_w14_vcenter_appliance_size,table_vcenter_appliance_cpu,2,FALSE),0)," CPUs ",": ",IF(sizing_w14_chosen="Included",VLOOKUP(sizing_w14_vcenter_appliance_size,table_vcenter_appliance_ram,2,FALSE),0)," GB")</f>
        <v>0 CPUs : 0 GB</v>
      </c>
      <c r="F57" s="137" t="s">
        <v>745</v>
      </c>
      <c r="G57" s="121" t="str">
        <f>CONCATENATE(IF(sizing_w14_chosen="Included",VLOOKUP(CONCATENATE(sizing_w14_vcenter_appliance_size,sizing_w14_vcenter_storage_size),table_vcenter_disk_gb,2,FALSE),0)," GB")</f>
        <v>0 GB</v>
      </c>
      <c r="H57" s="137" t="s">
        <v>2277</v>
      </c>
      <c r="I57" s="137" t="s">
        <v>657</v>
      </c>
      <c r="J57" s="470" t="str">
        <f>CONCATENATE(IF(AND(sizing_w14_chosen="Included",sizing_w14_nsxt_model&lt;&gt;"Shared"),VLOOKUP(sizing_w14_nsxt_appliance_size,table_nsxt_manager_cpu,2,FALSE),0)," CPUs : ",IF(AND(sizing_w14_chosen="Included",sizing_w14_nsxt_model&lt;&gt;"Shared"),VLOOKUP(sizing_w14_nsxt_appliance_size,table_nsxt_manager_ram,2,FALSE),0), " GB : ",IF(AND(sizing_w14_chosen="Included",sizing_w14_nsxt_model&lt;&gt;"Shared"),VLOOKUP(sizing_w14_nsxt_appliance_size,table_nsxt_manager_disk_gb,2,FALSE),0)," GB")</f>
        <v>0 CPUs : 0 GB : 0 GB</v>
      </c>
      <c r="K57" s="471"/>
      <c r="L57" s="123" t="s">
        <v>2142</v>
      </c>
      <c r="M57" s="66" t="s">
        <v>657</v>
      </c>
      <c r="N57" s="468" t="str">
        <f>CONCATENATE(IF(AND(sizing_w14_gm_chosen&lt;&gt;"Excluded",sizing_w14_gm_chosen&lt;&gt;"Connect Instance"),VLOOKUP(sizing_w14_nsxt_gm_appliance_size,table_nsxt_manager_cpu,2,FALSE),0)," CPUs : ",IF(AND(sizing_w14_gm_chosen&lt;&gt;"Excluded",sizing_w14_gm_chosen&lt;&gt;"Connect Instance"),VLOOKUP(sizing_w14_nsxt_gm_appliance_size,table_nsxt_manager_ram,2,FALSE),0)," GB : ",IF(AND(sizing_w14_gm_chosen&lt;&gt;"Excluded",sizing_w14_gm_chosen&lt;&gt;"Connect Instance"),VLOOKUP(sizing_w14_nsxt_gm_appliance_size,table_nsxt_manager_disk_gb,2,FALSE),0)," GB")</f>
        <v>0 CPUs : 0 GB : 0 GB</v>
      </c>
      <c r="O57" s="469"/>
      <c r="P57" s="123" t="s">
        <v>13</v>
      </c>
      <c r="Q57" s="432" t="str">
        <f>(CONCATENATE(IF(AND(sizing_w14_chosen="Included",sizing_w14_spr_chosen="Include"),VLOOKUP(input_wld_srm_vm_size,table_srm_cpu,2,FALSE),0)," CPUs :",IF(AND(sizing_w14_chosen="Included",sizing_w14_spr_chosen="Include"),VLOOKUP(input_wld_srm_vm_size,table_srm_ram,2,FALSE),0)," GB : ",IF(AND(sizing_w14_chosen="Included",sizing_w14_spr_chosen="Include"),VLOOKUP(input_wld_srm_vm_size,table_srm_disk,2,FALSE),0)," GB"))</f>
        <v>0 CPUs :0 GB : 0 GB</v>
      </c>
      <c r="R57" s="432"/>
      <c r="S57" s="123" t="s">
        <v>2142</v>
      </c>
      <c r="T57" s="432" t="str">
        <f>CONCATENATE(IF(AND(sizing_w14_chosen="Included",sizing_w14_avi_appliance_size&lt;&gt;"Excluded"),VLOOKUP(sizing_w14_avi_appliance_size,table_avi_lb_cpu,2,FALSE),0), " CPUs : ",IF(AND(sizing_w14_chosen="Included",sizing_w14_avi_appliance_size&lt;&gt;"Excluded"),VLOOKUP(sizing_w14_avi_appliance_size,table_avi_lb_ram,2,FALSE),0), " GB : ",IF(AND(sizing_w14_chosen="Included",sizing_w14_avi_appliance_size&lt;&gt;"Excluded"),VLOOKUP(sizing_w14_avi_appliance_size,table_avi_lb_disk,2,FALSE),0)," GB")</f>
        <v>0 CPUs : 0 GB : 0 GB</v>
      </c>
      <c r="U57" s="445"/>
      <c r="V57" s="66" t="s">
        <v>2142</v>
      </c>
      <c r="W57" s="8" t="str">
        <f>CONCATENATE(
IF(AND(sizing_w14_ssp_chosen&lt;&gt;"Excluded",sizing_w14_ssp_chosen&lt;&gt;"Deployed in WLD"),VLOOKUP(sizing_w14_ssp_chosen,table_ssp_cpu,2,FALSE),0)," CPUs : ",
IF(AND(sizing_w14_ssp_chosen&lt;&gt;"Excluded",sizing_w14_ssp_chosen&lt;&gt;"Deployed in WLD"),VLOOKUP(sizing_w14_ssp_chosen,table_ssp_ram,2,FALSE),0), " GB : ",
IF(AND(sizing_w14_ssp_chosen&lt;&gt;"Excluded",sizing_w14_ssp_chosen&lt;&gt;"Deployed in WLD"),VLOOKUP(sizing_w14_ssp_chosen,table_ssp_disk,2,FALSE),0)," GB")</f>
        <v>0 CPUs : 0 GB : 0 GB</v>
      </c>
      <c r="X57" s="454" t="str">
        <f>IF(sizing_w14_chosen="Included",CONCATENATE("vCenter:",VLOOKUP(sizing_w14_vcenter_appliance_size,vcenter_sizing_limits,2,FALSE)," | NSX LM ",VLOOKUP(sizing_w14_nsxt_appliance_size,nsx_sizing_limits,2,FALSE)),"")</f>
        <v/>
      </c>
      <c r="Y57" s="455"/>
      <c r="Z57" s="455"/>
      <c r="AA57" s="455"/>
      <c r="AB57" s="456"/>
    </row>
    <row r="58" spans="2:28" ht="20" customHeight="1" x14ac:dyDescent="0.2">
      <c r="B58" s="26" t="s">
        <v>3538</v>
      </c>
      <c r="C58" s="139" t="s">
        <v>2142</v>
      </c>
      <c r="D58" s="137" t="s">
        <v>92</v>
      </c>
      <c r="E58" s="121" t="str">
        <f>CONCATENATE(IF(sizing_w15_chosen="Included",VLOOKUP(sizing_w15_vcenter_appliance_size,table_vcenter_appliance_cpu,2,FALSE),0)," CPUs ",": ",IF(sizing_w15_chosen="Included",VLOOKUP(sizing_w15_vcenter_appliance_size,table_vcenter_appliance_ram,2,FALSE),0)," GB")</f>
        <v>0 CPUs : 0 GB</v>
      </c>
      <c r="F58" s="137" t="s">
        <v>745</v>
      </c>
      <c r="G58" s="121" t="str">
        <f>CONCATENATE(IF(sizing_w15_chosen="Included",VLOOKUP(CONCATENATE(sizing_w15_vcenter_appliance_size,sizing_w15_vcenter_storage_size),table_vcenter_disk_gb,2,FALSE),0)," GB")</f>
        <v>0 GB</v>
      </c>
      <c r="H58" s="137" t="s">
        <v>2277</v>
      </c>
      <c r="I58" s="137" t="s">
        <v>657</v>
      </c>
      <c r="J58" s="470" t="str">
        <f>CONCATENATE(IF(AND(sizing_w15_chosen="Included",sizing_w15_nsxt_model&lt;&gt;"Shared"),VLOOKUP(sizing_w15_nsxt_appliance_size,table_nsxt_manager_cpu,2,FALSE),0)," CPUs : ",IF(AND(sizing_w15_chosen="Included",sizing_w15_nsxt_model&lt;&gt;"Shared"),VLOOKUP(sizing_w15_nsxt_appliance_size,table_nsxt_manager_ram,2,FALSE),0), " GB : ",IF(AND(sizing_w15_chosen="Included",sizing_w15_nsxt_model&lt;&gt;"Shared"),VLOOKUP(sizing_w15_nsxt_appliance_size,table_nsxt_manager_disk_gb,2,FALSE),0)," GB")</f>
        <v>0 CPUs : 0 GB : 0 GB</v>
      </c>
      <c r="K58" s="471"/>
      <c r="L58" s="123" t="s">
        <v>2142</v>
      </c>
      <c r="M58" s="66" t="s">
        <v>657</v>
      </c>
      <c r="N58" s="468" t="str">
        <f>CONCATENATE(IF(AND(sizing_w15_gm_chosen&lt;&gt;"Excluded",sizing_w15_gm_chosen&lt;&gt;"Connect Instance"),VLOOKUP(sizing_w15_nsxt_gm_appliance_size,table_nsxt_manager_cpu,2,FALSE),0)," CPUs : ",IF(AND(sizing_w15_gm_chosen&lt;&gt;"Excluded",sizing_w15_gm_chosen&lt;&gt;"Connect Instance"),VLOOKUP(sizing_w15_nsxt_gm_appliance_size,table_nsxt_manager_ram,2,FALSE),0)," GB : ",IF(AND(sizing_w15_gm_chosen&lt;&gt;"Excluded",sizing_w15_gm_chosen&lt;&gt;"Connect Instance"),VLOOKUP(sizing_w15_nsxt_gm_appliance_size,table_nsxt_manager_disk_gb,2,FALSE),0)," GB")</f>
        <v>0 CPUs : 0 GB : 0 GB</v>
      </c>
      <c r="O58" s="469"/>
      <c r="P58" s="123" t="s">
        <v>13</v>
      </c>
      <c r="Q58" s="432" t="str">
        <f>(CONCATENATE(IF(AND(sizing_w15_chosen="Included",sizing_w15_spr_chosen="Include"),VLOOKUP(input_wld_srm_vm_size,table_srm_cpu,2,FALSE),0)," CPUs :",IF(AND(sizing_w15_chosen="Included",sizing_w15_spr_chosen="Include"),VLOOKUP(input_wld_srm_vm_size,table_srm_ram,2,FALSE),0)," GB : ",IF(AND(sizing_w15_chosen="Included",sizing_w15_spr_chosen="Include"),VLOOKUP(input_wld_srm_vm_size,table_srm_disk,2,FALSE),0)," GB"))</f>
        <v>0 CPUs :0 GB : 0 GB</v>
      </c>
      <c r="R58" s="432"/>
      <c r="S58" s="123" t="s">
        <v>2142</v>
      </c>
      <c r="T58" s="432" t="str">
        <f>CONCATENATE(IF(AND(sizing_w15_chosen="Included",sizing_w15_avi_appliance_size&lt;&gt;"Excluded"),VLOOKUP(sizing_w15_avi_appliance_size,table_avi_lb_cpu,2,FALSE),0), " CPUs : ",IF(AND(sizing_w15_chosen="Included",sizing_w15_avi_appliance_size&lt;&gt;"Excluded"),VLOOKUP(sizing_w15_avi_appliance_size,table_avi_lb_ram,2,FALSE),0), " GB : ",IF(AND(sizing_w15_chosen="Included",sizing_w15_avi_appliance_size&lt;&gt;"Excluded"),VLOOKUP(sizing_w15_avi_appliance_size,table_avi_lb_disk,2,FALSE),0)," GB")</f>
        <v>0 CPUs : 0 GB : 0 GB</v>
      </c>
      <c r="U58" s="445"/>
      <c r="V58" s="66" t="s">
        <v>2142</v>
      </c>
      <c r="W58" s="8" t="str">
        <f>CONCATENATE(
IF(AND(sizing_w15_ssp_chosen&lt;&gt;"Excluded",sizing_w15_ssp_chosen&lt;&gt;"Deployed in WLD"),VLOOKUP(sizing_w15_ssp_chosen,table_ssp_cpu,2,FALSE),0)," CPUs : ",
IF(AND(sizing_w15_ssp_chosen&lt;&gt;"Excluded",sizing_w15_ssp_chosen&lt;&gt;"Deployed in WLD"),VLOOKUP(sizing_w15_ssp_chosen,table_ssp_ram,2,FALSE),0), " GB : ",
IF(AND(sizing_w15_ssp_chosen&lt;&gt;"Excluded",sizing_w15_ssp_chosen&lt;&gt;"Deployed in WLD"),VLOOKUP(sizing_w15_ssp_chosen,table_ssp_disk,2,FALSE),0)," GB")</f>
        <v>0 CPUs : 0 GB : 0 GB</v>
      </c>
      <c r="X58" s="454" t="str">
        <f>IF(sizing_w15_chosen="Included",CONCATENATE("vCenter:",VLOOKUP(sizing_w15_vcenter_appliance_size,vcenter_sizing_limits,2,FALSE)," | NSX LM ",VLOOKUP(sizing_w15_nsxt_appliance_size,nsx_sizing_limits,2,FALSE)),"")</f>
        <v/>
      </c>
      <c r="Y58" s="455"/>
      <c r="Z58" s="455"/>
      <c r="AA58" s="455"/>
      <c r="AB58" s="456"/>
    </row>
    <row r="59" spans="2:28" ht="20" customHeight="1" x14ac:dyDescent="0.2">
      <c r="B59" s="26" t="s">
        <v>3539</v>
      </c>
      <c r="C59" s="139" t="s">
        <v>2142</v>
      </c>
      <c r="D59" s="137" t="s">
        <v>92</v>
      </c>
      <c r="E59" s="121" t="str">
        <f>CONCATENATE(IF(sizing_w16_chosen="Included",VLOOKUP(sizing_w16_vcenter_appliance_size,table_vcenter_appliance_cpu,2,FALSE),0)," CPUs ",": ",IF(sizing_w16_chosen="Included",VLOOKUP(sizing_w16_vcenter_appliance_size,table_vcenter_appliance_ram,2,FALSE),0)," GB")</f>
        <v>0 CPUs : 0 GB</v>
      </c>
      <c r="F59" s="137" t="s">
        <v>745</v>
      </c>
      <c r="G59" s="121" t="str">
        <f>CONCATENATE(IF(sizing_w16_chosen="Included",VLOOKUP(CONCATENATE(sizing_w16_vcenter_appliance_size,sizing_w16_vcenter_storage_size),table_vcenter_disk_gb,2,FALSE),0)," GB")</f>
        <v>0 GB</v>
      </c>
      <c r="H59" s="137" t="s">
        <v>2277</v>
      </c>
      <c r="I59" s="137" t="s">
        <v>657</v>
      </c>
      <c r="J59" s="470" t="str">
        <f>CONCATENATE(IF(AND(sizing_w16_chosen="Included",sizing_w16_nsxt_model&lt;&gt;"Shared"),VLOOKUP(sizing_w16_nsxt_appliance_size,table_nsxt_manager_cpu,2,FALSE),0)," CPUs : ",IF(AND(sizing_w16_chosen="Included",sizing_w16_nsxt_model&lt;&gt;"Shared"),VLOOKUP(sizing_w16_nsxt_appliance_size,table_nsxt_manager_ram,2,FALSE),0), " GB : ",IF(AND(sizing_w16_chosen="Included",sizing_w16_nsxt_model&lt;&gt;"Shared"),VLOOKUP(sizing_w16_nsxt_appliance_size,table_nsxt_manager_disk_gb,2,FALSE),0)," GB")</f>
        <v>0 CPUs : 0 GB : 0 GB</v>
      </c>
      <c r="K59" s="471"/>
      <c r="L59" s="123" t="s">
        <v>2142</v>
      </c>
      <c r="M59" s="66" t="s">
        <v>657</v>
      </c>
      <c r="N59" s="468" t="str">
        <f>CONCATENATE(IF(AND(sizing_w16_gm_chosen&lt;&gt;"Excluded",sizing_w16_gm_chosen&lt;&gt;"Connect Instance"),VLOOKUP(sizing_w16_nsxt_gm_appliance_size,table_nsxt_manager_cpu,2,FALSE),0)," CPUs : ",IF(AND(sizing_w16_gm_chosen&lt;&gt;"Excluded",sizing_w16_gm_chosen&lt;&gt;"Connect Instance"),VLOOKUP(sizing_w16_nsxt_gm_appliance_size,table_nsxt_manager_ram,2,FALSE),0)," GB : ",IF(AND(sizing_w16_gm_chosen&lt;&gt;"Excluded",sizing_w16_gm_chosen&lt;&gt;"Connect Instance"),VLOOKUP(sizing_w16_nsxt_gm_appliance_size,table_nsxt_manager_disk_gb,2,FALSE),0)," GB")</f>
        <v>0 CPUs : 0 GB : 0 GB</v>
      </c>
      <c r="O59" s="469"/>
      <c r="P59" s="123" t="s">
        <v>13</v>
      </c>
      <c r="Q59" s="432" t="str">
        <f>(CONCATENATE(IF(AND(sizing_w16_chosen="Included",sizing_w16_spr_chosen="Include"),VLOOKUP(input_wld_srm_vm_size,table_srm_cpu,2,FALSE),0)," CPUs :",IF(AND(sizing_w16_chosen="Included",sizing_w16_spr_chosen="Include"),VLOOKUP(input_wld_srm_vm_size,table_srm_ram,2,FALSE),0)," GB : ",IF(AND(sizing_w16_chosen="Included",sizing_w16_spr_chosen="Include"),VLOOKUP(input_wld_srm_vm_size,table_srm_disk,2,FALSE),0)," GB"))</f>
        <v>0 CPUs :0 GB : 0 GB</v>
      </c>
      <c r="R59" s="432"/>
      <c r="S59" s="123" t="s">
        <v>2142</v>
      </c>
      <c r="T59" s="432" t="str">
        <f>CONCATENATE(IF(AND(sizing_w16_chosen="Included",sizing_w16_avi_appliance_size&lt;&gt;"Excluded"),VLOOKUP(sizing_w16_avi_appliance_size,table_avi_lb_cpu,2,FALSE),0), " CPUs : ",IF(AND(sizing_w16_chosen="Included",sizing_w16_avi_appliance_size&lt;&gt;"Excluded"),VLOOKUP(sizing_w16_avi_appliance_size,table_avi_lb_ram,2,FALSE),0), " GB : ",IF(AND(sizing_w16_chosen="Included",sizing_w16_avi_appliance_size&lt;&gt;"Excluded"),VLOOKUP(sizing_w16_avi_appliance_size,table_avi_lb_disk,2,FALSE),0)," GB")</f>
        <v>0 CPUs : 0 GB : 0 GB</v>
      </c>
      <c r="U59" s="445"/>
      <c r="V59" s="66" t="s">
        <v>2142</v>
      </c>
      <c r="W59" s="8" t="str">
        <f>CONCATENATE(
IF(AND(sizing_w16_ssp_chosen&lt;&gt;"Excluded",sizing_w16_ssp_chosen&lt;&gt;"Deployed in WLD"),VLOOKUP(sizing_w16_ssp_chosen,table_ssp_cpu,2,FALSE),0)," CPUs : ",
IF(AND(sizing_w16_ssp_chosen&lt;&gt;"Excluded",sizing_w16_ssp_chosen&lt;&gt;"Deployed in WLD"),VLOOKUP(sizing_w16_ssp_chosen,table_ssp_ram,2,FALSE),0), " GB : ",
IF(AND(sizing_w16_ssp_chosen&lt;&gt;"Excluded",sizing_w16_ssp_chosen&lt;&gt;"Deployed in WLD"),VLOOKUP(sizing_w16_ssp_chosen,table_ssp_disk,2,FALSE),0)," GB")</f>
        <v>0 CPUs : 0 GB : 0 GB</v>
      </c>
      <c r="X59" s="454" t="str">
        <f>IF(sizing_w16_chosen="Included",CONCATENATE("vCenter:",VLOOKUP(sizing_w16_vcenter_appliance_size,vcenter_sizing_limits,2,FALSE)," | NSX LM ",VLOOKUP(sizing_w16_nsxt_appliance_size,nsx_sizing_limits,2,FALSE)),"")</f>
        <v/>
      </c>
      <c r="Y59" s="455"/>
      <c r="Z59" s="455"/>
      <c r="AA59" s="455"/>
      <c r="AB59" s="456"/>
    </row>
    <row r="60" spans="2:28" ht="20" customHeight="1" x14ac:dyDescent="0.2">
      <c r="B60" s="26" t="s">
        <v>3540</v>
      </c>
      <c r="C60" s="139" t="s">
        <v>2142</v>
      </c>
      <c r="D60" s="137" t="s">
        <v>92</v>
      </c>
      <c r="E60" s="121" t="str">
        <f>CONCATENATE(IF(sizing_w17_chosen="Included",VLOOKUP(sizing_w17_vcenter_appliance_size,table_vcenter_appliance_cpu,2,FALSE),0)," CPUs ",": ",IF(sizing_w17_chosen="Included",VLOOKUP(sizing_w17_vcenter_appliance_size,table_vcenter_appliance_ram,2,FALSE),0)," GB")</f>
        <v>0 CPUs : 0 GB</v>
      </c>
      <c r="F60" s="137" t="s">
        <v>745</v>
      </c>
      <c r="G60" s="121" t="str">
        <f>CONCATENATE(IF(sizing_w17_chosen="Included",VLOOKUP(CONCATENATE(sizing_w17_vcenter_appliance_size,sizing_w17_vcenter_storage_size),table_vcenter_disk_gb,2,FALSE),0)," GB")</f>
        <v>0 GB</v>
      </c>
      <c r="H60" s="137" t="s">
        <v>2277</v>
      </c>
      <c r="I60" s="137" t="s">
        <v>657</v>
      </c>
      <c r="J60" s="470" t="str">
        <f>CONCATENATE(IF(AND(sizing_w17_chosen="Included",sizing_w17_nsxt_model&lt;&gt;"Shared"),VLOOKUP(sizing_w17_nsxt_appliance_size,table_nsxt_manager_cpu,2,FALSE),0)," CPUs : ",IF(AND(sizing_w17_chosen="Included",sizing_w17_nsxt_model&lt;&gt;"Shared"),VLOOKUP(sizing_w17_nsxt_appliance_size,table_nsxt_manager_ram,2,FALSE),0), " GB : ",IF(AND(sizing_w17_chosen="Included",sizing_w17_nsxt_model&lt;&gt;"Shared"),VLOOKUP(sizing_w17_nsxt_appliance_size,table_nsxt_manager_disk_gb,2,FALSE),0)," GB")</f>
        <v>0 CPUs : 0 GB : 0 GB</v>
      </c>
      <c r="K60" s="471"/>
      <c r="L60" s="123" t="s">
        <v>2142</v>
      </c>
      <c r="M60" s="66" t="s">
        <v>657</v>
      </c>
      <c r="N60" s="468" t="str">
        <f>CONCATENATE(IF(AND(sizing_w17_gm_chosen&lt;&gt;"Excluded",sizing_w17_gm_chosen&lt;&gt;"Connect Instance"),VLOOKUP(sizing_w17_nsxt_gm_appliance_size,table_nsxt_manager_cpu,2,FALSE),0)," CPUs : ",IF(AND(sizing_w17_gm_chosen&lt;&gt;"Excluded",sizing_w17_gm_chosen&lt;&gt;"Connect Instance"),VLOOKUP(sizing_w17_nsxt_gm_appliance_size,table_nsxt_manager_ram,2,FALSE),0)," GB : ",IF(AND(sizing_w17_gm_chosen&lt;&gt;"Excluded",sizing_w17_gm_chosen&lt;&gt;"Connect Instance"),VLOOKUP(sizing_w17_nsxt_gm_appliance_size,table_nsxt_manager_disk_gb,2,FALSE),0)," GB")</f>
        <v>0 CPUs : 0 GB : 0 GB</v>
      </c>
      <c r="O60" s="469"/>
      <c r="P60" s="123" t="s">
        <v>13</v>
      </c>
      <c r="Q60" s="432" t="str">
        <f>(CONCATENATE(IF(AND(sizing_w17_chosen="Included",sizing_w17_spr_chosen="Include"),VLOOKUP(input_wld_srm_vm_size,table_srm_cpu,2,FALSE),0)," CPUs :",IF(AND(sizing_w17_chosen="Included",sizing_w17_spr_chosen="Include"),VLOOKUP(input_wld_srm_vm_size,table_srm_ram,2,FALSE),0)," GB : ",IF(AND(sizing_w17_chosen="Included",sizing_w17_spr_chosen="Include"),VLOOKUP(input_wld_srm_vm_size,table_srm_disk,2,FALSE),0)," GB"))</f>
        <v>0 CPUs :0 GB : 0 GB</v>
      </c>
      <c r="R60" s="432"/>
      <c r="S60" s="123" t="s">
        <v>2142</v>
      </c>
      <c r="T60" s="432" t="str">
        <f>CONCATENATE(IF(AND(sizing_w17_chosen="Included",sizing_w17_avi_appliance_size&lt;&gt;"Excluded"),VLOOKUP(sizing_w17_avi_appliance_size,table_avi_lb_cpu,2,FALSE),0), " CPUs : ",IF(AND(sizing_w17_chosen="Included",sizing_w17_avi_appliance_size&lt;&gt;"Excluded"),VLOOKUP(sizing_w17_avi_appliance_size,table_avi_lb_ram,2,FALSE),0), " GB : ",IF(AND(sizing_w17_chosen="Included",sizing_w17_avi_appliance_size&lt;&gt;"Excluded"),VLOOKUP(sizing_w17_avi_appliance_size,table_avi_lb_disk,2,FALSE),0)," GB")</f>
        <v>0 CPUs : 0 GB : 0 GB</v>
      </c>
      <c r="U60" s="445"/>
      <c r="V60" s="66" t="s">
        <v>2142</v>
      </c>
      <c r="W60" s="8" t="str">
        <f>CONCATENATE(
IF(AND(sizing_w17_ssp_chosen&lt;&gt;"Excluded",sizing_w17_ssp_chosen&lt;&gt;"Deployed in WLD"),VLOOKUP(sizing_w17_ssp_chosen,table_ssp_cpu,2,FALSE),0)," CPUs : ",
IF(AND(sizing_w17_ssp_chosen&lt;&gt;"Excluded",sizing_w17_ssp_chosen&lt;&gt;"Deployed in WLD"),VLOOKUP(sizing_w17_ssp_chosen,table_ssp_ram,2,FALSE),0), " GB : ",
IF(AND(sizing_w17_ssp_chosen&lt;&gt;"Excluded",sizing_w17_ssp_chosen&lt;&gt;"Deployed in WLD"),VLOOKUP(sizing_w17_ssp_chosen,table_ssp_disk,2,FALSE),0)," GB")</f>
        <v>0 CPUs : 0 GB : 0 GB</v>
      </c>
      <c r="X60" s="454" t="str">
        <f>IF(sizing_w17_chosen="Included",CONCATENATE("vCenter:",VLOOKUP(sizing_w17_vcenter_appliance_size,vcenter_sizing_limits,2,FALSE)," | NSX LM ",VLOOKUP(sizing_w17_nsxt_appliance_size,nsx_sizing_limits,2,FALSE)),"")</f>
        <v/>
      </c>
      <c r="Y60" s="455"/>
      <c r="Z60" s="455"/>
      <c r="AA60" s="455"/>
      <c r="AB60" s="456"/>
    </row>
    <row r="61" spans="2:28" ht="20" customHeight="1" x14ac:dyDescent="0.2">
      <c r="B61" s="26" t="s">
        <v>3541</v>
      </c>
      <c r="C61" s="139" t="s">
        <v>2142</v>
      </c>
      <c r="D61" s="137" t="s">
        <v>92</v>
      </c>
      <c r="E61" s="121" t="str">
        <f>CONCATENATE(IF(sizing_w18_chosen="Included",VLOOKUP(sizing_w18_vcenter_appliance_size,table_vcenter_appliance_cpu,2,FALSE),0)," CPUs ",": ",IF(sizing_w18_chosen="Included",VLOOKUP(sizing_w18_vcenter_appliance_size,table_vcenter_appliance_ram,2,FALSE),0)," GB")</f>
        <v>0 CPUs : 0 GB</v>
      </c>
      <c r="F61" s="137" t="s">
        <v>745</v>
      </c>
      <c r="G61" s="121" t="str">
        <f>CONCATENATE(IF(sizing_w18_chosen="Included",VLOOKUP(CONCATENATE(sizing_w18_vcenter_appliance_size,sizing_w18_vcenter_storage_size),table_vcenter_disk_gb,2,FALSE),0)," GB")</f>
        <v>0 GB</v>
      </c>
      <c r="H61" s="137" t="s">
        <v>2277</v>
      </c>
      <c r="I61" s="137" t="s">
        <v>657</v>
      </c>
      <c r="J61" s="470" t="str">
        <f>CONCATENATE(IF(AND(sizing_w18_chosen="Included",sizing_w18_nsxt_model&lt;&gt;"Shared"),VLOOKUP(sizing_w18_nsxt_appliance_size,table_nsxt_manager_cpu,2,FALSE),0)," CPUs : ",IF(AND(sizing_w18_chosen="Included",sizing_w18_nsxt_model&lt;&gt;"Shared"),VLOOKUP(sizing_w18_nsxt_appliance_size,table_nsxt_manager_ram,2,FALSE),0), " GB : ",IF(AND(sizing_w18_chosen="Included",sizing_w18_nsxt_model&lt;&gt;"Shared"),VLOOKUP(sizing_w18_nsxt_appliance_size,table_nsxt_manager_disk_gb,2,FALSE),0)," GB")</f>
        <v>0 CPUs : 0 GB : 0 GB</v>
      </c>
      <c r="K61" s="471"/>
      <c r="L61" s="123" t="s">
        <v>2142</v>
      </c>
      <c r="M61" s="66" t="s">
        <v>657</v>
      </c>
      <c r="N61" s="468" t="str">
        <f>CONCATENATE(IF(AND(sizing_w18_gm_chosen&lt;&gt;"Excluded",sizing_w18_gm_chosen&lt;&gt;"Connect Instance"),VLOOKUP(sizing_w18_nsxt_gm_appliance_size,table_nsxt_manager_cpu,2,FALSE),0)," CPUs : ",IF(AND(sizing_w18_gm_chosen&lt;&gt;"Excluded",sizing_w18_gm_chosen&lt;&gt;"Connect Instance"),VLOOKUP(sizing_w18_nsxt_gm_appliance_size,table_nsxt_manager_ram,2,FALSE),0)," GB : ",IF(AND(sizing_w18_gm_chosen&lt;&gt;"Excluded",sizing_w18_gm_chosen&lt;&gt;"Connect Instance"),VLOOKUP(sizing_w18_nsxt_gm_appliance_size,table_nsxt_manager_disk_gb,2,FALSE),0)," GB")</f>
        <v>0 CPUs : 0 GB : 0 GB</v>
      </c>
      <c r="O61" s="469"/>
      <c r="P61" s="123" t="s">
        <v>13</v>
      </c>
      <c r="Q61" s="432" t="str">
        <f>(CONCATENATE(IF(AND(sizing_w18_chosen="Included",sizing_w18_spr_chosen="Include"),VLOOKUP(input_wld_srm_vm_size,table_srm_cpu,2,FALSE),0)," CPUs :",IF(AND(sizing_w18_chosen="Included",sizing_w18_spr_chosen="Include"),VLOOKUP(input_wld_srm_vm_size,table_srm_ram,2,FALSE),0)," GB : ",IF(AND(sizing_w18_chosen="Included",sizing_w18_spr_chosen="Include"),VLOOKUP(input_wld_srm_vm_size,table_srm_disk,2,FALSE),0)," GB"))</f>
        <v>0 CPUs :0 GB : 0 GB</v>
      </c>
      <c r="R61" s="432"/>
      <c r="S61" s="123" t="s">
        <v>2142</v>
      </c>
      <c r="T61" s="432" t="str">
        <f>CONCATENATE(IF(AND(sizing_w18_chosen="Included",sizing_w18_avi_appliance_size&lt;&gt;"Excluded"),VLOOKUP(sizing_w18_avi_appliance_size,table_avi_lb_cpu,2,FALSE),0), " CPUs : ",IF(AND(sizing_w18_chosen="Included",sizing_w18_avi_appliance_size&lt;&gt;"Excluded"),VLOOKUP(sizing_w18_avi_appliance_size,table_avi_lb_ram,2,FALSE),0), " GB : ",IF(AND(sizing_w18_chosen="Included",sizing_w18_avi_appliance_size&lt;&gt;"Excluded"),VLOOKUP(sizing_w18_avi_appliance_size,table_avi_lb_disk,2,FALSE),0)," GB")</f>
        <v>0 CPUs : 0 GB : 0 GB</v>
      </c>
      <c r="U61" s="445"/>
      <c r="V61" s="66" t="s">
        <v>2142</v>
      </c>
      <c r="W61" s="8" t="str">
        <f>CONCATENATE(
IF(AND(sizing_w18_ssp_chosen&lt;&gt;"Excluded",sizing_w18_ssp_chosen&lt;&gt;"Deployed in WLD"),VLOOKUP(sizing_w18_ssp_chosen,table_ssp_cpu,2,FALSE),0)," CPUs : ",
IF(AND(sizing_w18_ssp_chosen&lt;&gt;"Excluded",sizing_w18_ssp_chosen&lt;&gt;"Deployed in WLD"),VLOOKUP(sizing_w18_ssp_chosen,table_ssp_ram,2,FALSE),0), " GB : ",
IF(AND(sizing_w18_ssp_chosen&lt;&gt;"Excluded",sizing_w18_ssp_chosen&lt;&gt;"Deployed in WLD"),VLOOKUP(sizing_w18_ssp_chosen,table_ssp_disk,2,FALSE),0)," GB")</f>
        <v>0 CPUs : 0 GB : 0 GB</v>
      </c>
      <c r="X61" s="454" t="str">
        <f>IF(sizing_w18_chosen="Included",CONCATENATE("vCenter:",VLOOKUP(sizing_w18_vcenter_appliance_size,vcenter_sizing_limits,2,FALSE)," | NSX LM ",VLOOKUP(sizing_w18_nsxt_appliance_size,nsx_sizing_limits,2,FALSE)),"")</f>
        <v/>
      </c>
      <c r="Y61" s="455"/>
      <c r="Z61" s="455"/>
      <c r="AA61" s="455"/>
      <c r="AB61" s="456"/>
    </row>
    <row r="62" spans="2:28" ht="20" customHeight="1" x14ac:dyDescent="0.2">
      <c r="B62" s="26" t="s">
        <v>3542</v>
      </c>
      <c r="C62" s="139" t="s">
        <v>2142</v>
      </c>
      <c r="D62" s="137" t="s">
        <v>92</v>
      </c>
      <c r="E62" s="121" t="str">
        <f>CONCATENATE(IF(sizing_w19_chosen="Included",VLOOKUP(sizing_w19_vcenter_appliance_size,table_vcenter_appliance_cpu,2,FALSE),0)," CPUs ",": ",IF(sizing_w19_chosen="Included",VLOOKUP(sizing_w19_vcenter_appliance_size,table_vcenter_appliance_ram,2,FALSE),0)," GB")</f>
        <v>0 CPUs : 0 GB</v>
      </c>
      <c r="F62" s="137" t="s">
        <v>745</v>
      </c>
      <c r="G62" s="121" t="str">
        <f>CONCATENATE(IF(sizing_w19_chosen="Included",VLOOKUP(CONCATENATE(sizing_w19_vcenter_appliance_size,sizing_w19_vcenter_storage_size),table_vcenter_disk_gb,2,FALSE),0)," GB")</f>
        <v>0 GB</v>
      </c>
      <c r="H62" s="137" t="s">
        <v>2277</v>
      </c>
      <c r="I62" s="137" t="s">
        <v>657</v>
      </c>
      <c r="J62" s="470" t="str">
        <f>CONCATENATE(IF(AND(sizing_w19_chosen="Included",sizing_w19_nsxt_model&lt;&gt;"Shared"),VLOOKUP(sizing_w19_nsxt_appliance_size,table_nsxt_manager_cpu,2,FALSE),0)," CPUs : ",IF(AND(sizing_w19_chosen="Included",sizing_w19_nsxt_model&lt;&gt;"Shared"),VLOOKUP(sizing_w19_nsxt_appliance_size,table_nsxt_manager_ram,2,FALSE),0), " GB : ",IF(AND(sizing_w19_chosen="Included",sizing_w19_nsxt_model&lt;&gt;"Shared"),VLOOKUP(sizing_w19_nsxt_appliance_size,table_nsxt_manager_disk_gb,2,FALSE),0)," GB")</f>
        <v>0 CPUs : 0 GB : 0 GB</v>
      </c>
      <c r="K62" s="471"/>
      <c r="L62" s="123" t="s">
        <v>2142</v>
      </c>
      <c r="M62" s="66" t="s">
        <v>657</v>
      </c>
      <c r="N62" s="468" t="str">
        <f>CONCATENATE(IF(AND(sizing_w19_gm_chosen&lt;&gt;"Excluded",sizing_w19_gm_chosen&lt;&gt;"Connect Instance"),VLOOKUP(sizing_w19_nsxt_gm_appliance_size,table_nsxt_manager_cpu,2,FALSE),0)," CPUs : ",IF(AND(sizing_w19_gm_chosen&lt;&gt;"Excluded",sizing_w19_gm_chosen&lt;&gt;"Connect Instance"),VLOOKUP(sizing_w19_nsxt_gm_appliance_size,table_nsxt_manager_ram,2,FALSE),0)," GB : ",IF(AND(sizing_w19_gm_chosen&lt;&gt;"Excluded",sizing_w19_gm_chosen&lt;&gt;"Connect Instance"),VLOOKUP(sizing_w19_nsxt_gm_appliance_size,table_nsxt_manager_disk_gb,2,FALSE),0)," GB")</f>
        <v>0 CPUs : 0 GB : 0 GB</v>
      </c>
      <c r="O62" s="469"/>
      <c r="P62" s="123" t="s">
        <v>13</v>
      </c>
      <c r="Q62" s="432" t="str">
        <f>(CONCATENATE(IF(AND(sizing_w19_chosen="Included",sizing_w19_spr_chosen="Include"),VLOOKUP(input_wld_srm_vm_size,table_srm_cpu,2,FALSE),0)," CPUs :",IF(AND(sizing_w19_chosen="Included",sizing_w19_spr_chosen="Include"),VLOOKUP(input_wld_srm_vm_size,table_srm_ram,2,FALSE),0)," GB : ",IF(AND(sizing_w19_chosen="Included",sizing_w19_spr_chosen="Include"),VLOOKUP(input_wld_srm_vm_size,table_srm_disk,2,FALSE),0)," GB"))</f>
        <v>0 CPUs :0 GB : 0 GB</v>
      </c>
      <c r="R62" s="432"/>
      <c r="S62" s="123" t="s">
        <v>2142</v>
      </c>
      <c r="T62" s="432" t="str">
        <f>CONCATENATE(IF(AND(sizing_w19_chosen="Included",sizing_w19_avi_appliance_size&lt;&gt;"Excluded"),VLOOKUP(sizing_w19_avi_appliance_size,table_avi_lb_cpu,2,FALSE),0), " CPUs : ",IF(AND(sizing_w19_chosen="Included",sizing_w19_avi_appliance_size&lt;&gt;"Excluded"),VLOOKUP(sizing_w19_avi_appliance_size,table_avi_lb_ram,2,FALSE),0), " GB : ",IF(AND(sizing_w19_chosen="Included",sizing_w19_avi_appliance_size&lt;&gt;"Excluded"),VLOOKUP(sizing_w19_avi_appliance_size,table_avi_lb_disk,2,FALSE),0)," GB")</f>
        <v>0 CPUs : 0 GB : 0 GB</v>
      </c>
      <c r="U62" s="445"/>
      <c r="V62" s="66" t="s">
        <v>2142</v>
      </c>
      <c r="W62" s="8" t="str">
        <f>CONCATENATE(
IF(AND(sizing_w19_ssp_chosen&lt;&gt;"Excluded",sizing_w19_ssp_chosen&lt;&gt;"Deployed in WLD"),VLOOKUP(sizing_w19_ssp_chosen,table_ssp_cpu,2,FALSE),0)," CPUs : ",
IF(AND(sizing_w19_ssp_chosen&lt;&gt;"Excluded",sizing_w19_ssp_chosen&lt;&gt;"Deployed in WLD"),VLOOKUP(sizing_w19_ssp_chosen,table_ssp_ram,2,FALSE),0), " GB : ",
IF(AND(sizing_w19_ssp_chosen&lt;&gt;"Excluded",sizing_w19_ssp_chosen&lt;&gt;"Deployed in WLD"),VLOOKUP(sizing_w19_ssp_chosen,table_ssp_disk,2,FALSE),0)," GB")</f>
        <v>0 CPUs : 0 GB : 0 GB</v>
      </c>
      <c r="X62" s="454" t="str">
        <f>IF(sizing_w19_chosen="Included",CONCATENATE("vCenter:",VLOOKUP(sizing_w19_vcenter_appliance_size,vcenter_sizing_limits,2,FALSE)," | NSX LM ",VLOOKUP(sizing_w19_nsxt_appliance_size,nsx_sizing_limits,2,FALSE)),"")</f>
        <v/>
      </c>
      <c r="Y62" s="455"/>
      <c r="Z62" s="455"/>
      <c r="AA62" s="455"/>
      <c r="AB62" s="456"/>
    </row>
    <row r="63" spans="2:28" ht="20" customHeight="1" x14ac:dyDescent="0.2">
      <c r="B63" s="26" t="s">
        <v>3543</v>
      </c>
      <c r="C63" s="139" t="s">
        <v>2142</v>
      </c>
      <c r="D63" s="137" t="s">
        <v>92</v>
      </c>
      <c r="E63" s="121" t="str">
        <f>CONCATENATE(IF(sizing_w20_chosen="Included",VLOOKUP(sizing_w20_vcenter_appliance_size,table_vcenter_appliance_cpu,2,FALSE),0)," CPUs ",": ",IF(sizing_w20_chosen="Included",VLOOKUP(sizing_w20_vcenter_appliance_size,table_vcenter_appliance_ram,2,FALSE),0)," GB")</f>
        <v>0 CPUs : 0 GB</v>
      </c>
      <c r="F63" s="137" t="s">
        <v>745</v>
      </c>
      <c r="G63" s="121" t="str">
        <f>CONCATENATE(IF(sizing_w20_chosen="Included",VLOOKUP(CONCATENATE(sizing_w20_vcenter_appliance_size,sizing_w20_vcenter_storage_size),table_vcenter_disk_gb,2,FALSE),0)," GB")</f>
        <v>0 GB</v>
      </c>
      <c r="H63" s="137" t="s">
        <v>2277</v>
      </c>
      <c r="I63" s="137" t="s">
        <v>657</v>
      </c>
      <c r="J63" s="470" t="str">
        <f>CONCATENATE(IF(AND(sizing_w20_chosen="Included",sizing_w20_nsxt_model&lt;&gt;"Shared"),VLOOKUP(sizing_w20_nsxt_appliance_size,table_nsxt_manager_cpu,2,FALSE),0)," CPUs : ",IF(AND(sizing_w20_chosen="Included",sizing_w20_nsxt_model&lt;&gt;"Shared"),VLOOKUP(sizing_w20_nsxt_appliance_size,table_nsxt_manager_ram,2,FALSE),0), " GB : ",IF(AND(sizing_w20_chosen="Included",sizing_w20_nsxt_model&lt;&gt;"Shared"),VLOOKUP(sizing_w20_nsxt_appliance_size,table_nsxt_manager_disk_gb,2,FALSE),0)," GB")</f>
        <v>0 CPUs : 0 GB : 0 GB</v>
      </c>
      <c r="K63" s="471"/>
      <c r="L63" s="123" t="s">
        <v>2142</v>
      </c>
      <c r="M63" s="66" t="s">
        <v>657</v>
      </c>
      <c r="N63" s="468" t="str">
        <f>CONCATENATE(IF(AND(sizing_w20_gm_chosen&lt;&gt;"Excluded",sizing_w20_gm_chosen&lt;&gt;"Connect Instance"),VLOOKUP(sizing_w20_nsxt_gm_appliance_size,table_nsxt_manager_cpu,2,FALSE),0)," CPUs : ",IF(AND(sizing_w20_gm_chosen&lt;&gt;"Excluded",sizing_w20_gm_chosen&lt;&gt;"Connect Instance"),VLOOKUP(sizing_w20_nsxt_gm_appliance_size,table_nsxt_manager_ram,2,FALSE),0)," GB : ",IF(AND(sizing_w20_gm_chosen&lt;&gt;"Excluded",sizing_w20_gm_chosen&lt;&gt;"Connect Instance"),VLOOKUP(sizing_w20_nsxt_gm_appliance_size,table_nsxt_manager_disk_gb,2,FALSE),0)," GB")</f>
        <v>0 CPUs : 0 GB : 0 GB</v>
      </c>
      <c r="O63" s="469"/>
      <c r="P63" s="123" t="s">
        <v>13</v>
      </c>
      <c r="Q63" s="432" t="str">
        <f>(CONCATENATE(IF(AND(sizing_w20_chosen="Included",sizing_w20_spr_chosen="Include"),VLOOKUP(input_wld_srm_vm_size,table_srm_cpu,2,FALSE),0)," CPUs :",IF(AND(sizing_w20_chosen="Included",sizing_w20_spr_chosen="Include"),VLOOKUP(input_wld_srm_vm_size,table_srm_ram,2,FALSE),0)," GB : ",IF(AND(sizing_w20_chosen="Included",sizing_w20_spr_chosen="Include"),VLOOKUP(input_wld_srm_vm_size,table_srm_disk,2,FALSE),0)," GB"))</f>
        <v>0 CPUs :0 GB : 0 GB</v>
      </c>
      <c r="R63" s="432"/>
      <c r="S63" s="123" t="s">
        <v>2142</v>
      </c>
      <c r="T63" s="432" t="str">
        <f>CONCATENATE(IF(AND(sizing_w20_chosen="Included",sizing_w20_avi_appliance_size&lt;&gt;"Excluded"),VLOOKUP(sizing_w20_avi_appliance_size,table_avi_lb_cpu,2,FALSE),0), " CPUs : ",IF(AND(sizing_w20_chosen="Included",sizing_w20_avi_appliance_size&lt;&gt;"Excluded"),VLOOKUP(sizing_w20_avi_appliance_size,table_avi_lb_ram,2,FALSE),0), " GB : ",IF(AND(sizing_w20_chosen="Included",sizing_w20_avi_appliance_size&lt;&gt;"Excluded"),VLOOKUP(sizing_w20_avi_appliance_size,table_avi_lb_disk,2,FALSE),0)," GB")</f>
        <v>0 CPUs : 0 GB : 0 GB</v>
      </c>
      <c r="U63" s="445"/>
      <c r="V63" s="66" t="s">
        <v>2142</v>
      </c>
      <c r="W63" s="8" t="str">
        <f>CONCATENATE(
IF(AND(sizing_w20_ssp_chosen&lt;&gt;"Excluded",sizing_w20_ssp_chosen&lt;&gt;"Deployed in WLD"),VLOOKUP(sizing_w20_ssp_chosen,table_ssp_cpu,2,FALSE),0)," CPUs : ",
IF(AND(sizing_w20_ssp_chosen&lt;&gt;"Excluded",sizing_w20_ssp_chosen&lt;&gt;"Deployed in WLD"),VLOOKUP(sizing_w20_ssp_chosen,table_ssp_ram,2,FALSE),0), " GB : ",
IF(AND(sizing_w20_ssp_chosen&lt;&gt;"Excluded",sizing_w20_ssp_chosen&lt;&gt;"Deployed in WLD"),VLOOKUP(sizing_w20_ssp_chosen,table_ssp_disk,2,FALSE),0)," GB")</f>
        <v>0 CPUs : 0 GB : 0 GB</v>
      </c>
      <c r="X63" s="454" t="str">
        <f>IF(sizing_w20_chosen="Included",CONCATENATE("vCenter:",VLOOKUP(sizing_w20_vcenter_appliance_size,vcenter_sizing_limits,2,FALSE)," | NSX LM ",VLOOKUP(sizing_w20_nsxt_appliance_size,nsx_sizing_limits,2,FALSE)),"")</f>
        <v/>
      </c>
      <c r="Y63" s="455"/>
      <c r="Z63" s="455"/>
      <c r="AA63" s="455"/>
      <c r="AB63" s="456"/>
    </row>
    <row r="64" spans="2:28" ht="20" customHeight="1" x14ac:dyDescent="0.2">
      <c r="B64" s="26" t="s">
        <v>3544</v>
      </c>
      <c r="C64" s="139" t="s">
        <v>2142</v>
      </c>
      <c r="D64" s="137" t="s">
        <v>92</v>
      </c>
      <c r="E64" s="121" t="str">
        <f>CONCATENATE(IF(sizing_w21_chosen="Included",VLOOKUP(sizing_w21_vcenter_appliance_size,table_vcenter_appliance_cpu,2,FALSE),0)," CPUs ",": ",IF(sizing_w21_chosen="Included",VLOOKUP(sizing_w21_vcenter_appliance_size,table_vcenter_appliance_ram,2,FALSE),0)," GB")</f>
        <v>0 CPUs : 0 GB</v>
      </c>
      <c r="F64" s="137" t="s">
        <v>745</v>
      </c>
      <c r="G64" s="121" t="str">
        <f>CONCATENATE(IF(sizing_w21_chosen="Included",VLOOKUP(CONCATENATE(sizing_w21_vcenter_appliance_size,sizing_w21_vcenter_storage_size),table_vcenter_disk_gb,2,FALSE),0)," GB")</f>
        <v>0 GB</v>
      </c>
      <c r="H64" s="137" t="s">
        <v>2277</v>
      </c>
      <c r="I64" s="137" t="s">
        <v>657</v>
      </c>
      <c r="J64" s="470" t="str">
        <f>CONCATENATE(IF(AND(sizing_w21_chosen="Included",sizing_w21_nsxt_model&lt;&gt;"Shared"),VLOOKUP(sizing_w21_nsxt_appliance_size,table_nsxt_manager_cpu,2,FALSE),0)," CPUs : ",IF(AND(sizing_w21_chosen="Included",sizing_w21_nsxt_model&lt;&gt;"Shared"),VLOOKUP(sizing_w21_nsxt_appliance_size,table_nsxt_manager_ram,2,FALSE),0), " GB : ",IF(AND(sizing_w21_chosen="Included",sizing_w21_nsxt_model&lt;&gt;"Shared"),VLOOKUP(sizing_w21_nsxt_appliance_size,table_nsxt_manager_disk_gb,2,FALSE),0)," GB")</f>
        <v>0 CPUs : 0 GB : 0 GB</v>
      </c>
      <c r="K64" s="471"/>
      <c r="L64" s="123" t="s">
        <v>2142</v>
      </c>
      <c r="M64" s="66" t="s">
        <v>657</v>
      </c>
      <c r="N64" s="468" t="str">
        <f>CONCATENATE(IF(AND(sizing_w21_gm_chosen&lt;&gt;"Excluded",sizing_w21_gm_chosen&lt;&gt;"Connect Instance"),VLOOKUP(sizing_w21_nsxt_gm_appliance_size,table_nsxt_manager_cpu,2,FALSE),0)," CPUs : ",IF(AND(sizing_w21_gm_chosen&lt;&gt;"Excluded",sizing_w21_gm_chosen&lt;&gt;"Connect Instance"),VLOOKUP(sizing_w21_nsxt_gm_appliance_size,table_nsxt_manager_ram,2,FALSE),0)," GB : ",IF(AND(sizing_w21_gm_chosen&lt;&gt;"Excluded",sizing_w21_gm_chosen&lt;&gt;"Connect Instance"),VLOOKUP(sizing_w21_nsxt_gm_appliance_size,table_nsxt_manager_disk_gb,2,FALSE),0)," GB")</f>
        <v>0 CPUs : 0 GB : 0 GB</v>
      </c>
      <c r="O64" s="469"/>
      <c r="P64" s="123" t="s">
        <v>13</v>
      </c>
      <c r="Q64" s="432" t="str">
        <f>(CONCATENATE(IF(AND(sizing_w21_chosen="Included",sizing_w21_spr_chosen="Include"),VLOOKUP(input_wld_srm_vm_size,table_srm_cpu,2,FALSE),0)," CPUs :",IF(AND(sizing_w21_chosen="Included",sizing_w21_spr_chosen="Include"),VLOOKUP(input_wld_srm_vm_size,table_srm_ram,2,FALSE),0)," GB : ",IF(AND(sizing_w21_chosen="Included",sizing_w21_spr_chosen="Include"),VLOOKUP(input_wld_srm_vm_size,table_srm_disk,2,FALSE),0)," GB"))</f>
        <v>0 CPUs :0 GB : 0 GB</v>
      </c>
      <c r="R64" s="432"/>
      <c r="S64" s="123" t="s">
        <v>2142</v>
      </c>
      <c r="T64" s="432" t="str">
        <f>CONCATENATE(IF(AND(sizing_w21_chosen="Included",sizing_w21_avi_appliance_size&lt;&gt;"Excluded"),VLOOKUP(sizing_w21_avi_appliance_size,table_avi_lb_cpu,2,FALSE),0), " CPUs : ",IF(AND(sizing_w21_chosen="Included",sizing_w21_avi_appliance_size&lt;&gt;"Excluded"),VLOOKUP(sizing_w21_avi_appliance_size,table_avi_lb_ram,2,FALSE),0), " GB : ",IF(AND(sizing_w21_chosen="Included",sizing_w21_avi_appliance_size&lt;&gt;"Excluded"),VLOOKUP(sizing_w21_avi_appliance_size,table_avi_lb_disk,2,FALSE),0)," GB")</f>
        <v>0 CPUs : 0 GB : 0 GB</v>
      </c>
      <c r="U64" s="445"/>
      <c r="V64" s="66" t="s">
        <v>2142</v>
      </c>
      <c r="W64" s="8" t="str">
        <f>CONCATENATE(
IF(AND(sizing_w21_ssp_chosen&lt;&gt;"Excluded",sizing_w21_ssp_chosen&lt;&gt;"Deployed in WLD"),VLOOKUP(sizing_w21_ssp_chosen,table_ssp_cpu,2,FALSE),0)," CPUs : ",
IF(AND(sizing_w21_ssp_chosen&lt;&gt;"Excluded",sizing_w21_ssp_chosen&lt;&gt;"Deployed in WLD"),VLOOKUP(sizing_w21_ssp_chosen,table_ssp_ram,2,FALSE),0), " GB : ",
IF(AND(sizing_w21_ssp_chosen&lt;&gt;"Excluded",sizing_w21_ssp_chosen&lt;&gt;"Deployed in WLD"),VLOOKUP(sizing_w21_ssp_chosen,table_ssp_disk,2,FALSE),0)," GB")</f>
        <v>0 CPUs : 0 GB : 0 GB</v>
      </c>
      <c r="X64" s="454" t="str">
        <f>IF(sizing_w21_chosen="Included",CONCATENATE("vCenter:",VLOOKUP(sizing_w21_vcenter_appliance_size,vcenter_sizing_limits,2,FALSE)," | NSX LM ",VLOOKUP(sizing_w21_nsxt_appliance_size,nsx_sizing_limits,2,FALSE)),"")</f>
        <v/>
      </c>
      <c r="Y64" s="455"/>
      <c r="Z64" s="455"/>
      <c r="AA64" s="455"/>
      <c r="AB64" s="456"/>
    </row>
    <row r="65" spans="1:28" ht="20" customHeight="1" x14ac:dyDescent="0.2">
      <c r="B65" s="26" t="s">
        <v>3545</v>
      </c>
      <c r="C65" s="139" t="s">
        <v>2142</v>
      </c>
      <c r="D65" s="137" t="s">
        <v>92</v>
      </c>
      <c r="E65" s="121" t="str">
        <f>CONCATENATE(IF(sizing_w22_chosen="Included",VLOOKUP(sizing_w22_vcenter_appliance_size,table_vcenter_appliance_cpu,2,FALSE),0)," CPUs ",": ",IF(sizing_w22_chosen="Included",VLOOKUP(sizing_w22_vcenter_appliance_size,table_vcenter_appliance_ram,2,FALSE),0)," GB")</f>
        <v>0 CPUs : 0 GB</v>
      </c>
      <c r="F65" s="137" t="s">
        <v>745</v>
      </c>
      <c r="G65" s="121" t="str">
        <f>CONCATENATE(IF(sizing_w22_chosen="Included",VLOOKUP(CONCATENATE(sizing_w22_vcenter_appliance_size,sizing_w22_vcenter_storage_size),table_vcenter_disk_gb,2,FALSE),0)," GB")</f>
        <v>0 GB</v>
      </c>
      <c r="H65" s="137" t="s">
        <v>2277</v>
      </c>
      <c r="I65" s="137" t="s">
        <v>657</v>
      </c>
      <c r="J65" s="470" t="str">
        <f>CONCATENATE(IF(AND(sizing_w22_chosen="Included",sizing_w22_nsxt_model&lt;&gt;"Shared"),VLOOKUP(sizing_w22_nsxt_appliance_size,table_nsxt_manager_cpu,2,FALSE),0)," CPUs : ",IF(AND(sizing_w22_chosen="Included",sizing_w22_nsxt_model&lt;&gt;"Shared"),VLOOKUP(sizing_w22_nsxt_appliance_size,table_nsxt_manager_ram,2,FALSE),0), " GB : ",IF(AND(sizing_w22_chosen="Included",sizing_w22_nsxt_model&lt;&gt;"Shared"),VLOOKUP(sizing_w22_nsxt_appliance_size,table_nsxt_manager_disk_gb,2,FALSE),0)," GB")</f>
        <v>0 CPUs : 0 GB : 0 GB</v>
      </c>
      <c r="K65" s="471"/>
      <c r="L65" s="123" t="s">
        <v>2142</v>
      </c>
      <c r="M65" s="66" t="s">
        <v>657</v>
      </c>
      <c r="N65" s="468" t="str">
        <f>CONCATENATE(IF(AND(sizing_w22_gm_chosen&lt;&gt;"Excluded",sizing_w22_gm_chosen&lt;&gt;"Connect Instance"),VLOOKUP(sizing_w22_nsxt_gm_appliance_size,table_nsxt_manager_cpu,2,FALSE),0)," CPUs : ",IF(AND(sizing_w22_gm_chosen&lt;&gt;"Excluded",sizing_w22_gm_chosen&lt;&gt;"Connect Instance"),VLOOKUP(sizing_w22_nsxt_gm_appliance_size,table_nsxt_manager_ram,2,FALSE),0)," GB : ",IF(AND(sizing_w22_gm_chosen&lt;&gt;"Excluded",sizing_w22_gm_chosen&lt;&gt;"Connect Instance"),VLOOKUP(sizing_w22_nsxt_gm_appliance_size,table_nsxt_manager_disk_gb,2,FALSE),0)," GB")</f>
        <v>0 CPUs : 0 GB : 0 GB</v>
      </c>
      <c r="O65" s="469"/>
      <c r="P65" s="123" t="s">
        <v>13</v>
      </c>
      <c r="Q65" s="432" t="str">
        <f>(CONCATENATE(IF(AND(sizing_w22_chosen="Included",sizing_w22_spr_chosen="Include"),VLOOKUP(input_wld_srm_vm_size,table_srm_cpu,2,FALSE),0)," CPUs :",IF(AND(sizing_w22_chosen="Included",sizing_w22_spr_chosen="Include"),VLOOKUP(input_wld_srm_vm_size,table_srm_ram,2,FALSE),0)," GB : ",IF(AND(sizing_w22_chosen="Included",sizing_w22_spr_chosen="Include"),VLOOKUP(input_wld_srm_vm_size,table_srm_disk,2,FALSE),0)," GB"))</f>
        <v>0 CPUs :0 GB : 0 GB</v>
      </c>
      <c r="R65" s="432"/>
      <c r="S65" s="123" t="s">
        <v>2142</v>
      </c>
      <c r="T65" s="432" t="str">
        <f>CONCATENATE(IF(AND(sizing_w22_chosen="Included",sizing_w22_avi_appliance_size&lt;&gt;"Excluded"),VLOOKUP(sizing_w22_avi_appliance_size,table_avi_lb_cpu,2,FALSE),0), " CPUs : ",IF(AND(sizing_w22_chosen="Included",sizing_w22_avi_appliance_size&lt;&gt;"Excluded"),VLOOKUP(sizing_w22_avi_appliance_size,table_avi_lb_ram,2,FALSE),0), " GB : ",IF(AND(sizing_w22_chosen="Included",sizing_w22_avi_appliance_size&lt;&gt;"Excluded"),VLOOKUP(sizing_w22_avi_appliance_size,table_avi_lb_disk,2,FALSE),0)," GB")</f>
        <v>0 CPUs : 0 GB : 0 GB</v>
      </c>
      <c r="U65" s="445"/>
      <c r="V65" s="66" t="s">
        <v>2142</v>
      </c>
      <c r="W65" s="8" t="str">
        <f>CONCATENATE(
IF(AND(sizing_w22_ssp_chosen&lt;&gt;"Excluded",sizing_w22_ssp_chosen&lt;&gt;"Deployed in WLD"),VLOOKUP(sizing_w22_ssp_chosen,table_ssp_cpu,2,FALSE),0)," CPUs : ",
IF(AND(sizing_w22_ssp_chosen&lt;&gt;"Excluded",sizing_w22_ssp_chosen&lt;&gt;"Deployed in WLD"),VLOOKUP(sizing_w22_ssp_chosen,table_ssp_ram,2,FALSE),0), " GB : ",
IF(AND(sizing_w22_ssp_chosen&lt;&gt;"Excluded",sizing_w22_ssp_chosen&lt;&gt;"Deployed in WLD"),VLOOKUP(sizing_w22_ssp_chosen,table_ssp_disk,2,FALSE),0)," GB")</f>
        <v>0 CPUs : 0 GB : 0 GB</v>
      </c>
      <c r="X65" s="454" t="str">
        <f>IF(sizing_w22_chosen="Included",CONCATENATE("vCenter:",VLOOKUP(sizing_w22_vcenter_appliance_size,vcenter_sizing_limits,2,FALSE)," | NSX LM ",VLOOKUP(sizing_w22_nsxt_appliance_size,nsx_sizing_limits,2,FALSE)),"")</f>
        <v/>
      </c>
      <c r="Y65" s="455"/>
      <c r="Z65" s="455"/>
      <c r="AA65" s="455"/>
      <c r="AB65" s="456"/>
    </row>
    <row r="66" spans="1:28" ht="20" customHeight="1" x14ac:dyDescent="0.2">
      <c r="B66" s="26" t="s">
        <v>3546</v>
      </c>
      <c r="C66" s="139" t="s">
        <v>2142</v>
      </c>
      <c r="D66" s="137" t="s">
        <v>92</v>
      </c>
      <c r="E66" s="121" t="str">
        <f>CONCATENATE(IF(sizing_w23_chosen="Included",VLOOKUP(sizing_w23_vcenter_appliance_size,table_vcenter_appliance_cpu,2,FALSE),0)," CPUs ",": ",IF(sizing_w23_chosen="Included",VLOOKUP(sizing_w23_vcenter_appliance_size,table_vcenter_appliance_ram,2,FALSE),0)," GB")</f>
        <v>0 CPUs : 0 GB</v>
      </c>
      <c r="F66" s="137" t="s">
        <v>745</v>
      </c>
      <c r="G66" s="121" t="str">
        <f>CONCATENATE(IF(sizing_w23_chosen="Included",VLOOKUP(CONCATENATE(sizing_w23_vcenter_appliance_size,sizing_w23_vcenter_storage_size),table_vcenter_disk_gb,2,FALSE),0)," GB")</f>
        <v>0 GB</v>
      </c>
      <c r="H66" s="137" t="s">
        <v>2277</v>
      </c>
      <c r="I66" s="137" t="s">
        <v>657</v>
      </c>
      <c r="J66" s="470" t="str">
        <f>CONCATENATE(IF(AND(sizing_w23_chosen="Included",sizing_w23_nsxt_model&lt;&gt;"Shared"),VLOOKUP(sizing_w23_nsxt_appliance_size,table_nsxt_manager_cpu,2,FALSE),0)," CPUs : ",IF(AND(sizing_w23_chosen="Included",sizing_w23_nsxt_model&lt;&gt;"Shared"),VLOOKUP(sizing_w23_nsxt_appliance_size,table_nsxt_manager_ram,2,FALSE),0), " GB : ",IF(AND(sizing_w23_chosen="Included",sizing_w23_nsxt_model&lt;&gt;"Shared"),VLOOKUP(sizing_w23_nsxt_appliance_size,table_nsxt_manager_disk_gb,2,FALSE),0)," GB")</f>
        <v>0 CPUs : 0 GB : 0 GB</v>
      </c>
      <c r="K66" s="471"/>
      <c r="L66" s="123" t="s">
        <v>2142</v>
      </c>
      <c r="M66" s="66" t="s">
        <v>657</v>
      </c>
      <c r="N66" s="468" t="str">
        <f>CONCATENATE(IF(AND(sizing_w23_gm_chosen&lt;&gt;"Excluded",sizing_w23_gm_chosen&lt;&gt;"Connect Instance"),VLOOKUP(sizing_w23_nsxt_gm_appliance_size,table_nsxt_manager_cpu,2,FALSE),0)," CPUs : ",IF(AND(sizing_w23_gm_chosen&lt;&gt;"Excluded",sizing_w23_gm_chosen&lt;&gt;"Connect Instance"),VLOOKUP(sizing_w23_nsxt_gm_appliance_size,table_nsxt_manager_ram,2,FALSE),0)," GB : ",IF(AND(sizing_w23_gm_chosen&lt;&gt;"Excluded",sizing_w23_gm_chosen&lt;&gt;"Connect Instance"),VLOOKUP(sizing_w23_nsxt_gm_appliance_size,table_nsxt_manager_disk_gb,2,FALSE),0)," GB")</f>
        <v>0 CPUs : 0 GB : 0 GB</v>
      </c>
      <c r="O66" s="469"/>
      <c r="P66" s="123" t="s">
        <v>13</v>
      </c>
      <c r="Q66" s="432" t="str">
        <f>(CONCATENATE(IF(AND(sizing_w23_chosen="Included",sizing_w23_spr_chosen="Include"),VLOOKUP(input_wld_srm_vm_size,table_srm_cpu,2,FALSE),0)," CPUs :",IF(AND(sizing_w23_chosen="Included",sizing_w23_spr_chosen="Include"),VLOOKUP(input_wld_srm_vm_size,table_srm_ram,2,FALSE),0)," GB : ",IF(AND(sizing_w23_chosen="Included",sizing_w23_spr_chosen="Include"),VLOOKUP(input_wld_srm_vm_size,table_srm_disk,2,FALSE),0)," GB"))</f>
        <v>0 CPUs :0 GB : 0 GB</v>
      </c>
      <c r="R66" s="432"/>
      <c r="S66" s="123" t="s">
        <v>2142</v>
      </c>
      <c r="T66" s="432" t="str">
        <f>CONCATENATE(IF(AND(sizing_w23_chosen="Included",sizing_w23_avi_appliance_size&lt;&gt;"Excluded"),VLOOKUP(sizing_w23_avi_appliance_size,table_avi_lb_cpu,2,FALSE),0), " CPUs : ",IF(AND(sizing_w23_chosen="Included",sizing_w23_avi_appliance_size&lt;&gt;"Excluded"),VLOOKUP(sizing_w23_avi_appliance_size,table_avi_lb_ram,2,FALSE),0), " GB : ",IF(AND(sizing_w23_chosen="Included",sizing_w23_avi_appliance_size&lt;&gt;"Excluded"),VLOOKUP(sizing_w23_avi_appliance_size,table_avi_lb_disk,2,FALSE),0)," GB")</f>
        <v>0 CPUs : 0 GB : 0 GB</v>
      </c>
      <c r="U66" s="445"/>
      <c r="V66" s="66" t="s">
        <v>2142</v>
      </c>
      <c r="W66" s="8" t="str">
        <f>CONCATENATE(
IF(AND(sizing_w23_ssp_chosen&lt;&gt;"Excluded",sizing_w23_ssp_chosen&lt;&gt;"Deployed in WLD"),VLOOKUP(sizing_w23_ssp_chosen,table_ssp_cpu,2,FALSE),0)," CPUs : ",
IF(AND(sizing_w23_ssp_chosen&lt;&gt;"Excluded",sizing_w23_ssp_chosen&lt;&gt;"Deployed in WLD"),VLOOKUP(sizing_w23_ssp_chosen,table_ssp_ram,2,FALSE),0), " GB : ",
IF(AND(sizing_w23_ssp_chosen&lt;&gt;"Excluded",sizing_w23_ssp_chosen&lt;&gt;"Deployed in WLD"),VLOOKUP(sizing_w23_ssp_chosen,table_ssp_disk,2,FALSE),0)," GB")</f>
        <v>0 CPUs : 0 GB : 0 GB</v>
      </c>
      <c r="X66" s="454" t="str">
        <f>IF(sizing_w23_chosen="Included",CONCATENATE("vCenter:",VLOOKUP(sizing_w23_vcenter_appliance_size,vcenter_sizing_limits,2,FALSE)," | NSX LM ",VLOOKUP(sizing_w23_nsxt_appliance_size,nsx_sizing_limits,2,FALSE)),"")</f>
        <v/>
      </c>
      <c r="Y66" s="455"/>
      <c r="Z66" s="455"/>
      <c r="AA66" s="455"/>
      <c r="AB66" s="456"/>
    </row>
    <row r="67" spans="1:28" ht="20" customHeight="1" x14ac:dyDescent="0.2">
      <c r="B67" s="26" t="s">
        <v>3547</v>
      </c>
      <c r="C67" s="139" t="s">
        <v>2142</v>
      </c>
      <c r="D67" s="137" t="s">
        <v>92</v>
      </c>
      <c r="E67" s="121" t="str">
        <f>CONCATENATE(IF(sizing_w24_chosen="Included",VLOOKUP(sizing_w24_vcenter_appliance_size,table_vcenter_appliance_cpu,2,FALSE),0)," CPUs ",": ",IF(sizing_w24_chosen="Included",VLOOKUP(sizing_w24_vcenter_appliance_size,table_vcenter_appliance_ram,2,FALSE),0)," GB")</f>
        <v>0 CPUs : 0 GB</v>
      </c>
      <c r="F67" s="137" t="s">
        <v>745</v>
      </c>
      <c r="G67" s="121" t="str">
        <f>CONCATENATE(IF(sizing_w24_chosen="Included",VLOOKUP(CONCATENATE(sizing_w24_vcenter_appliance_size,sizing_w24_vcenter_storage_size),table_vcenter_disk_gb,2,FALSE),0)," GB")</f>
        <v>0 GB</v>
      </c>
      <c r="H67" s="137" t="s">
        <v>2277</v>
      </c>
      <c r="I67" s="137" t="s">
        <v>92</v>
      </c>
      <c r="J67" s="470" t="str">
        <f>CONCATENATE(IF(AND(sizing_w24_chosen="Included",sizing_w24_nsxt_model&lt;&gt;"Shared"),VLOOKUP(sizing_w24_nsxt_appliance_size,table_nsxt_manager_cpu,2,FALSE),0)," CPUs : ",IF(AND(sizing_w24_chosen="Included",sizing_w24_nsxt_model&lt;&gt;"Shared"),VLOOKUP(sizing_w24_nsxt_appliance_size,table_nsxt_manager_ram,2,FALSE),0), " GB : ",IF(AND(sizing_w24_chosen="Included",sizing_w24_nsxt_model&lt;&gt;"Shared"),VLOOKUP(sizing_w24_nsxt_appliance_size,table_nsxt_manager_disk_gb,2,FALSE),0)," GB")</f>
        <v>0 CPUs : 0 GB : 0 GB</v>
      </c>
      <c r="K67" s="471"/>
      <c r="L67" s="123" t="s">
        <v>2142</v>
      </c>
      <c r="M67" s="66" t="s">
        <v>657</v>
      </c>
      <c r="N67" s="468" t="str">
        <f>CONCATENATE(IF(AND(sizing_w24_gm_chosen&lt;&gt;"Excluded",sizing_w24_gm_chosen&lt;&gt;"Connect Instance"),VLOOKUP(sizing_w24_nsxt_gm_appliance_size,table_nsxt_manager_cpu,2,FALSE),0)," CPUs : ",IF(AND(sizing_w24_gm_chosen&lt;&gt;"Excluded",sizing_w24_gm_chosen&lt;&gt;"Connect Instance"),VLOOKUP(sizing_w24_nsxt_gm_appliance_size,table_nsxt_manager_ram,2,FALSE),0)," GB : ",IF(AND(sizing_w24_gm_chosen&lt;&gt;"Excluded",sizing_w24_gm_chosen&lt;&gt;"Connect Instance"),VLOOKUP(sizing_w24_nsxt_gm_appliance_size,table_nsxt_manager_disk_gb,2,FALSE),0)," GB")</f>
        <v>0 CPUs : 0 GB : 0 GB</v>
      </c>
      <c r="O67" s="469"/>
      <c r="P67" s="123" t="s">
        <v>13</v>
      </c>
      <c r="Q67" s="432" t="str">
        <f>(CONCATENATE(IF(AND(sizing_w24_chosen="Included",sizing_w24_spr_chosen="Include"),VLOOKUP(input_wld_srm_vm_size,table_srm_cpu,2,FALSE),0)," CPUs :",IF(AND(sizing_w24_chosen="Included",sizing_w24_spr_chosen="Include"),VLOOKUP(input_wld_srm_vm_size,table_srm_ram,2,FALSE),0)," GB : ",IF(AND(sizing_w24_chosen="Included",sizing_w24_spr_chosen="Include"),VLOOKUP(input_wld_srm_vm_size,table_srm_disk,2,FALSE),0)," GB"))</f>
        <v>0 CPUs :0 GB : 0 GB</v>
      </c>
      <c r="R67" s="432"/>
      <c r="S67" s="123" t="s">
        <v>2142</v>
      </c>
      <c r="T67" s="432" t="str">
        <f>CONCATENATE(IF(AND(sizing_w24_chosen="Included",sizing_w24_avi_appliance_size&lt;&gt;"Excluded"),VLOOKUP(sizing_w24_avi_appliance_size,table_avi_lb_cpu,2,FALSE),0), " CPUs : ",IF(AND(sizing_w24_chosen="Included",sizing_w24_avi_appliance_size&lt;&gt;"Excluded"),VLOOKUP(sizing_w24_avi_appliance_size,table_avi_lb_ram,2,FALSE),0), " GB : ",IF(AND(sizing_w24_chosen="Included",sizing_w24_avi_appliance_size&lt;&gt;"Excluded"),VLOOKUP(sizing_w24_avi_appliance_size,table_avi_lb_disk,2,FALSE),0)," GB")</f>
        <v>0 CPUs : 0 GB : 0 GB</v>
      </c>
      <c r="U67" s="445"/>
      <c r="V67" s="66" t="s">
        <v>2142</v>
      </c>
      <c r="W67" s="8" t="str">
        <f>CONCATENATE(
IF(AND(sizing_w24_ssp_chosen&lt;&gt;"Excluded",sizing_w24_ssp_chosen&lt;&gt;"Deployed in WLD"),VLOOKUP(sizing_w24_ssp_chosen,table_ssp_cpu,2,FALSE),0)," CPUs : ",
IF(AND(sizing_w24_ssp_chosen&lt;&gt;"Excluded",sizing_w24_ssp_chosen&lt;&gt;"Deployed in WLD"),VLOOKUP(sizing_w24_ssp_chosen,table_ssp_ram,2,FALSE),0), " GB : ",
IF(AND(sizing_w24_ssp_chosen&lt;&gt;"Excluded",sizing_w24_ssp_chosen&lt;&gt;"Deployed in WLD"),VLOOKUP(sizing_w24_ssp_chosen,table_ssp_disk,2,FALSE),0)," GB")</f>
        <v>0 CPUs : 0 GB : 0 GB</v>
      </c>
      <c r="X67" s="454" t="str">
        <f>IF(sizing_w24_chosen="Included",CONCATENATE("vCenter:",VLOOKUP(sizing_w24_vcenter_appliance_size,vcenter_sizing_limits,2,FALSE)," | NSX LM ",VLOOKUP(sizing_w24_nsxt_appliance_size,nsx_sizing_limits,2,FALSE)),"")</f>
        <v/>
      </c>
      <c r="Y67" s="455"/>
      <c r="Z67" s="455"/>
      <c r="AA67" s="455"/>
      <c r="AB67" s="456"/>
    </row>
    <row r="68" spans="1:28" ht="20" customHeight="1" x14ac:dyDescent="0.2">
      <c r="B68" s="26" t="s">
        <v>4146</v>
      </c>
      <c r="C68" s="139" t="s">
        <v>2142</v>
      </c>
      <c r="D68" s="137" t="s">
        <v>92</v>
      </c>
      <c r="E68" s="121" t="str">
        <f>CONCATENATE(IF(sizing_w25_chosen="Included",VLOOKUP(sizing_w25_vcenter_appliance_size,table_vcenter_appliance_cpu,2,FALSE),0)," CPUs ",": ",IF(sizing_w25_chosen="Included",VLOOKUP(sizing_w25_vcenter_appliance_size,table_vcenter_appliance_ram,2,FALSE),0)," GB")</f>
        <v>0 CPUs : 0 GB</v>
      </c>
      <c r="F68" s="137" t="s">
        <v>745</v>
      </c>
      <c r="G68" s="121" t="str">
        <f>CONCATENATE(IF(sizing_w25_chosen="Included",VLOOKUP(CONCATENATE(sizing_w25_vcenter_appliance_size,sizing_w25_vcenter_storage_size),table_vcenter_disk_gb,2,FALSE),0)," GB")</f>
        <v>0 GB</v>
      </c>
      <c r="H68" s="137" t="s">
        <v>2277</v>
      </c>
      <c r="I68" s="137" t="s">
        <v>92</v>
      </c>
      <c r="J68" s="470" t="str">
        <f>CONCATENATE(IF(AND(sizing_w25_chosen="Included",sizing_w25_nsxt_model&lt;&gt;"Shared"),VLOOKUP(sizing_w25_nsxt_appliance_size,table_nsxt_manager_cpu,2,FALSE),0)," CPUs : ",IF(AND(sizing_w25_chosen="Included",sizing_w25_nsxt_model&lt;&gt;"Shared"),VLOOKUP(sizing_w25_nsxt_appliance_size,table_nsxt_manager_ram,2,FALSE),0), " GB : ",IF(AND(sizing_w25_chosen="Included",sizing_w25_nsxt_model&lt;&gt;"Shared"),VLOOKUP(sizing_w25_nsxt_appliance_size,table_nsxt_manager_disk_gb,2,FALSE),0)," GB")</f>
        <v>0 CPUs : 0 GB : 0 GB</v>
      </c>
      <c r="K68" s="471"/>
      <c r="L68" s="123" t="s">
        <v>2142</v>
      </c>
      <c r="M68" s="66" t="s">
        <v>657</v>
      </c>
      <c r="N68" s="468" t="str">
        <f>CONCATENATE(IF(AND(sizing_w25_gm_chosen&lt;&gt;"Excluded",sizing_w25_gm_chosen&lt;&gt;"Connect Instance"),VLOOKUP(sizing_w25_nsxt_gm_appliance_size,table_nsxt_manager_cpu,2,FALSE),0)," CPUs : ",IF(AND(sizing_w25_gm_chosen&lt;&gt;"Excluded",sizing_w25_gm_chosen&lt;&gt;"Connect Instance"),VLOOKUP(sizing_w25_nsxt_gm_appliance_size,table_nsxt_manager_ram,2,FALSE),0)," GB : ",IF(AND(sizing_w25_gm_chosen&lt;&gt;"Excluded",sizing_w25_gm_chosen&lt;&gt;"Connect Instance"),VLOOKUP(sizing_w25_nsxt_gm_appliance_size,table_nsxt_manager_disk_gb,2,FALSE),0)," GB")</f>
        <v>0 CPUs : 0 GB : 0 GB</v>
      </c>
      <c r="O68" s="469"/>
      <c r="P68" s="123" t="s">
        <v>13</v>
      </c>
      <c r="Q68" s="432" t="str">
        <f>(CONCATENATE(IF(AND(sizing_w25_chosen="Included",sizing_w25_spr_chosen="Include"),VLOOKUP(input_wld_srm_vm_size,table_srm_cpu,2,FALSE),0)," CPUs :",IF(AND(sizing_w25_chosen="Included",sizing_w25_spr_chosen="Include"),VLOOKUP(input_wld_srm_vm_size,table_srm_ram,2,FALSE),0)," GB : ",IF(AND(sizing_w25_chosen="Included",sizing_w25_spr_chosen="Include"),VLOOKUP(input_wld_srm_vm_size,table_srm_disk,2,FALSE),0)," GB"))</f>
        <v>0 CPUs :0 GB : 0 GB</v>
      </c>
      <c r="R68" s="432"/>
      <c r="S68" s="123" t="s">
        <v>2142</v>
      </c>
      <c r="T68" s="432" t="str">
        <f>CONCATENATE(IF(AND(sizing_w25_chosen="Included",sizing_w25_avi_appliance_size&lt;&gt;"Excluded"),VLOOKUP(sizing_w25_avi_appliance_size,table_avi_lb_cpu,2,FALSE),0), " CPUs : ",IF(AND(sizing_w25_chosen="Included",sizing_w25_avi_appliance_size&lt;&gt;"Excluded"),VLOOKUP(sizing_w25_avi_appliance_size,table_avi_lb_ram,2,FALSE),0), " GB : ",IF(AND(sizing_w25_chosen="Included",sizing_w25_avi_appliance_size&lt;&gt;"Excluded"),VLOOKUP(sizing_w25_avi_appliance_size,table_avi_lb_disk,2,FALSE),0)," GB")</f>
        <v>0 CPUs : 0 GB : 0 GB</v>
      </c>
      <c r="U68" s="445"/>
      <c r="V68" s="66" t="s">
        <v>2142</v>
      </c>
      <c r="W68" s="8" t="str">
        <f>CONCATENATE(
IF(AND(sizing_w25_ssp_chosen&lt;&gt;"Excluded",sizing_w25_ssp_chosen&lt;&gt;"Deployed in WLD"),VLOOKUP(sizing_w25_ssp_chosen,table_ssp_cpu,2,FALSE),0)," CPUs : ",
IF(AND(sizing_w25_ssp_chosen&lt;&gt;"Excluded",sizing_w25_ssp_chosen&lt;&gt;"Deployed in WLD"),VLOOKUP(sizing_w25_ssp_chosen,table_ssp_ram,2,FALSE),0), " GB : ",
IF(AND(sizing_w25_ssp_chosen&lt;&gt;"Excluded",sizing_w25_ssp_chosen&lt;&gt;"Deployed in WLD"),VLOOKUP(sizing_w25_ssp_chosen,table_ssp_disk,2,FALSE),0)," GB")</f>
        <v>0 CPUs : 0 GB : 0 GB</v>
      </c>
      <c r="X68" s="454" t="str">
        <f>IF(sizing_w25_chosen="Included",CONCATENATE("vCenter:",VLOOKUP(sizing_w25_vcenter_appliance_size,vcenter_sizing_limits,2,FALSE)," | NSX LM ",VLOOKUP(sizing_w25_nsxt_appliance_size,nsx_sizing_limits,2,FALSE)),"")</f>
        <v/>
      </c>
      <c r="Y68" s="455"/>
      <c r="Z68" s="455"/>
      <c r="AA68" s="455"/>
      <c r="AB68" s="456"/>
    </row>
    <row r="69" spans="1:28" ht="20" customHeight="1" x14ac:dyDescent="0.2">
      <c r="B69" s="26" t="s">
        <v>4147</v>
      </c>
      <c r="C69" s="139" t="s">
        <v>2142</v>
      </c>
      <c r="D69" s="137" t="s">
        <v>92</v>
      </c>
      <c r="E69" s="121" t="str">
        <f>CONCATENATE(IF(sizing_w26_chosen="Included",VLOOKUP(sizing_w26_vcenter_appliance_size,table_vcenter_appliance_cpu,2,FALSE),0)," CPUs ",": ",IF(sizing_w26_chosen="Included",VLOOKUP(sizing_w26_vcenter_appliance_size,table_vcenter_appliance_ram,2,FALSE),0)," GB")</f>
        <v>0 CPUs : 0 GB</v>
      </c>
      <c r="F69" s="137" t="s">
        <v>745</v>
      </c>
      <c r="G69" s="121" t="str">
        <f>CONCATENATE(IF(sizing_w26_chosen="Included",VLOOKUP(CONCATENATE(sizing_w26_vcenter_appliance_size,sizing_w26_vcenter_storage_size),table_vcenter_disk_gb,2,FALSE),0)," GB")</f>
        <v>0 GB</v>
      </c>
      <c r="H69" s="137" t="s">
        <v>2277</v>
      </c>
      <c r="I69" s="137" t="s">
        <v>92</v>
      </c>
      <c r="J69" s="470" t="str">
        <f>CONCATENATE(IF(AND(sizing_w26_chosen="Included",sizing_w26_nsxt_model&lt;&gt;"Shared"),VLOOKUP(sizing_w26_nsxt_appliance_size,table_nsxt_manager_cpu,2,FALSE),0)," CPUs : ",IF(AND(sizing_w26_chosen="Included",sizing_w26_nsxt_model&lt;&gt;"Shared"),VLOOKUP(sizing_w26_nsxt_appliance_size,table_nsxt_manager_ram,2,FALSE),0), " GB : ",IF(AND(sizing_w26_chosen="Included",sizing_w26_nsxt_model&lt;&gt;"Shared"),VLOOKUP(sizing_w26_nsxt_appliance_size,table_nsxt_manager_disk_gb,2,FALSE),0)," GB")</f>
        <v>0 CPUs : 0 GB : 0 GB</v>
      </c>
      <c r="K69" s="471"/>
      <c r="L69" s="123" t="s">
        <v>2142</v>
      </c>
      <c r="M69" s="66" t="s">
        <v>657</v>
      </c>
      <c r="N69" s="468" t="str">
        <f>CONCATENATE(IF(AND(sizing_w26_gm_chosen&lt;&gt;"Excluded",sizing_w26_gm_chosen&lt;&gt;"Connect Instance"),VLOOKUP(sizing_w26_nsxt_gm_appliance_size,table_nsxt_manager_cpu,2,FALSE),0)," CPUs : ",IF(AND(sizing_w26_gm_chosen&lt;&gt;"Excluded",sizing_w26_gm_chosen&lt;&gt;"Connect Instance"),VLOOKUP(sizing_w26_nsxt_gm_appliance_size,table_nsxt_manager_ram,2,FALSE),0)," GB : ",IF(AND(sizing_w26_gm_chosen&lt;&gt;"Excluded",sizing_w26_gm_chosen&lt;&gt;"Connect Instance"),VLOOKUP(sizing_w26_nsxt_gm_appliance_size,table_nsxt_manager_disk_gb,2,FALSE),0)," GB")</f>
        <v>0 CPUs : 0 GB : 0 GB</v>
      </c>
      <c r="O69" s="469"/>
      <c r="P69" s="123" t="s">
        <v>13</v>
      </c>
      <c r="Q69" s="432" t="str">
        <f>(CONCATENATE(IF(AND(sizing_w26_chosen="Included",sizing_w26_spr_chosen="Include"),VLOOKUP(input_wld_srm_vm_size,table_srm_cpu,2,FALSE),0)," CPUs :",IF(AND(sizing_w26_chosen="Included",sizing_w26_spr_chosen="Include"),VLOOKUP(input_wld_srm_vm_size,table_srm_ram,2,FALSE),0)," GB : ",IF(AND(sizing_w26_chosen="Included",sizing_w26_spr_chosen="Include"),VLOOKUP(input_wld_srm_vm_size,table_srm_disk,2,FALSE),0)," GB"))</f>
        <v>0 CPUs :0 GB : 0 GB</v>
      </c>
      <c r="R69" s="432"/>
      <c r="S69" s="123" t="s">
        <v>2142</v>
      </c>
      <c r="T69" s="432" t="str">
        <f>CONCATENATE(IF(AND(sizing_w26_chosen="Included",sizing_w26_avi_appliance_size&lt;&gt;"Excluded"),VLOOKUP(sizing_w26_avi_appliance_size,table_avi_lb_cpu,2,FALSE),0), " CPUs : ",IF(AND(sizing_w26_chosen="Included",sizing_w26_avi_appliance_size&lt;&gt;"Excluded"),VLOOKUP(sizing_w26_avi_appliance_size,table_avi_lb_ram,2,FALSE),0), " GB : ",IF(AND(sizing_w26_chosen="Included",sizing_w26_avi_appliance_size&lt;&gt;"Excluded"),VLOOKUP(sizing_w26_avi_appliance_size,table_avi_lb_disk,2,FALSE),0)," GB")</f>
        <v>0 CPUs : 0 GB : 0 GB</v>
      </c>
      <c r="U69" s="445"/>
      <c r="V69" s="66" t="s">
        <v>2142</v>
      </c>
      <c r="W69" s="8" t="str">
        <f>CONCATENATE(
IF(AND(sizing_w26_ssp_chosen&lt;&gt;"Excluded",sizing_w26_ssp_chosen&lt;&gt;"Deployed in WLD"),VLOOKUP(sizing_w26_ssp_chosen,table_ssp_cpu,2,FALSE),0)," CPUs : ",
IF(AND(sizing_w26_ssp_chosen&lt;&gt;"Excluded",sizing_w26_ssp_chosen&lt;&gt;"Deployed in WLD"),VLOOKUP(sizing_w26_ssp_chosen,table_ssp_ram,2,FALSE),0), " GB : ",
IF(AND(sizing_w26_ssp_chosen&lt;&gt;"Excluded",sizing_w26_ssp_chosen&lt;&gt;"Deployed in WLD"),VLOOKUP(sizing_w26_ssp_chosen,table_ssp_disk,2,FALSE),0)," GB")</f>
        <v>0 CPUs : 0 GB : 0 GB</v>
      </c>
      <c r="X69" s="454" t="str">
        <f>IF(sizing_w26_chosen="Included",CONCATENATE("vCenter:",VLOOKUP(sizing_w26_vcenter_appliance_size,vcenter_sizing_limits,2,FALSE)," | NSX LM ",VLOOKUP(sizing_w26_nsxt_appliance_size,nsx_sizing_limits,2,FALSE)),"")</f>
        <v/>
      </c>
      <c r="Y69" s="455"/>
      <c r="Z69" s="455"/>
      <c r="AA69" s="455"/>
      <c r="AB69" s="456"/>
    </row>
    <row r="70" spans="1:28" ht="20" customHeight="1" x14ac:dyDescent="0.2">
      <c r="B70" s="26" t="s">
        <v>4148</v>
      </c>
      <c r="C70" s="139" t="s">
        <v>2142</v>
      </c>
      <c r="D70" s="137" t="s">
        <v>92</v>
      </c>
      <c r="E70" s="121" t="str">
        <f>CONCATENATE(IF(sizing_w27_chosen="Included",VLOOKUP(sizing_w27_vcenter_appliance_size,table_vcenter_appliance_cpu,2,FALSE),0)," CPUs ",": ",IF(sizing_w27_chosen="Included",VLOOKUP(sizing_w27_vcenter_appliance_size,table_vcenter_appliance_ram,2,FALSE),0)," GB")</f>
        <v>0 CPUs : 0 GB</v>
      </c>
      <c r="F70" s="137" t="s">
        <v>745</v>
      </c>
      <c r="G70" s="121" t="str">
        <f>CONCATENATE(IF(sizing_w27_chosen="Included",VLOOKUP(CONCATENATE(sizing_w27_vcenter_appliance_size,sizing_w27_vcenter_storage_size),table_vcenter_disk_gb,2,FALSE),0)," GB")</f>
        <v>0 GB</v>
      </c>
      <c r="H70" s="137" t="s">
        <v>2277</v>
      </c>
      <c r="I70" s="137" t="s">
        <v>92</v>
      </c>
      <c r="J70" s="470" t="str">
        <f>CONCATENATE(IF(AND(sizing_w27_chosen="Included",sizing_w27_nsxt_model&lt;&gt;"Shared"),VLOOKUP(sizing_w27_nsxt_appliance_size,table_nsxt_manager_cpu,2,FALSE),0)," CPUs : ",IF(AND(sizing_w27_chosen="Included",sizing_w27_nsxt_model&lt;&gt;"Shared"),VLOOKUP(sizing_w27_nsxt_appliance_size,table_nsxt_manager_ram,2,FALSE),0), " GB : ",IF(AND(sizing_w27_chosen="Included",sizing_w27_nsxt_model&lt;&gt;"Shared"),VLOOKUP(sizing_w27_nsxt_appliance_size,table_nsxt_manager_disk_gb,2,FALSE),0)," GB")</f>
        <v>0 CPUs : 0 GB : 0 GB</v>
      </c>
      <c r="K70" s="471"/>
      <c r="L70" s="123" t="s">
        <v>2142</v>
      </c>
      <c r="M70" s="66" t="s">
        <v>657</v>
      </c>
      <c r="N70" s="468" t="str">
        <f>CONCATENATE(IF(AND(sizing_w27_gm_chosen&lt;&gt;"Excluded",sizing_w27_gm_chosen&lt;&gt;"Connect Instance"),VLOOKUP(sizing_w27_nsxt_gm_appliance_size,table_nsxt_manager_cpu,2,FALSE),0)," CPUs : ",IF(AND(sizing_w27_gm_chosen&lt;&gt;"Excluded",sizing_w27_gm_chosen&lt;&gt;"Connect Instance"),VLOOKUP(sizing_w27_nsxt_gm_appliance_size,table_nsxt_manager_ram,2,FALSE),0)," GB : ",IF(AND(sizing_w27_gm_chosen&lt;&gt;"Excluded",sizing_w27_gm_chosen&lt;&gt;"Connect Instance"),VLOOKUP(sizing_w27_nsxt_gm_appliance_size,table_nsxt_manager_disk_gb,2,FALSE),0)," GB")</f>
        <v>0 CPUs : 0 GB : 0 GB</v>
      </c>
      <c r="O70" s="469"/>
      <c r="P70" s="123" t="s">
        <v>13</v>
      </c>
      <c r="Q70" s="432" t="str">
        <f>(CONCATENATE(IF(AND(sizing_w27_chosen="Included",sizing_w27_spr_chosen="Include"),VLOOKUP(input_wld_srm_vm_size,table_srm_cpu,2,FALSE),0)," CPUs :",IF(AND(sizing_w27_chosen="Included",sizing_w27_spr_chosen="Include"),VLOOKUP(input_wld_srm_vm_size,table_srm_ram,2,FALSE),0)," GB : ",IF(AND(sizing_w27_chosen="Included",sizing_w27_spr_chosen="Include"),VLOOKUP(input_wld_srm_vm_size,table_srm_disk,2,FALSE),0)," GB"))</f>
        <v>0 CPUs :0 GB : 0 GB</v>
      </c>
      <c r="R70" s="432"/>
      <c r="S70" s="123" t="s">
        <v>2142</v>
      </c>
      <c r="T70" s="432" t="str">
        <f>CONCATENATE(IF(AND(sizing_w27_chosen="Included",sizing_w27_avi_appliance_size&lt;&gt;"Excluded"),VLOOKUP(sizing_w27_avi_appliance_size,table_avi_lb_cpu,2,FALSE),0), " CPUs : ",IF(AND(sizing_w27_chosen="Included",sizing_w27_avi_appliance_size&lt;&gt;"Excluded"),VLOOKUP(sizing_w27_avi_appliance_size,table_avi_lb_ram,2,FALSE),0), " GB : ",IF(AND(sizing_w27_chosen="Included",sizing_w27_avi_appliance_size&lt;&gt;"Excluded"),VLOOKUP(sizing_w27_avi_appliance_size,table_avi_lb_disk,2,FALSE),0)," GB")</f>
        <v>0 CPUs : 0 GB : 0 GB</v>
      </c>
      <c r="U70" s="445"/>
      <c r="V70" s="66" t="s">
        <v>2142</v>
      </c>
      <c r="W70" s="8" t="str">
        <f>CONCATENATE(
IF(AND(sizing_w27_ssp_chosen&lt;&gt;"Excluded",sizing_w27_ssp_chosen&lt;&gt;"Deployed in WLD"),VLOOKUP(sizing_w27_ssp_chosen,table_ssp_cpu,2,FALSE),0)," CPUs : ",
IF(AND(sizing_w27_ssp_chosen&lt;&gt;"Excluded",sizing_w27_ssp_chosen&lt;&gt;"Deployed in WLD"),VLOOKUP(sizing_w27_ssp_chosen,table_ssp_ram,2,FALSE),0), " GB : ",
IF(AND(sizing_w27_ssp_chosen&lt;&gt;"Excluded",sizing_w27_ssp_chosen&lt;&gt;"Deployed in WLD"),VLOOKUP(sizing_w27_ssp_chosen,table_ssp_disk,2,FALSE),0)," GB")</f>
        <v>0 CPUs : 0 GB : 0 GB</v>
      </c>
      <c r="X70" s="454" t="str">
        <f>IF(sizing_w27_chosen="Included",CONCATENATE("vCenter:",VLOOKUP(sizing_w27_vcenter_appliance_size,vcenter_sizing_limits,2,FALSE)," | NSX LM ",VLOOKUP(sizing_w27_nsxt_appliance_size,nsx_sizing_limits,2,FALSE)),"")</f>
        <v/>
      </c>
      <c r="Y70" s="455"/>
      <c r="Z70" s="455"/>
      <c r="AA70" s="455"/>
      <c r="AB70" s="456"/>
    </row>
    <row r="71" spans="1:28" ht="20" customHeight="1" x14ac:dyDescent="0.2">
      <c r="B71" s="26" t="s">
        <v>4149</v>
      </c>
      <c r="C71" s="139" t="s">
        <v>2142</v>
      </c>
      <c r="D71" s="137" t="s">
        <v>92</v>
      </c>
      <c r="E71" s="121" t="str">
        <f>CONCATENATE(IF(sizing_w28_chosen="Included",VLOOKUP(sizing_w28_vcenter_appliance_size,table_vcenter_appliance_cpu,2,FALSE),0)," CPUs ",": ",IF(sizing_w28_chosen="Included",VLOOKUP(sizing_w28_vcenter_appliance_size,table_vcenter_appliance_ram,2,FALSE),0)," GB")</f>
        <v>0 CPUs : 0 GB</v>
      </c>
      <c r="F71" s="137" t="s">
        <v>745</v>
      </c>
      <c r="G71" s="121" t="str">
        <f>CONCATENATE(IF(sizing_w28_chosen="Included",VLOOKUP(CONCATENATE(sizing_w28_vcenter_appliance_size,sizing_w28_vcenter_storage_size),table_vcenter_disk_gb,2,FALSE),0)," GB")</f>
        <v>0 GB</v>
      </c>
      <c r="H71" s="137" t="s">
        <v>2277</v>
      </c>
      <c r="I71" s="137" t="s">
        <v>92</v>
      </c>
      <c r="J71" s="470" t="str">
        <f>CONCATENATE(IF(AND(sizing_w28_chosen="Included",sizing_w28_nsxt_model&lt;&gt;"Shared"),VLOOKUP(sizing_w28_nsxt_appliance_size,table_nsxt_manager_cpu,2,FALSE),0)," CPUs : ",IF(AND(sizing_w28_chosen="Included",sizing_w28_nsxt_model&lt;&gt;"Shared"),VLOOKUP(sizing_w28_nsxt_appliance_size,table_nsxt_manager_ram,2,FALSE),0), " GB : ",IF(AND(sizing_w28_chosen="Included",sizing_w28_nsxt_model&lt;&gt;"Shared"),VLOOKUP(sizing_w28_nsxt_appliance_size,table_nsxt_manager_disk_gb,2,FALSE),0)," GB")</f>
        <v>0 CPUs : 0 GB : 0 GB</v>
      </c>
      <c r="K71" s="471"/>
      <c r="L71" s="123" t="s">
        <v>2142</v>
      </c>
      <c r="M71" s="66" t="s">
        <v>657</v>
      </c>
      <c r="N71" s="468" t="str">
        <f>CONCATENATE(IF(AND(sizing_w28_gm_chosen&lt;&gt;"Excluded",sizing_w28_gm_chosen&lt;&gt;"Connect Instance"),VLOOKUP(sizing_w28_nsxt_gm_appliance_size,table_nsxt_manager_cpu,2,FALSE),0)," CPUs : ",IF(AND(sizing_w28_gm_chosen&lt;&gt;"Excluded",sizing_w28_gm_chosen&lt;&gt;"Connect Instance"),VLOOKUP(sizing_w28_nsxt_gm_appliance_size,table_nsxt_manager_ram,2,FALSE),0)," GB : ",IF(AND(sizing_w28_gm_chosen&lt;&gt;"Excluded",sizing_w28_gm_chosen&lt;&gt;"Connect Instance"),VLOOKUP(sizing_w28_nsxt_gm_appliance_size,table_nsxt_manager_disk_gb,2,FALSE),0)," GB")</f>
        <v>0 CPUs : 0 GB : 0 GB</v>
      </c>
      <c r="O71" s="469"/>
      <c r="P71" s="123" t="s">
        <v>13</v>
      </c>
      <c r="Q71" s="432" t="str">
        <f>(CONCATENATE(IF(AND(sizing_w28_chosen="Included",sizing_w28_spr_chosen="Include"),VLOOKUP(input_wld_srm_vm_size,table_srm_cpu,2,FALSE),0)," CPUs :",IF(AND(sizing_w28_chosen="Included",sizing_w28_spr_chosen="Include"),VLOOKUP(input_wld_srm_vm_size,table_srm_ram,2,FALSE),0)," GB : ",IF(AND(sizing_w28_chosen="Included",sizing_w28_spr_chosen="Include"),VLOOKUP(input_wld_srm_vm_size,table_srm_disk,2,FALSE),0)," GB"))</f>
        <v>0 CPUs :0 GB : 0 GB</v>
      </c>
      <c r="R71" s="432"/>
      <c r="S71" s="123" t="s">
        <v>2142</v>
      </c>
      <c r="T71" s="432" t="str">
        <f>CONCATENATE(IF(AND(sizing_w28_chosen="Included",sizing_w28_avi_appliance_size&lt;&gt;"Excluded"),VLOOKUP(sizing_w28_avi_appliance_size,table_avi_lb_cpu,2,FALSE),0), " CPUs : ",IF(AND(sizing_w28_chosen="Included",sizing_w28_avi_appliance_size&lt;&gt;"Excluded"),VLOOKUP(sizing_w28_avi_appliance_size,table_avi_lb_ram,2,FALSE),0), " GB : ",IF(AND(sizing_w28_chosen="Included",sizing_w28_avi_appliance_size&lt;&gt;"Excluded"),VLOOKUP(sizing_w28_avi_appliance_size,table_avi_lb_disk,2,FALSE),0)," GB")</f>
        <v>0 CPUs : 0 GB : 0 GB</v>
      </c>
      <c r="U71" s="445"/>
      <c r="V71" s="66" t="s">
        <v>2142</v>
      </c>
      <c r="W71" s="8" t="str">
        <f>CONCATENATE(
IF(AND(sizing_w28_ssp_chosen&lt;&gt;"Excluded",sizing_w28_ssp_chosen&lt;&gt;"Deployed in WLD"),VLOOKUP(sizing_w28_ssp_chosen,table_ssp_cpu,2,FALSE),0)," CPUs : ",
IF(AND(sizing_w28_ssp_chosen&lt;&gt;"Excluded",sizing_w28_ssp_chosen&lt;&gt;"Deployed in WLD"),VLOOKUP(sizing_w28_ssp_chosen,table_ssp_ram,2,FALSE),0), " GB : ",
IF(AND(sizing_w28_ssp_chosen&lt;&gt;"Excluded",sizing_w28_ssp_chosen&lt;&gt;"Deployed in WLD"),VLOOKUP(sizing_w28_ssp_chosen,table_ssp_disk,2,FALSE),0)," GB")</f>
        <v>0 CPUs : 0 GB : 0 GB</v>
      </c>
      <c r="X71" s="454" t="str">
        <f>IF(sizing_w28_chosen="Included",CONCATENATE("vCenter:",VLOOKUP(sizing_w28_vcenter_appliance_size,vcenter_sizing_limits,2,FALSE)," | NSX LM ",VLOOKUP(sizing_w28_nsxt_appliance_size,nsx_sizing_limits,2,FALSE)),"")</f>
        <v/>
      </c>
      <c r="Y71" s="455"/>
      <c r="Z71" s="455"/>
      <c r="AA71" s="455"/>
      <c r="AB71" s="456"/>
    </row>
    <row r="72" spans="1:28" ht="20" customHeight="1" x14ac:dyDescent="0.2">
      <c r="B72" s="26" t="s">
        <v>4150</v>
      </c>
      <c r="C72" s="139" t="s">
        <v>2142</v>
      </c>
      <c r="D72" s="137" t="s">
        <v>92</v>
      </c>
      <c r="E72" s="121" t="str">
        <f>CONCATENATE(IF(sizing_w29_chosen="Included",VLOOKUP(sizing_w29_vcenter_appliance_size,table_vcenter_appliance_cpu,2,FALSE),0)," CPUs ",": ",IF(sizing_w29_chosen="Included",VLOOKUP(sizing_w29_vcenter_appliance_size,table_vcenter_appliance_ram,2,FALSE),0)," GB")</f>
        <v>0 CPUs : 0 GB</v>
      </c>
      <c r="F72" s="137" t="s">
        <v>745</v>
      </c>
      <c r="G72" s="121" t="str">
        <f>CONCATENATE(IF(sizing_w29_chosen="Included",VLOOKUP(CONCATENATE(sizing_w29_vcenter_appliance_size,sizing_w29_vcenter_storage_size),table_vcenter_disk_gb,2,FALSE),0)," GB")</f>
        <v>0 GB</v>
      </c>
      <c r="H72" s="137" t="s">
        <v>2277</v>
      </c>
      <c r="I72" s="137" t="s">
        <v>92</v>
      </c>
      <c r="J72" s="470" t="str">
        <f>CONCATENATE(IF(AND(sizing_w29_chosen="Included",sizing_w29_nsxt_model&lt;&gt;"Shared"),VLOOKUP(sizing_w29_nsxt_appliance_size,table_nsxt_manager_cpu,2,FALSE),0)," CPUs : ",IF(AND(sizing_w29_chosen="Included",sizing_w29_nsxt_model&lt;&gt;"Shared"),VLOOKUP(sizing_w29_nsxt_appliance_size,table_nsxt_manager_ram,2,FALSE),0), " GB : ",IF(AND(sizing_w29_chosen="Included",sizing_w29_nsxt_model&lt;&gt;"Shared"),VLOOKUP(sizing_w29_nsxt_appliance_size,table_nsxt_manager_disk_gb,2,FALSE),0)," GB")</f>
        <v>0 CPUs : 0 GB : 0 GB</v>
      </c>
      <c r="K72" s="471"/>
      <c r="L72" s="123" t="s">
        <v>2142</v>
      </c>
      <c r="M72" s="66" t="s">
        <v>657</v>
      </c>
      <c r="N72" s="468" t="str">
        <f>CONCATENATE(IF(AND(sizing_w29_gm_chosen&lt;&gt;"Excluded",sizing_w29_gm_chosen&lt;&gt;"Connect Instance"),VLOOKUP(sizing_w29_nsxt_gm_appliance_size,table_nsxt_manager_cpu,2,FALSE),0)," CPUs : ",IF(AND(sizing_w29_gm_chosen&lt;&gt;"Excluded",sizing_w29_gm_chosen&lt;&gt;"Connect Instance"),VLOOKUP(sizing_w29_nsxt_gm_appliance_size,table_nsxt_manager_ram,2,FALSE),0)," GB : ",IF(AND(sizing_w29_gm_chosen&lt;&gt;"Excluded",sizing_w29_gm_chosen&lt;&gt;"Connect Instance"),VLOOKUP(sizing_w29_nsxt_gm_appliance_size,table_nsxt_manager_disk_gb,2,FALSE),0)," GB")</f>
        <v>0 CPUs : 0 GB : 0 GB</v>
      </c>
      <c r="O72" s="469"/>
      <c r="P72" s="123" t="s">
        <v>13</v>
      </c>
      <c r="Q72" s="432" t="str">
        <f>(CONCATENATE(IF(AND(sizing_w29_chosen="Included",sizing_w29_spr_chosen="Include"),VLOOKUP(input_wld_srm_vm_size,table_srm_cpu,2,FALSE),0)," CPUs :",IF(AND(sizing_w29_chosen="Included",sizing_w29_spr_chosen="Include"),VLOOKUP(input_wld_srm_vm_size,table_srm_ram,2,FALSE),0)," GB : ",IF(AND(sizing_w29_chosen="Included",sizing_w29_spr_chosen="Include"),VLOOKUP(input_wld_srm_vm_size,table_srm_disk,2,FALSE),0)," GB"))</f>
        <v>0 CPUs :0 GB : 0 GB</v>
      </c>
      <c r="R72" s="432"/>
      <c r="S72" s="123" t="s">
        <v>2142</v>
      </c>
      <c r="T72" s="432" t="str">
        <f>CONCATENATE(IF(AND(sizing_w29_chosen="Included",sizing_w29_avi_appliance_size&lt;&gt;"Excluded"),VLOOKUP(sizing_w29_avi_appliance_size,table_avi_lb_cpu,2,FALSE),0), " CPUs : ",IF(AND(sizing_w29_chosen="Included",sizing_w29_avi_appliance_size&lt;&gt;"Excluded"),VLOOKUP(sizing_w29_avi_appliance_size,table_avi_lb_ram,2,FALSE),0), " GB : ",IF(AND(sizing_w29_chosen="Included",sizing_w29_avi_appliance_size&lt;&gt;"Excluded"),VLOOKUP(sizing_w29_avi_appliance_size,table_avi_lb_disk,2,FALSE),0)," GB")</f>
        <v>0 CPUs : 0 GB : 0 GB</v>
      </c>
      <c r="U72" s="445"/>
      <c r="V72" s="66" t="s">
        <v>2142</v>
      </c>
      <c r="W72" s="8" t="str">
        <f>CONCATENATE(
IF(AND(sizing_w29_ssp_chosen&lt;&gt;"Excluded",sizing_w29_ssp_chosen&lt;&gt;"Deployed in WLD"),VLOOKUP(sizing_w29_ssp_chosen,table_ssp_cpu,2,FALSE),0)," CPUs : ",
IF(AND(sizing_w29_ssp_chosen&lt;&gt;"Excluded",sizing_w29_ssp_chosen&lt;&gt;"Deployed in WLD"),VLOOKUP(sizing_w29_ssp_chosen,table_ssp_ram,2,FALSE),0), " GB : ",
IF(AND(sizing_w29_ssp_chosen&lt;&gt;"Excluded",sizing_w29_ssp_chosen&lt;&gt;"Deployed in WLD"),VLOOKUP(sizing_w29_ssp_chosen,table_ssp_disk,2,FALSE),0)," GB")</f>
        <v>0 CPUs : 0 GB : 0 GB</v>
      </c>
      <c r="X72" s="454" t="str">
        <f>IF(sizing_w29_chosen="Included",CONCATENATE("vCenter:",VLOOKUP(sizing_w29_vcenter_appliance_size,vcenter_sizing_limits,2,FALSE)," | NSX LM ",VLOOKUP(sizing_w29_nsxt_appliance_size,nsx_sizing_limits,2,FALSE)),"")</f>
        <v/>
      </c>
      <c r="Y72" s="455"/>
      <c r="Z72" s="455"/>
      <c r="AA72" s="455"/>
      <c r="AB72" s="456"/>
    </row>
    <row r="73" spans="1:28" ht="20" customHeight="1" x14ac:dyDescent="0.2">
      <c r="B73" s="26" t="s">
        <v>4151</v>
      </c>
      <c r="C73" s="139" t="s">
        <v>2142</v>
      </c>
      <c r="D73" s="137" t="s">
        <v>92</v>
      </c>
      <c r="E73" s="121" t="str">
        <f>CONCATENATE(IF(sizing_w30_chosen="Included",VLOOKUP(sizing_w30_vcenter_appliance_size,table_vcenter_appliance_cpu,2,FALSE),0)," CPUs ",": ",IF(sizing_w30_chosen="Included",VLOOKUP(sizing_w30_vcenter_appliance_size,table_vcenter_appliance_ram,2,FALSE),0)," GB")</f>
        <v>0 CPUs : 0 GB</v>
      </c>
      <c r="F73" s="137" t="s">
        <v>745</v>
      </c>
      <c r="G73" s="121" t="str">
        <f>CONCATENATE(IF(sizing_w30_chosen="Included",VLOOKUP(CONCATENATE(sizing_w30_vcenter_appliance_size,sizing_w30_vcenter_storage_size),table_vcenter_disk_gb,2,FALSE),0)," GB")</f>
        <v>0 GB</v>
      </c>
      <c r="H73" s="137" t="s">
        <v>2277</v>
      </c>
      <c r="I73" s="137" t="s">
        <v>92</v>
      </c>
      <c r="J73" s="470" t="str">
        <f>CONCATENATE(IF(AND(sizing_w30_chosen="Included",sizing_w30_nsxt_model&lt;&gt;"Shared"),VLOOKUP(sizing_w30_nsxt_appliance_size,table_nsxt_manager_cpu,2,FALSE),0)," CPUs : ",IF(AND(sizing_w30_chosen="Included",sizing_w30_nsxt_model&lt;&gt;"Shared"),VLOOKUP(sizing_w30_nsxt_appliance_size,table_nsxt_manager_ram,2,FALSE),0), " GB : ",IF(AND(sizing_w30_chosen="Included",sizing_w30_nsxt_model&lt;&gt;"Shared"),VLOOKUP(sizing_w30_nsxt_appliance_size,table_nsxt_manager_disk_gb,2,FALSE),0)," GB")</f>
        <v>0 CPUs : 0 GB : 0 GB</v>
      </c>
      <c r="K73" s="471"/>
      <c r="L73" s="123" t="s">
        <v>2142</v>
      </c>
      <c r="M73" s="66" t="s">
        <v>657</v>
      </c>
      <c r="N73" s="468" t="str">
        <f>CONCATENATE(IF(AND(sizing_w30_gm_chosen&lt;&gt;"Excluded",sizing_w30_gm_chosen&lt;&gt;"Connect Instance"),VLOOKUP(sizing_w30_nsxt_gm_appliance_size,table_nsxt_manager_cpu,2,FALSE),0)," CPUs : ",IF(AND(sizing_w30_gm_chosen&lt;&gt;"Excluded",sizing_w30_gm_chosen&lt;&gt;"Connect Instance"),VLOOKUP(sizing_w30_nsxt_gm_appliance_size,table_nsxt_manager_ram,2,FALSE),0)," GB : ",IF(AND(sizing_w30_gm_chosen&lt;&gt;"Excluded",sizing_w30_gm_chosen&lt;&gt;"Connect Instance"),VLOOKUP(sizing_w30_nsxt_gm_appliance_size,table_nsxt_manager_disk_gb,2,FALSE),0)," GB")</f>
        <v>0 CPUs : 0 GB : 0 GB</v>
      </c>
      <c r="O73" s="469"/>
      <c r="P73" s="123" t="s">
        <v>13</v>
      </c>
      <c r="Q73" s="432" t="str">
        <f>(CONCATENATE(IF(AND(sizing_w30_chosen="Included",sizing_w30_spr_chosen="Include"),VLOOKUP(input_wld_srm_vm_size,table_srm_cpu,2,FALSE),0)," CPUs :",IF(AND(sizing_w30_chosen="Included",sizing_w30_spr_chosen="Include"),VLOOKUP(input_wld_srm_vm_size,table_srm_ram,2,FALSE),0)," GB : ",IF(AND(sizing_w30_chosen="Included",sizing_w30_spr_chosen="Include"),VLOOKUP(input_wld_srm_vm_size,table_srm_disk,2,FALSE),0)," GB"))</f>
        <v>0 CPUs :0 GB : 0 GB</v>
      </c>
      <c r="R73" s="432"/>
      <c r="S73" s="123" t="s">
        <v>2142</v>
      </c>
      <c r="T73" s="432" t="str">
        <f>CONCATENATE(IF(AND(sizing_w30_chosen="Included",sizing_w30_avi_appliance_size&lt;&gt;"Excluded"),VLOOKUP(sizing_w30_avi_appliance_size,table_avi_lb_cpu,2,FALSE),0), " CPUs : ",IF(AND(sizing_w30_chosen="Included",sizing_w30_avi_appliance_size&lt;&gt;"Excluded"),VLOOKUP(sizing_w30_avi_appliance_size,table_avi_lb_ram,2,FALSE),0), " GB : ",IF(AND(sizing_w30_chosen="Included",sizing_w30_avi_appliance_size&lt;&gt;"Excluded"),VLOOKUP(sizing_w30_avi_appliance_size,table_avi_lb_disk,2,FALSE),0)," GB")</f>
        <v>0 CPUs : 0 GB : 0 GB</v>
      </c>
      <c r="U73" s="445"/>
      <c r="V73" s="66" t="s">
        <v>2142</v>
      </c>
      <c r="W73" s="8" t="str">
        <f>CONCATENATE(
IF(AND(sizing_w30_ssp_chosen&lt;&gt;"Excluded",sizing_w30_ssp_chosen&lt;&gt;"Deployed in WLD"),VLOOKUP(sizing_w30_ssp_chosen,table_ssp_cpu,2,FALSE),0)," CPUs : ",
IF(AND(sizing_w30_ssp_chosen&lt;&gt;"Excluded",sizing_w30_ssp_chosen&lt;&gt;"Deployed in WLD"),VLOOKUP(sizing_w30_ssp_chosen,table_ssp_ram,2,FALSE),0), " GB : ",
IF(AND(sizing_w30_ssp_chosen&lt;&gt;"Excluded",sizing_w30_ssp_chosen&lt;&gt;"Deployed in WLD"),VLOOKUP(sizing_w30_ssp_chosen,table_ssp_disk,2,FALSE),0)," GB")</f>
        <v>0 CPUs : 0 GB : 0 GB</v>
      </c>
      <c r="X73" s="454" t="str">
        <f>IF(sizing_w30_chosen="Included",CONCATENATE("vCenter:",VLOOKUP(sizing_w30_vcenter_appliance_size,vcenter_sizing_limits,2,FALSE)," | NSX LM ",VLOOKUP(sizing_w30_nsxt_appliance_size,nsx_sizing_limits,2,FALSE)),"")</f>
        <v/>
      </c>
      <c r="Y73" s="455"/>
      <c r="Z73" s="455"/>
      <c r="AA73" s="455"/>
      <c r="AB73" s="456"/>
    </row>
    <row r="74" spans="1:28" ht="20" customHeight="1" x14ac:dyDescent="0.2">
      <c r="B74" s="26" t="s">
        <v>4152</v>
      </c>
      <c r="C74" s="139" t="s">
        <v>2142</v>
      </c>
      <c r="D74" s="137" t="s">
        <v>92</v>
      </c>
      <c r="E74" s="121" t="str">
        <f>CONCATENATE(IF(sizing_w31_chosen="Included",VLOOKUP(sizing_w31_vcenter_appliance_size,table_vcenter_appliance_cpu,2,FALSE),0)," CPUs ",": ",IF(sizing_w31_chosen="Included",VLOOKUP(sizing_w31_vcenter_appliance_size,table_vcenter_appliance_ram,2,FALSE),0)," GB")</f>
        <v>0 CPUs : 0 GB</v>
      </c>
      <c r="F74" s="137" t="s">
        <v>745</v>
      </c>
      <c r="G74" s="121" t="str">
        <f>CONCATENATE(IF(sizing_w31_chosen="Included",VLOOKUP(CONCATENATE(sizing_w31_vcenter_appliance_size,sizing_w31_vcenter_storage_size),table_vcenter_disk_gb,2,FALSE),0)," GB")</f>
        <v>0 GB</v>
      </c>
      <c r="H74" s="137" t="s">
        <v>2277</v>
      </c>
      <c r="I74" s="137" t="s">
        <v>92</v>
      </c>
      <c r="J74" s="470" t="str">
        <f>CONCATENATE(IF(AND(sizing_w31_chosen="Included",sizing_w31_nsxt_model&lt;&gt;"Shared"),VLOOKUP(sizing_w31_nsxt_appliance_size,table_nsxt_manager_cpu,2,FALSE),0)," CPUs : ",IF(AND(sizing_w31_chosen="Included",sizing_w31_nsxt_model&lt;&gt;"Shared"),VLOOKUP(sizing_w31_nsxt_appliance_size,table_nsxt_manager_ram,2,FALSE),0), " GB : ",IF(AND(sizing_w31_chosen="Included",sizing_w31_nsxt_model&lt;&gt;"Shared"),VLOOKUP(sizing_w31_nsxt_appliance_size,table_nsxt_manager_disk_gb,2,FALSE),0)," GB")</f>
        <v>0 CPUs : 0 GB : 0 GB</v>
      </c>
      <c r="K74" s="471"/>
      <c r="L74" s="123" t="s">
        <v>2142</v>
      </c>
      <c r="M74" s="66" t="s">
        <v>657</v>
      </c>
      <c r="N74" s="468" t="str">
        <f>CONCATENATE(IF(AND(sizing_w31_gm_chosen&lt;&gt;"Excluded",sizing_w31_gm_chosen&lt;&gt;"Connect Instance"),VLOOKUP(sizing_w31_nsxt_gm_appliance_size,table_nsxt_manager_cpu,2,FALSE),0)," CPUs : ",IF(AND(sizing_w31_gm_chosen&lt;&gt;"Excluded",sizing_w31_gm_chosen&lt;&gt;"Connect Instance"),VLOOKUP(sizing_w31_nsxt_gm_appliance_size,table_nsxt_manager_ram,2,FALSE),0)," GB : ",IF(AND(sizing_w31_gm_chosen&lt;&gt;"Excluded",sizing_w31_gm_chosen&lt;&gt;"Connect Instance"),VLOOKUP(sizing_w31_nsxt_gm_appliance_size,table_nsxt_manager_disk_gb,2,FALSE),0)," GB")</f>
        <v>0 CPUs : 0 GB : 0 GB</v>
      </c>
      <c r="O74" s="469"/>
      <c r="P74" s="123" t="s">
        <v>13</v>
      </c>
      <c r="Q74" s="432" t="str">
        <f>(CONCATENATE(IF(AND(sizing_w31_chosen="Included",sizing_w31_spr_chosen="Include"),VLOOKUP(input_wld_srm_vm_size,table_srm_cpu,2,FALSE),0)," CPUs :",IF(AND(sizing_w31_chosen="Included",sizing_w31_spr_chosen="Include"),VLOOKUP(input_wld_srm_vm_size,table_srm_ram,2,FALSE),0)," GB : ",IF(AND(sizing_w31_chosen="Included",sizing_w31_spr_chosen="Include"),VLOOKUP(input_wld_srm_vm_size,table_srm_disk,2,FALSE),0)," GB"))</f>
        <v>0 CPUs :0 GB : 0 GB</v>
      </c>
      <c r="R74" s="432"/>
      <c r="S74" s="123" t="s">
        <v>2142</v>
      </c>
      <c r="T74" s="432" t="str">
        <f>CONCATENATE(IF(AND(sizing_w31_chosen="Included",sizing_w31_avi_appliance_size&lt;&gt;"Excluded"),VLOOKUP(sizing_w31_avi_appliance_size,table_avi_lb_cpu,2,FALSE),0), " CPUs : ",IF(AND(sizing_w31_chosen="Included",sizing_w31_avi_appliance_size&lt;&gt;"Excluded"),VLOOKUP(sizing_w31_avi_appliance_size,table_avi_lb_ram,2,FALSE),0), " GB : ",IF(AND(sizing_w31_chosen="Included",sizing_w31_avi_appliance_size&lt;&gt;"Excluded"),VLOOKUP(sizing_w31_avi_appliance_size,table_avi_lb_disk,2,FALSE),0)," GB")</f>
        <v>0 CPUs : 0 GB : 0 GB</v>
      </c>
      <c r="U74" s="445"/>
      <c r="V74" s="66" t="s">
        <v>2142</v>
      </c>
      <c r="W74" s="8" t="str">
        <f>CONCATENATE(
IF(AND(sizing_w31_ssp_chosen&lt;&gt;"Excluded",sizing_w31_ssp_chosen&lt;&gt;"Deployed in WLD"),VLOOKUP(sizing_w31_ssp_chosen,table_ssp_cpu,2,FALSE),0)," CPUs : ",
IF(AND(sizing_w31_ssp_chosen&lt;&gt;"Excluded",sizing_w31_ssp_chosen&lt;&gt;"Deployed in WLD"),VLOOKUP(sizing_w31_ssp_chosen,table_ssp_ram,2,FALSE),0), " GB : ",
IF(AND(sizing_w31_ssp_chosen&lt;&gt;"Excluded",sizing_w31_ssp_chosen&lt;&gt;"Deployed in WLD"),VLOOKUP(sizing_w31_ssp_chosen,table_ssp_disk,2,FALSE),0)," GB")</f>
        <v>0 CPUs : 0 GB : 0 GB</v>
      </c>
      <c r="X74" s="454" t="str">
        <f>IF(sizing_w31_chosen="Included",CONCATENATE("vCenter:",VLOOKUP(sizing_w31_vcenter_appliance_size,vcenter_sizing_limits,2,FALSE)," | NSX LM ",VLOOKUP(sizing_w31_nsxt_appliance_size,nsx_sizing_limits,2,FALSE)),"")</f>
        <v/>
      </c>
      <c r="Y74" s="455"/>
      <c r="Z74" s="455"/>
      <c r="AA74" s="455"/>
      <c r="AB74" s="456"/>
    </row>
    <row r="75" spans="1:28" ht="20" customHeight="1" x14ac:dyDescent="0.2">
      <c r="B75" s="26" t="s">
        <v>4153</v>
      </c>
      <c r="C75" s="139" t="s">
        <v>2142</v>
      </c>
      <c r="D75" s="137" t="s">
        <v>92</v>
      </c>
      <c r="E75" s="121" t="str">
        <f>CONCATENATE(IF(sizing_w32_chosen="Included",VLOOKUP(sizing_w32_vcenter_appliance_size,table_vcenter_appliance_cpu,2,FALSE),0)," CPUs ",": ",IF(sizing_w32_chosen="Included",VLOOKUP(sizing_w32_vcenter_appliance_size,table_vcenter_appliance_ram,2,FALSE),0)," GB")</f>
        <v>0 CPUs : 0 GB</v>
      </c>
      <c r="F75" s="137" t="s">
        <v>745</v>
      </c>
      <c r="G75" s="121" t="str">
        <f>CONCATENATE(IF(sizing_w32_chosen="Included",VLOOKUP(CONCATENATE(sizing_w32_vcenter_appliance_size,sizing_w32_vcenter_storage_size),table_vcenter_disk_gb,2,FALSE),0)," GB")</f>
        <v>0 GB</v>
      </c>
      <c r="H75" s="137" t="s">
        <v>2277</v>
      </c>
      <c r="I75" s="137" t="s">
        <v>92</v>
      </c>
      <c r="J75" s="470" t="str">
        <f>CONCATENATE(IF(AND(sizing_w32_chosen="Included",sizing_w32_nsxt_model&lt;&gt;"Shared"),VLOOKUP(sizing_w32_nsxt_appliance_size,table_nsxt_manager_cpu,2,FALSE),0)," CPUs : ",IF(AND(sizing_w32_chosen="Included",sizing_w32_nsxt_model&lt;&gt;"Shared"),VLOOKUP(sizing_w32_nsxt_appliance_size,table_nsxt_manager_ram,2,FALSE),0), " GB : ",IF(AND(sizing_w32_chosen="Included",sizing_w32_nsxt_model&lt;&gt;"Shared"),VLOOKUP(sizing_w32_nsxt_appliance_size,table_nsxt_manager_disk_gb,2,FALSE),0)," GB")</f>
        <v>0 CPUs : 0 GB : 0 GB</v>
      </c>
      <c r="K75" s="471"/>
      <c r="L75" s="123" t="s">
        <v>2142</v>
      </c>
      <c r="M75" s="66" t="s">
        <v>657</v>
      </c>
      <c r="N75" s="468" t="str">
        <f>CONCATENATE(IF(AND(sizing_w32_gm_chosen&lt;&gt;"Excluded",sizing_w32_gm_chosen&lt;&gt;"Connect Instance"),VLOOKUP(sizing_w32_nsxt_gm_appliance_size,table_nsxt_manager_cpu,2,FALSE),0)," CPUs : ",IF(AND(sizing_w32_gm_chosen&lt;&gt;"Excluded",sizing_w32_gm_chosen&lt;&gt;"Connect Instance"),VLOOKUP(sizing_w32_nsxt_gm_appliance_size,table_nsxt_manager_ram,2,FALSE),0)," GB : ",IF(AND(sizing_w32_gm_chosen&lt;&gt;"Excluded",sizing_w32_gm_chosen&lt;&gt;"Connect Instance"),VLOOKUP(sizing_w32_nsxt_gm_appliance_size,table_nsxt_manager_disk_gb,2,FALSE),0)," GB")</f>
        <v>0 CPUs : 0 GB : 0 GB</v>
      </c>
      <c r="O75" s="469"/>
      <c r="P75" s="123" t="s">
        <v>13</v>
      </c>
      <c r="Q75" s="432" t="str">
        <f>(CONCATENATE(IF(AND(sizing_w32_chosen="Included",sizing_w32_spr_chosen="Include"),VLOOKUP(input_wld_srm_vm_size,table_srm_cpu,2,FALSE),0)," CPUs :",IF(AND(sizing_w32_chosen="Included",sizing_w32_spr_chosen="Include"),VLOOKUP(input_wld_srm_vm_size,table_srm_ram,2,FALSE),0)," GB : ",IF(AND(sizing_w32_chosen="Included",sizing_w32_spr_chosen="Include"),VLOOKUP(input_wld_srm_vm_size,table_srm_disk,2,FALSE),0)," GB"))</f>
        <v>0 CPUs :0 GB : 0 GB</v>
      </c>
      <c r="R75" s="432"/>
      <c r="S75" s="123" t="s">
        <v>2142</v>
      </c>
      <c r="T75" s="432" t="str">
        <f>CONCATENATE(IF(AND(sizing_w32_chosen="Included",sizing_w32_avi_appliance_size&lt;&gt;"Excluded"),VLOOKUP(sizing_w32_avi_appliance_size,table_avi_lb_cpu,2,FALSE),0), " CPUs : ",IF(AND(sizing_w32_chosen="Included",sizing_w32_avi_appliance_size&lt;&gt;"Excluded"),VLOOKUP(sizing_w32_avi_appliance_size,table_avi_lb_ram,2,FALSE),0), " GB : ",IF(AND(sizing_w32_chosen="Included",sizing_w32_avi_appliance_size&lt;&gt;"Excluded"),VLOOKUP(sizing_w32_avi_appliance_size,table_avi_lb_disk,2,FALSE),0)," GB")</f>
        <v>0 CPUs : 0 GB : 0 GB</v>
      </c>
      <c r="U75" s="445"/>
      <c r="V75" s="66" t="s">
        <v>2142</v>
      </c>
      <c r="W75" s="8" t="str">
        <f>CONCATENATE(
IF(AND(sizing_w32_ssp_chosen&lt;&gt;"Excluded",sizing_w32_ssp_chosen&lt;&gt;"Deployed in WLD"),VLOOKUP(sizing_w32_ssp_chosen,table_ssp_cpu,2,FALSE),0)," CPUs : ",
IF(AND(sizing_w32_ssp_chosen&lt;&gt;"Excluded",sizing_w32_ssp_chosen&lt;&gt;"Deployed in WLD"),VLOOKUP(sizing_w32_ssp_chosen,table_ssp_ram,2,FALSE),0), " GB : ",
IF(AND(sizing_w32_ssp_chosen&lt;&gt;"Excluded",sizing_w32_ssp_chosen&lt;&gt;"Deployed in WLD"),VLOOKUP(sizing_w32_ssp_chosen,table_ssp_disk,2,FALSE),0)," GB")</f>
        <v>0 CPUs : 0 GB : 0 GB</v>
      </c>
      <c r="X75" s="454" t="str">
        <f>IF(sizing_w32_chosen="Included",CONCATENATE("vCenter:",VLOOKUP(sizing_w32_vcenter_appliance_size,vcenter_sizing_limits,2,FALSE)," | NSX LM ",VLOOKUP(sizing_w32_nsxt_appliance_size,nsx_sizing_limits,2,FALSE)),"")</f>
        <v/>
      </c>
      <c r="Y75" s="455"/>
      <c r="Z75" s="455"/>
      <c r="AA75" s="455"/>
      <c r="AB75" s="456"/>
    </row>
    <row r="76" spans="1:28" ht="20" customHeight="1" x14ac:dyDescent="0.2">
      <c r="B76" s="26" t="s">
        <v>4154</v>
      </c>
      <c r="C76" s="139" t="s">
        <v>2142</v>
      </c>
      <c r="D76" s="137" t="s">
        <v>92</v>
      </c>
      <c r="E76" s="121" t="str">
        <f>CONCATENATE(IF(sizing_w33_chosen="Included",VLOOKUP(sizing_w33_vcenter_appliance_size,table_vcenter_appliance_cpu,2,FALSE),0)," CPUs ",": ",IF(sizing_w33_chosen="Included",VLOOKUP(sizing_w33_vcenter_appliance_size,table_vcenter_appliance_ram,2,FALSE),0)," GB")</f>
        <v>0 CPUs : 0 GB</v>
      </c>
      <c r="F76" s="137" t="s">
        <v>745</v>
      </c>
      <c r="G76" s="121" t="str">
        <f>CONCATENATE(IF(sizing_w33_chosen="Included",VLOOKUP(CONCATENATE(sizing_w33_vcenter_appliance_size,sizing_w33_vcenter_storage_size),table_vcenter_disk_gb,2,FALSE),0)," GB")</f>
        <v>0 GB</v>
      </c>
      <c r="H76" s="137" t="s">
        <v>2277</v>
      </c>
      <c r="I76" s="137" t="s">
        <v>92</v>
      </c>
      <c r="J76" s="470" t="str">
        <f>CONCATENATE(IF(AND(sizing_w33_chosen="Included",sizing_w33_nsxt_model&lt;&gt;"Shared"),VLOOKUP(sizing_w33_nsxt_appliance_size,table_nsxt_manager_cpu,2,FALSE),0)," CPUs : ",IF(AND(sizing_w33_chosen="Included",sizing_w33_nsxt_model&lt;&gt;"Shared"),VLOOKUP(sizing_w33_nsxt_appliance_size,table_nsxt_manager_ram,2,FALSE),0), " GB : ",IF(AND(sizing_w33_chosen="Included",sizing_w33_nsxt_model&lt;&gt;"Shared"),VLOOKUP(sizing_w33_nsxt_appliance_size,table_nsxt_manager_disk_gb,2,FALSE),0)," GB")</f>
        <v>0 CPUs : 0 GB : 0 GB</v>
      </c>
      <c r="K76" s="471"/>
      <c r="L76" s="123" t="s">
        <v>2142</v>
      </c>
      <c r="M76" s="66" t="s">
        <v>657</v>
      </c>
      <c r="N76" s="468" t="str">
        <f>CONCATENATE(IF(AND(sizing_w33_gm_chosen&lt;&gt;"Excluded",sizing_w33_gm_chosen&lt;&gt;"Connect Instance"),VLOOKUP(sizing_w33_nsxt_gm_appliance_size,table_nsxt_manager_cpu,2,FALSE),0)," CPUs : ",IF(AND(sizing_w33_gm_chosen&lt;&gt;"Excluded",sizing_w33_gm_chosen&lt;&gt;"Connect Instance"),VLOOKUP(sizing_w33_nsxt_gm_appliance_size,table_nsxt_manager_ram,2,FALSE),0)," GB : ",IF(AND(sizing_w33_gm_chosen&lt;&gt;"Excluded",sizing_w33_gm_chosen&lt;&gt;"Connect Instance"),VLOOKUP(sizing_w33_nsxt_gm_appliance_size,table_nsxt_manager_disk_gb,2,FALSE),0)," GB")</f>
        <v>0 CPUs : 0 GB : 0 GB</v>
      </c>
      <c r="O76" s="469"/>
      <c r="P76" s="123" t="s">
        <v>13</v>
      </c>
      <c r="Q76" s="432" t="str">
        <f>(CONCATENATE(IF(AND(sizing_w33_chosen="Included",sizing_w33_spr_chosen="Include"),VLOOKUP(input_wld_srm_vm_size,table_srm_cpu,2,FALSE),0)," CPUs :",IF(AND(sizing_w33_chosen="Included",sizing_w33_spr_chosen="Include"),VLOOKUP(input_wld_srm_vm_size,table_srm_ram,2,FALSE),0)," GB : ",IF(AND(sizing_w33_chosen="Included",sizing_w33_spr_chosen="Include"),VLOOKUP(input_wld_srm_vm_size,table_srm_disk,2,FALSE),0)," GB"))</f>
        <v>0 CPUs :0 GB : 0 GB</v>
      </c>
      <c r="R76" s="432"/>
      <c r="S76" s="123" t="s">
        <v>2142</v>
      </c>
      <c r="T76" s="432" t="str">
        <f>CONCATENATE(IF(AND(sizing_w33_chosen="Included",sizing_w33_avi_appliance_size&lt;&gt;"Excluded"),VLOOKUP(sizing_w33_avi_appliance_size,table_avi_lb_cpu,2,FALSE),0), " CPUs : ",IF(AND(sizing_w33_chosen="Included",sizing_w33_avi_appliance_size&lt;&gt;"Excluded"),VLOOKUP(sizing_w33_avi_appliance_size,table_avi_lb_ram,2,FALSE),0), " GB : ",IF(AND(sizing_w33_chosen="Included",sizing_w33_avi_appliance_size&lt;&gt;"Excluded"),VLOOKUP(sizing_w33_avi_appliance_size,table_avi_lb_disk,2,FALSE),0)," GB")</f>
        <v>0 CPUs : 0 GB : 0 GB</v>
      </c>
      <c r="U76" s="445"/>
      <c r="V76" s="66" t="s">
        <v>2142</v>
      </c>
      <c r="W76" s="8" t="str">
        <f>CONCATENATE(
IF(AND(sizing_w33_ssp_chosen&lt;&gt;"Excluded",sizing_w33_ssp_chosen&lt;&gt;"Deployed in WLD"),VLOOKUP(sizing_w33_ssp_chosen,table_ssp_cpu,2,FALSE),0)," CPUs : ",
IF(AND(sizing_w33_ssp_chosen&lt;&gt;"Excluded",sizing_w33_ssp_chosen&lt;&gt;"Deployed in WLD"),VLOOKUP(sizing_w33_ssp_chosen,table_ssp_ram,2,FALSE),0), " GB : ",
IF(AND(sizing_w33_ssp_chosen&lt;&gt;"Excluded",sizing_w33_ssp_chosen&lt;&gt;"Deployed in WLD"),VLOOKUP(sizing_w33_ssp_chosen,table_ssp_disk,2,FALSE),0)," GB")</f>
        <v>0 CPUs : 0 GB : 0 GB</v>
      </c>
      <c r="X76" s="454" t="str">
        <f>IF(sizing_w33_chosen="Included",CONCATENATE("vCenter:",VLOOKUP(sizing_w33_vcenter_appliance_size,vcenter_sizing_limits,2,FALSE)," | NSX LM ",VLOOKUP(sizing_w33_nsxt_appliance_size,nsx_sizing_limits,2,FALSE)),"")</f>
        <v/>
      </c>
      <c r="Y76" s="455"/>
      <c r="Z76" s="455"/>
      <c r="AA76" s="455"/>
      <c r="AB76" s="456"/>
    </row>
    <row r="77" spans="1:28" ht="20" customHeight="1" x14ac:dyDescent="0.2">
      <c r="B77" s="26" t="s">
        <v>4155</v>
      </c>
      <c r="C77" s="139" t="s">
        <v>2142</v>
      </c>
      <c r="D77" s="137" t="s">
        <v>92</v>
      </c>
      <c r="E77" s="121" t="str">
        <f>CONCATENATE(IF(sizing_w34_chosen="Included",VLOOKUP(sizing_w34_vcenter_appliance_size,table_vcenter_appliance_cpu,2,FALSE),0)," CPUs ",": ",IF(sizing_w34_chosen="Included",VLOOKUP(sizing_w34_vcenter_appliance_size,table_vcenter_appliance_ram,2,FALSE),0)," GB")</f>
        <v>0 CPUs : 0 GB</v>
      </c>
      <c r="F77" s="137" t="s">
        <v>745</v>
      </c>
      <c r="G77" s="121" t="str">
        <f>CONCATENATE(IF(sizing_w34_chosen="Included",VLOOKUP(CONCATENATE(sizing_w34_vcenter_appliance_size,sizing_w34_vcenter_storage_size),table_vcenter_disk_gb,2,FALSE),0)," GB")</f>
        <v>0 GB</v>
      </c>
      <c r="H77" s="137" t="s">
        <v>2277</v>
      </c>
      <c r="I77" s="137" t="s">
        <v>92</v>
      </c>
      <c r="J77" s="470" t="str">
        <f>CONCATENATE(IF(AND(sizing_w34_chosen="Included",sizing_w34_nsxt_model&lt;&gt;"Shared"),VLOOKUP(sizing_w34_nsxt_appliance_size,table_nsxt_manager_cpu,2,FALSE),0)," CPUs : ",IF(AND(sizing_w34_chosen="Included",sizing_w34_nsxt_model&lt;&gt;"Shared"),VLOOKUP(sizing_w34_nsxt_appliance_size,table_nsxt_manager_ram,2,FALSE),0), " GB : ",IF(AND(sizing_w34_chosen="Included",sizing_w34_nsxt_model&lt;&gt;"Shared"),VLOOKUP(sizing_w34_nsxt_appliance_size,table_nsxt_manager_disk_gb,2,FALSE),0)," GB")</f>
        <v>0 CPUs : 0 GB : 0 GB</v>
      </c>
      <c r="K77" s="471"/>
      <c r="L77" s="123" t="s">
        <v>2142</v>
      </c>
      <c r="M77" s="66" t="s">
        <v>657</v>
      </c>
      <c r="N77" s="468" t="str">
        <f>CONCATENATE(IF(AND(sizing_w34_gm_chosen&lt;&gt;"Excluded",sizing_w34_gm_chosen&lt;&gt;"Connect Instance"),VLOOKUP(sizing_w34_nsxt_gm_appliance_size,table_nsxt_manager_cpu,2,FALSE),0)," CPUs : ",IF(AND(sizing_w34_gm_chosen&lt;&gt;"Excluded",sizing_w34_gm_chosen&lt;&gt;"Connect Instance"),VLOOKUP(sizing_w34_nsxt_gm_appliance_size,table_nsxt_manager_ram,2,FALSE),0)," GB : ",IF(AND(sizing_w34_gm_chosen&lt;&gt;"Excluded",sizing_w34_gm_chosen&lt;&gt;"Connect Instance"),VLOOKUP(sizing_w34_nsxt_gm_appliance_size,table_nsxt_manager_disk_gb,2,FALSE),0)," GB")</f>
        <v>0 CPUs : 0 GB : 0 GB</v>
      </c>
      <c r="O77" s="469"/>
      <c r="P77" s="123" t="s">
        <v>13</v>
      </c>
      <c r="Q77" s="432" t="str">
        <f>(CONCATENATE(IF(AND(sizing_w34_chosen="Included",sizing_w34_spr_chosen="Include"),VLOOKUP(input_wld_srm_vm_size,table_srm_cpu,2,FALSE),0)," CPUs :",IF(AND(sizing_w34_chosen="Included",sizing_w34_spr_chosen="Include"),VLOOKUP(input_wld_srm_vm_size,table_srm_ram,2,FALSE),0)," GB : ",IF(AND(sizing_w34_chosen="Included",sizing_w34_spr_chosen="Include"),VLOOKUP(input_wld_srm_vm_size,table_srm_disk,2,FALSE),0)," GB"))</f>
        <v>0 CPUs :0 GB : 0 GB</v>
      </c>
      <c r="R77" s="432"/>
      <c r="S77" s="123" t="s">
        <v>2142</v>
      </c>
      <c r="T77" s="432" t="str">
        <f>CONCATENATE(IF(AND(sizing_w34_chosen="Included",sizing_w34_avi_appliance_size&lt;&gt;"Excluded"),VLOOKUP(sizing_w34_avi_appliance_size,table_avi_lb_cpu,2,FALSE),0), " CPUs : ",IF(AND(sizing_w34_chosen="Included",sizing_w34_avi_appliance_size&lt;&gt;"Excluded"),VLOOKUP(sizing_w34_avi_appliance_size,table_avi_lb_ram,2,FALSE),0), " GB : ",IF(AND(sizing_w34_chosen="Included",sizing_w34_avi_appliance_size&lt;&gt;"Excluded"),VLOOKUP(sizing_w34_avi_appliance_size,table_avi_lb_disk,2,FALSE),0)," GB")</f>
        <v>0 CPUs : 0 GB : 0 GB</v>
      </c>
      <c r="U77" s="445"/>
      <c r="V77" s="66" t="s">
        <v>2142</v>
      </c>
      <c r="W77" s="8" t="str">
        <f>CONCATENATE(
IF(AND(sizing_w34_ssp_chosen&lt;&gt;"Excluded",sizing_w34_ssp_chosen&lt;&gt;"Deployed in WLD"),VLOOKUP(sizing_w34_ssp_chosen,table_ssp_cpu,2,FALSE),0)," CPUs : ",
IF(AND(sizing_w34_ssp_chosen&lt;&gt;"Excluded",sizing_w34_ssp_chosen&lt;&gt;"Deployed in WLD"),VLOOKUP(sizing_w34_ssp_chosen,table_ssp_ram,2,FALSE),0), " GB : ",
IF(AND(sizing_w34_ssp_chosen&lt;&gt;"Excluded",sizing_w34_ssp_chosen&lt;&gt;"Deployed in WLD"),VLOOKUP(sizing_w34_ssp_chosen,table_ssp_disk,2,FALSE),0)," GB")</f>
        <v>0 CPUs : 0 GB : 0 GB</v>
      </c>
      <c r="X77" s="454" t="str">
        <f>IF(sizing_w34_chosen="Included",CONCATENATE("vCenter:",VLOOKUP(sizing_w34_vcenter_appliance_size,vcenter_sizing_limits,2,FALSE)," | NSX LM ",VLOOKUP(sizing_w34_nsxt_appliance_size,nsx_sizing_limits,2,FALSE)),"")</f>
        <v/>
      </c>
      <c r="Y77" s="455"/>
      <c r="Z77" s="455"/>
      <c r="AA77" s="455"/>
      <c r="AB77" s="456"/>
    </row>
    <row r="78" spans="1:28" ht="20" customHeight="1" x14ac:dyDescent="0.2">
      <c r="B78" s="26" t="s">
        <v>4156</v>
      </c>
      <c r="C78" s="139" t="s">
        <v>2142</v>
      </c>
      <c r="D78" s="137" t="s">
        <v>92</v>
      </c>
      <c r="E78" s="121" t="str">
        <f>CONCATENATE(IF(sizing_w35_chosen="Included",VLOOKUP(sizing_w35_vcenter_appliance_size,table_vcenter_appliance_cpu,2,FALSE),0)," CPUs ",": ",IF(sizing_w35_chosen="Included",VLOOKUP(sizing_w35_vcenter_appliance_size,table_vcenter_appliance_ram,2,FALSE),0)," GB")</f>
        <v>0 CPUs : 0 GB</v>
      </c>
      <c r="F78" s="137" t="s">
        <v>745</v>
      </c>
      <c r="G78" s="121" t="str">
        <f>CONCATENATE(IF(sizing_w35_chosen="Included",VLOOKUP(CONCATENATE(sizing_w35_vcenter_appliance_size,sizing_w35_vcenter_storage_size),table_vcenter_disk_gb,2,FALSE),0)," GB")</f>
        <v>0 GB</v>
      </c>
      <c r="H78" s="137" t="s">
        <v>2277</v>
      </c>
      <c r="I78" s="137" t="s">
        <v>92</v>
      </c>
      <c r="J78" s="470" t="str">
        <f>CONCATENATE(IF(AND(sizing_w35_chosen="Included",sizing_w35_nsxt_model&lt;&gt;"Shared"),VLOOKUP(sizing_w35_nsxt_appliance_size,table_nsxt_manager_cpu,2,FALSE),0)," CPUs : ",IF(AND(sizing_w35_chosen="Included",sizing_w35_nsxt_model&lt;&gt;"Shared"),VLOOKUP(sizing_w35_nsxt_appliance_size,table_nsxt_manager_ram,2,FALSE),0), " GB : ",IF(AND(sizing_w35_chosen="Included",sizing_w35_nsxt_model&lt;&gt;"Shared"),VLOOKUP(sizing_w35_nsxt_appliance_size,table_nsxt_manager_disk_gb,2,FALSE),0)," GB")</f>
        <v>0 CPUs : 0 GB : 0 GB</v>
      </c>
      <c r="K78" s="471"/>
      <c r="L78" s="123" t="s">
        <v>2142</v>
      </c>
      <c r="M78" s="66" t="s">
        <v>657</v>
      </c>
      <c r="N78" s="468" t="str">
        <f>CONCATENATE(IF(AND(sizing_w35_gm_chosen&lt;&gt;"Excluded",sizing_w35_gm_chosen&lt;&gt;"Connect Instance"),VLOOKUP(sizing_w35_nsxt_gm_appliance_size,table_nsxt_manager_cpu,2,FALSE),0)," CPUs : ",IF(AND(sizing_w35_gm_chosen&lt;&gt;"Excluded",sizing_w35_gm_chosen&lt;&gt;"Connect Instance"),VLOOKUP(sizing_w35_nsxt_gm_appliance_size,table_nsxt_manager_ram,2,FALSE),0)," GB : ",IF(AND(sizing_w35_gm_chosen&lt;&gt;"Excluded",sizing_w35_gm_chosen&lt;&gt;"Connect Instance"),VLOOKUP(sizing_w35_nsxt_gm_appliance_size,table_nsxt_manager_disk_gb,2,FALSE),0)," GB")</f>
        <v>0 CPUs : 0 GB : 0 GB</v>
      </c>
      <c r="O78" s="469"/>
      <c r="P78" s="123" t="s">
        <v>13</v>
      </c>
      <c r="Q78" s="432" t="str">
        <f>(CONCATENATE(IF(AND(sizing_w35_chosen="Included",sizing_w35_spr_chosen="Include"),VLOOKUP(input_wld_srm_vm_size,table_srm_cpu,2,FALSE),0)," CPUs :",IF(AND(sizing_w35_chosen="Included",sizing_w35_spr_chosen="Include"),VLOOKUP(input_wld_srm_vm_size,table_srm_ram,2,FALSE),0)," GB : ",IF(AND(sizing_w35_chosen="Included",sizing_w35_spr_chosen="Include"),VLOOKUP(input_wld_srm_vm_size,table_srm_disk,2,FALSE),0)," GB"))</f>
        <v>0 CPUs :0 GB : 0 GB</v>
      </c>
      <c r="R78" s="432"/>
      <c r="S78" s="123" t="s">
        <v>2142</v>
      </c>
      <c r="T78" s="432" t="str">
        <f>CONCATENATE(IF(AND(sizing_w35_chosen="Included",sizing_w35_avi_appliance_size&lt;&gt;"Excluded"),VLOOKUP(sizing_w35_avi_appliance_size,table_avi_lb_cpu,2,FALSE),0), " CPUs : ",IF(AND(sizing_w35_chosen="Included",sizing_w35_avi_appliance_size&lt;&gt;"Excluded"),VLOOKUP(sizing_w35_avi_appliance_size,table_avi_lb_ram,2,FALSE),0), " GB : ",IF(AND(sizing_w35_chosen="Included",sizing_w35_avi_appliance_size&lt;&gt;"Excluded"),VLOOKUP(sizing_w35_avi_appliance_size,table_avi_lb_disk,2,FALSE),0)," GB")</f>
        <v>0 CPUs : 0 GB : 0 GB</v>
      </c>
      <c r="U78" s="445"/>
      <c r="V78" s="66" t="s">
        <v>2142</v>
      </c>
      <c r="W78" s="8" t="str">
        <f>CONCATENATE(
IF(AND(sizing_w35_ssp_chosen&lt;&gt;"Excluded",sizing_w35_ssp_chosen&lt;&gt;"Deployed in WLD"),VLOOKUP(sizing_w35_ssp_chosen,table_ssp_cpu,2,FALSE),0)," CPUs : ",
IF(AND(sizing_w35_ssp_chosen&lt;&gt;"Excluded",sizing_w35_ssp_chosen&lt;&gt;"Deployed in WLD"),VLOOKUP(sizing_w35_ssp_chosen,table_ssp_ram,2,FALSE),0), " GB : ",
IF(AND(sizing_w35_ssp_chosen&lt;&gt;"Excluded",sizing_w35_ssp_chosen&lt;&gt;"Deployed in WLD"),VLOOKUP(sizing_w35_ssp_chosen,table_ssp_disk,2,FALSE),0)," GB")</f>
        <v>0 CPUs : 0 GB : 0 GB</v>
      </c>
      <c r="X78" s="454" t="str">
        <f>IF(sizing_w35_chosen="Included",CONCATENATE("vCenter:",VLOOKUP(sizing_w35_vcenter_appliance_size,vcenter_sizing_limits,2,FALSE)," | NSX LM ",VLOOKUP(sizing_w35_nsxt_appliance_size,nsx_sizing_limits,2,FALSE)),"")</f>
        <v/>
      </c>
      <c r="Y78" s="455"/>
      <c r="Z78" s="455"/>
      <c r="AA78" s="455"/>
      <c r="AB78" s="456"/>
    </row>
    <row r="79" spans="1:28" ht="20" customHeight="1" x14ac:dyDescent="0.2"/>
    <row r="80" spans="1:28" ht="34" customHeight="1" x14ac:dyDescent="0.2">
      <c r="A80" s="7"/>
      <c r="B80" s="502" t="s">
        <v>3984</v>
      </c>
      <c r="C80" s="480"/>
      <c r="D80" s="480"/>
      <c r="E80" s="480"/>
      <c r="F80" s="480"/>
      <c r="G80" s="480"/>
      <c r="H80" s="480"/>
      <c r="I80" s="480"/>
      <c r="J80" s="480"/>
      <c r="K80" s="480"/>
      <c r="L80" s="480"/>
      <c r="M80" s="480"/>
      <c r="N80" s="480"/>
      <c r="O80" s="480"/>
      <c r="P80" s="480"/>
      <c r="Q80" s="480"/>
      <c r="R80" s="516"/>
      <c r="S80" s="7"/>
      <c r="T80" s="7"/>
      <c r="U80" s="7"/>
      <c r="V80" s="7"/>
      <c r="W80" s="7"/>
      <c r="X80" s="7"/>
      <c r="Y80" s="7"/>
      <c r="Z80" s="7"/>
      <c r="AA80" s="7"/>
    </row>
    <row r="81" spans="1:27" ht="20" customHeight="1" x14ac:dyDescent="0.2">
      <c r="A81" s="7"/>
      <c r="B81" s="472" t="s">
        <v>9</v>
      </c>
      <c r="C81" s="476"/>
      <c r="D81" s="473"/>
      <c r="E81" s="472" t="s">
        <v>10</v>
      </c>
      <c r="F81" s="476"/>
      <c r="G81" s="476"/>
      <c r="H81" s="473"/>
      <c r="I81" s="63" t="s">
        <v>1621</v>
      </c>
      <c r="J81" s="472" t="s">
        <v>12</v>
      </c>
      <c r="K81" s="476"/>
      <c r="L81" s="476"/>
      <c r="M81" s="476"/>
      <c r="N81" s="476"/>
      <c r="O81" s="476"/>
      <c r="P81" s="476"/>
      <c r="Q81" s="476"/>
      <c r="R81" s="473"/>
      <c r="S81" s="7"/>
      <c r="T81" s="7"/>
      <c r="U81" s="7"/>
      <c r="W81" s="7"/>
      <c r="X81" s="7"/>
      <c r="Y81" s="7"/>
      <c r="Z81" s="7"/>
      <c r="AA81" s="7"/>
    </row>
    <row r="82" spans="1:27" ht="20" customHeight="1" x14ac:dyDescent="0.2">
      <c r="A82" s="7"/>
      <c r="B82" s="506" t="s">
        <v>13</v>
      </c>
      <c r="C82" s="507"/>
      <c r="D82" s="508"/>
      <c r="E82" s="512" t="s">
        <v>3548</v>
      </c>
      <c r="F82" s="512"/>
      <c r="G82" s="512"/>
      <c r="H82" s="512"/>
      <c r="I82" s="140" t="str">
        <f>IF(spr_chosen="Management &amp; Workload","Included",IF(spr_chosen="Management Only","Included",IF(spr_chosen="Workload Only","Included","Excluded")))</f>
        <v>Excluded</v>
      </c>
      <c r="J82" s="509" t="str">
        <f>IF(spr_result="Excluded","Cause: Not Selected. Site Protection and Disaster Recovery will not be deployed",IF(spr_chosen="Management Only","Site Protection and Disaster Recovery will be deployed in the Management Workload Domain",IF(spr_chosen="Management &amp; Workload","Site Protection and Disaster Recovery will be deployed in the Management Workload Domain and selected Workload Domains",IF(spr_chosen="Workload Only","Site Protection and Disaster Recovery will be in selected Workload Domains",""))))</f>
        <v>Cause: Not Selected. Site Protection and Disaster Recovery will not be deployed</v>
      </c>
      <c r="K82" s="510"/>
      <c r="L82" s="510"/>
      <c r="M82" s="510"/>
      <c r="N82" s="510"/>
      <c r="O82" s="510"/>
      <c r="P82" s="510"/>
      <c r="Q82" s="510"/>
      <c r="R82" s="511"/>
      <c r="S82" s="7"/>
      <c r="T82" s="7"/>
      <c r="U82" s="7"/>
      <c r="V82" s="7"/>
      <c r="W82" s="7"/>
      <c r="X82" s="7"/>
      <c r="Y82" s="7"/>
    </row>
    <row r="83" spans="1:27" ht="20" hidden="1" customHeight="1" x14ac:dyDescent="0.2">
      <c r="A83" s="7"/>
      <c r="B83" s="506" t="s">
        <v>13</v>
      </c>
      <c r="C83" s="507"/>
      <c r="D83" s="508"/>
      <c r="E83" s="512" t="s">
        <v>3549</v>
      </c>
      <c r="F83" s="512"/>
      <c r="G83" s="512"/>
      <c r="H83" s="512"/>
      <c r="I83" s="140" t="str">
        <f>IF(rwr_chosen="Exclude","Excluded","Included")</f>
        <v>Excluded</v>
      </c>
      <c r="J83" s="509" t="str">
        <f>IF(rwr_chosen="Exclude","Cause: Not Selected. On Premise Ransomware Recovery will not be deployed","On Premise Ransomware Recovery will be deployed")</f>
        <v>Cause: Not Selected. On Premise Ransomware Recovery will not be deployed</v>
      </c>
      <c r="K83" s="510"/>
      <c r="L83" s="510"/>
      <c r="M83" s="510"/>
      <c r="N83" s="510"/>
      <c r="O83" s="510"/>
      <c r="P83" s="510"/>
      <c r="Q83" s="510"/>
      <c r="R83" s="511"/>
      <c r="S83" s="7"/>
      <c r="T83" s="7"/>
      <c r="U83" s="7"/>
      <c r="V83" s="7"/>
      <c r="W83" s="7"/>
      <c r="X83" s="7"/>
      <c r="Y83" s="7"/>
    </row>
    <row r="84" spans="1:27" ht="20" customHeight="1" x14ac:dyDescent="0.2"/>
    <row r="85" spans="1:27" ht="34" customHeight="1" x14ac:dyDescent="0.2">
      <c r="B85" s="427" t="s">
        <v>3983</v>
      </c>
      <c r="C85" s="428"/>
      <c r="D85" s="428"/>
      <c r="E85" s="428"/>
      <c r="F85" s="428"/>
      <c r="G85" s="428"/>
      <c r="H85" s="428"/>
      <c r="I85" s="429"/>
      <c r="J85" s="117"/>
      <c r="K85" s="117"/>
      <c r="L85" s="117"/>
      <c r="M85" s="117"/>
      <c r="N85" s="117"/>
      <c r="O85" s="117"/>
      <c r="P85" s="117"/>
      <c r="Q85" s="117"/>
      <c r="R85" s="117"/>
    </row>
    <row r="86" spans="1:27" ht="20" customHeight="1" x14ac:dyDescent="0.2">
      <c r="B86" s="472" t="s">
        <v>254</v>
      </c>
      <c r="C86" s="476"/>
      <c r="D86" s="476"/>
      <c r="E86" s="473"/>
      <c r="F86" s="119" t="s">
        <v>1043</v>
      </c>
      <c r="G86" s="130" t="s">
        <v>3475</v>
      </c>
      <c r="H86" s="130" t="s">
        <v>3476</v>
      </c>
      <c r="I86" s="130" t="s">
        <v>3550</v>
      </c>
      <c r="J86" s="130" t="s">
        <v>3551</v>
      </c>
      <c r="K86" s="504" t="s">
        <v>21</v>
      </c>
      <c r="L86" s="481"/>
      <c r="M86" s="481"/>
      <c r="N86" s="481"/>
      <c r="O86" s="481"/>
      <c r="P86" s="481"/>
      <c r="Q86" s="481"/>
      <c r="R86" s="482"/>
    </row>
    <row r="87" spans="1:27" ht="20" customHeight="1" x14ac:dyDescent="0.2">
      <c r="B87" s="421" t="s">
        <v>3548</v>
      </c>
      <c r="C87" s="422"/>
      <c r="D87" s="422"/>
      <c r="E87" s="422"/>
      <c r="F87" s="422"/>
      <c r="G87" s="422"/>
      <c r="H87" s="422"/>
      <c r="I87" s="422"/>
      <c r="J87" s="422"/>
      <c r="K87" s="422"/>
      <c r="L87" s="422"/>
      <c r="M87" s="422"/>
      <c r="N87" s="422"/>
      <c r="O87" s="422"/>
      <c r="P87" s="422"/>
      <c r="Q87" s="422"/>
      <c r="R87" s="423"/>
    </row>
    <row r="88" spans="1:27" ht="20" customHeight="1" x14ac:dyDescent="0.2">
      <c r="B88" s="454" t="s">
        <v>3552</v>
      </c>
      <c r="C88" s="455"/>
      <c r="D88" s="455"/>
      <c r="E88" s="456"/>
      <c r="F88" s="8" t="s">
        <v>525</v>
      </c>
      <c r="G88" s="26">
        <f>IF(OR(spr_mo_result="True",spr_mw_result="True"),1,0)</f>
        <v>0</v>
      </c>
      <c r="H88" s="26">
        <f>IF(OR(spr_mo_result="True",spr_mw_result="True"),VLOOKUP(input_mgmt_srm_vm_size,table_srm_cpu,2,FALSE),0)</f>
        <v>0</v>
      </c>
      <c r="I88" s="26">
        <f>IF(OR(spr_mo_result="True",spr_mw_result="True"),VLOOKUP(input_mgmt_srm_vm_size,table_srm_ram,2,FALSE),0)</f>
        <v>0</v>
      </c>
      <c r="J88" s="26">
        <f>IF(OR(spr_mo_result="True",spr_mw_result="True"),VLOOKUP(input_mgmt_srm_vm_size,table_srm_disk,2,FALSE),0)</f>
        <v>0</v>
      </c>
      <c r="K88" s="445" t="s">
        <v>3553</v>
      </c>
      <c r="L88" s="479"/>
      <c r="M88" s="479"/>
      <c r="N88" s="479"/>
      <c r="O88" s="479"/>
      <c r="P88" s="479"/>
      <c r="Q88" s="479"/>
      <c r="R88" s="446"/>
    </row>
    <row r="89" spans="1:27" ht="20" customHeight="1" x14ac:dyDescent="0.2">
      <c r="B89" s="454" t="s">
        <v>3989</v>
      </c>
      <c r="C89" s="455"/>
      <c r="D89" s="455"/>
      <c r="E89" s="456"/>
      <c r="F89" s="8" t="s">
        <v>525</v>
      </c>
      <c r="G89" s="26">
        <f>IF(spr_chosen="Management Only","0",COUNTIF(P44:P78,"Include"))</f>
        <v>0</v>
      </c>
      <c r="H89" s="26">
        <f>IF(OR(spr_wo_result="True",spr_mw_result="True"),VLOOKUP(input_wld_srm_vm_size,table_srm_cpu,2,FALSE),0)</f>
        <v>0</v>
      </c>
      <c r="I89" s="26">
        <f>IF(OR(spr_wo_result="True",spr_mw_result="True"),VLOOKUP(input_wld_srm_vm_size,table_srm_ram,2,FALSE),0)</f>
        <v>0</v>
      </c>
      <c r="J89" s="26">
        <f>IF(OR(spr_wo_result="True",spr_mw_result="True"),VLOOKUP(input_wld_srm_vm_size,table_srm_disk,2,FALSE),0)</f>
        <v>0</v>
      </c>
      <c r="K89" s="445" t="str">
        <f>IF(OR(spr_chosen="Management &amp; Workload",spr_chosen="Workload Only"),"Include Or Exclude Site Protection Disaster Recovery on each Workload Domain where required - Starting at Row 35  Column P","No sizing optionality for the appliance")</f>
        <v>No sizing optionality for the appliance</v>
      </c>
      <c r="L89" s="479"/>
      <c r="M89" s="479"/>
      <c r="N89" s="479"/>
      <c r="O89" s="479"/>
      <c r="P89" s="479"/>
      <c r="Q89" s="479"/>
      <c r="R89" s="446"/>
    </row>
    <row r="90" spans="1:27" ht="20" hidden="1" customHeight="1" x14ac:dyDescent="0.2">
      <c r="B90" s="513" t="s">
        <v>3554</v>
      </c>
      <c r="C90" s="514"/>
      <c r="D90" s="514"/>
      <c r="E90" s="514"/>
      <c r="F90" s="514"/>
      <c r="G90" s="514"/>
      <c r="H90" s="514"/>
      <c r="I90" s="514"/>
      <c r="J90" s="514"/>
      <c r="K90" s="514"/>
      <c r="L90" s="514"/>
      <c r="M90" s="514"/>
      <c r="N90" s="514"/>
      <c r="O90" s="514"/>
      <c r="P90" s="514"/>
      <c r="Q90" s="514"/>
      <c r="R90" s="515"/>
    </row>
    <row r="91" spans="1:27" ht="20" hidden="1" customHeight="1" x14ac:dyDescent="0.2">
      <c r="B91" s="454" t="s">
        <v>3555</v>
      </c>
      <c r="C91" s="455"/>
      <c r="D91" s="455"/>
      <c r="E91" s="456"/>
      <c r="F91" s="8" t="s">
        <v>525</v>
      </c>
      <c r="G91" s="26">
        <f>IF(rwr_result="Excluded",0,1)</f>
        <v>0</v>
      </c>
      <c r="H91" s="26">
        <f>IF(rwr_result="Excluded",0,8)</f>
        <v>0</v>
      </c>
      <c r="I91" s="26">
        <f>IF(rwr_result="Excluded",0,24)</f>
        <v>0</v>
      </c>
      <c r="J91" s="26">
        <f>IF(rwr_result="Excluded",0,800)</f>
        <v>0</v>
      </c>
      <c r="K91" s="445" t="s">
        <v>3553</v>
      </c>
      <c r="L91" s="479"/>
      <c r="M91" s="479"/>
      <c r="N91" s="479"/>
      <c r="O91" s="479"/>
      <c r="P91" s="479"/>
      <c r="Q91" s="479"/>
      <c r="R91" s="446"/>
    </row>
    <row r="92" spans="1:27" ht="20" customHeight="1" x14ac:dyDescent="0.2">
      <c r="E92" s="477" t="s">
        <v>3506</v>
      </c>
      <c r="F92" s="478"/>
      <c r="G92" s="4">
        <f>SUM(G88:G89,,G91)</f>
        <v>0</v>
      </c>
      <c r="H92" s="4" t="str">
        <f>CONCATENATE(SUMPRODUCT('Management Domain Sizing'!$G$88:$G$91,'Management Domain Sizing'!H88:H91)," CPUs")</f>
        <v>0 CPUs</v>
      </c>
      <c r="I92" s="4" t="str">
        <f>CONCATENATE(SUMPRODUCT('Management Domain Sizing'!$G$88:$G$91,'Management Domain Sizing'!I88:I91)," GB")</f>
        <v>0 GB</v>
      </c>
      <c r="J92" s="4" t="str">
        <f>CONCATENATE(SUMPRODUCT('Management Domain Sizing'!$G$88:$G$91,'Management Domain Sizing'!J88:J91)," GB")</f>
        <v>0 GB</v>
      </c>
    </row>
    <row r="93" spans="1:27" ht="20" customHeight="1" x14ac:dyDescent="0.2"/>
    <row r="94" spans="1:27" ht="20" customHeight="1" x14ac:dyDescent="0.2"/>
    <row r="95" spans="1:27" ht="20" customHeight="1" x14ac:dyDescent="0.2">
      <c r="H95" s="2"/>
      <c r="J95" s="3"/>
      <c r="K95" s="3"/>
    </row>
    <row r="96" spans="1:27" ht="20" customHeight="1" x14ac:dyDescent="0.2">
      <c r="H96" s="2"/>
      <c r="J96" s="3"/>
      <c r="K96" s="3"/>
    </row>
    <row r="97" spans="3:22" ht="20" customHeight="1" x14ac:dyDescent="0.2">
      <c r="H97" s="2"/>
      <c r="J97" s="3"/>
      <c r="K97" s="3"/>
    </row>
    <row r="98" spans="3:22" x14ac:dyDescent="0.2">
      <c r="H98" s="2"/>
      <c r="J98" s="3"/>
      <c r="K98" s="3"/>
    </row>
    <row r="99" spans="3:22" x14ac:dyDescent="0.2">
      <c r="H99" s="2"/>
      <c r="J99" s="3"/>
      <c r="K99" s="3"/>
    </row>
    <row r="100" spans="3:22" x14ac:dyDescent="0.2">
      <c r="C100" s="1"/>
    </row>
    <row r="110" spans="3:22" x14ac:dyDescent="0.2">
      <c r="V110" s="32"/>
    </row>
    <row r="111" spans="3:22" x14ac:dyDescent="0.2">
      <c r="V111" s="32"/>
    </row>
    <row r="112" spans="3:22" x14ac:dyDescent="0.2">
      <c r="V112" s="32"/>
    </row>
    <row r="113" spans="22:22" x14ac:dyDescent="0.2">
      <c r="V113" s="32"/>
    </row>
    <row r="114" spans="22:22" x14ac:dyDescent="0.2">
      <c r="V114" s="32"/>
    </row>
    <row r="115" spans="22:22" x14ac:dyDescent="0.2">
      <c r="V115" s="32"/>
    </row>
  </sheetData>
  <sheetProtection algorithmName="SHA-512" hashValue="OIm9piA0Pai/EJwEaIkvaNwqBdF8pyOwb1Ysl8YuYo+hLuaqUN/e0Pm5Mof0ZkFHR2QYTWURBrPUB4P+BXNi7Q==" saltValue="5JUmmurcMJByHNhzPL4eXw==" spinCount="100000" sheet="1" selectLockedCells="1"/>
  <dataConsolidate/>
  <mergeCells count="287">
    <mergeCell ref="X77:AB77"/>
    <mergeCell ref="X78:AB78"/>
    <mergeCell ref="X68:AB68"/>
    <mergeCell ref="X69:AB69"/>
    <mergeCell ref="X70:AB70"/>
    <mergeCell ref="X71:AB71"/>
    <mergeCell ref="X72:AB72"/>
    <mergeCell ref="X73:AB73"/>
    <mergeCell ref="X74:AB74"/>
    <mergeCell ref="X75:AB75"/>
    <mergeCell ref="X76:AB76"/>
    <mergeCell ref="T77:U77"/>
    <mergeCell ref="T78:U78"/>
    <mergeCell ref="Q68:R68"/>
    <mergeCell ref="Q69:R69"/>
    <mergeCell ref="Q70:R70"/>
    <mergeCell ref="Q71:R71"/>
    <mergeCell ref="Q72:R72"/>
    <mergeCell ref="Q73:R73"/>
    <mergeCell ref="Q74:R74"/>
    <mergeCell ref="Q75:R75"/>
    <mergeCell ref="Q76:R76"/>
    <mergeCell ref="T68:U68"/>
    <mergeCell ref="T69:U69"/>
    <mergeCell ref="T70:U70"/>
    <mergeCell ref="T71:U71"/>
    <mergeCell ref="T72:U72"/>
    <mergeCell ref="T73:U73"/>
    <mergeCell ref="T74:U74"/>
    <mergeCell ref="T75:U75"/>
    <mergeCell ref="T76:U76"/>
    <mergeCell ref="Q77:R77"/>
    <mergeCell ref="Q78:R78"/>
    <mergeCell ref="Q64:R64"/>
    <mergeCell ref="J76:K76"/>
    <mergeCell ref="J77:K77"/>
    <mergeCell ref="Q65:R65"/>
    <mergeCell ref="N63:O63"/>
    <mergeCell ref="J65:K65"/>
    <mergeCell ref="N66:O66"/>
    <mergeCell ref="J63:K63"/>
    <mergeCell ref="Q56:R56"/>
    <mergeCell ref="Q57:R57"/>
    <mergeCell ref="J78:K78"/>
    <mergeCell ref="N68:O68"/>
    <mergeCell ref="N69:O69"/>
    <mergeCell ref="N70:O70"/>
    <mergeCell ref="N71:O71"/>
    <mergeCell ref="N72:O72"/>
    <mergeCell ref="N73:O73"/>
    <mergeCell ref="N74:O74"/>
    <mergeCell ref="N75:O75"/>
    <mergeCell ref="N76:O76"/>
    <mergeCell ref="N77:O77"/>
    <mergeCell ref="N78:O78"/>
    <mergeCell ref="X52:AB52"/>
    <mergeCell ref="X53:AB53"/>
    <mergeCell ref="X54:AB54"/>
    <mergeCell ref="Q48:R48"/>
    <mergeCell ref="Q49:R49"/>
    <mergeCell ref="Q50:R50"/>
    <mergeCell ref="Q51:R51"/>
    <mergeCell ref="T51:U51"/>
    <mergeCell ref="X48:AB48"/>
    <mergeCell ref="X49:AB49"/>
    <mergeCell ref="X50:AB50"/>
    <mergeCell ref="T48:U48"/>
    <mergeCell ref="T49:U49"/>
    <mergeCell ref="T54:U54"/>
    <mergeCell ref="Q53:R53"/>
    <mergeCell ref="Q54:R54"/>
    <mergeCell ref="T53:U53"/>
    <mergeCell ref="B90:R90"/>
    <mergeCell ref="K89:R89"/>
    <mergeCell ref="K88:R88"/>
    <mergeCell ref="K86:R86"/>
    <mergeCell ref="B80:R80"/>
    <mergeCell ref="T65:U65"/>
    <mergeCell ref="X67:AB67"/>
    <mergeCell ref="X66:AB66"/>
    <mergeCell ref="X65:AB65"/>
    <mergeCell ref="B83:D83"/>
    <mergeCell ref="J66:K66"/>
    <mergeCell ref="N65:O65"/>
    <mergeCell ref="N67:O67"/>
    <mergeCell ref="T67:U67"/>
    <mergeCell ref="T66:U66"/>
    <mergeCell ref="B85:I85"/>
    <mergeCell ref="J68:K68"/>
    <mergeCell ref="J69:K69"/>
    <mergeCell ref="J70:K70"/>
    <mergeCell ref="J71:K71"/>
    <mergeCell ref="J72:K72"/>
    <mergeCell ref="J73:K73"/>
    <mergeCell ref="J74:K74"/>
    <mergeCell ref="J75:K75"/>
    <mergeCell ref="E92:F92"/>
    <mergeCell ref="B87:R87"/>
    <mergeCell ref="N58:O58"/>
    <mergeCell ref="N59:O59"/>
    <mergeCell ref="N60:O60"/>
    <mergeCell ref="N61:O61"/>
    <mergeCell ref="N62:O62"/>
    <mergeCell ref="B82:D82"/>
    <mergeCell ref="B81:D81"/>
    <mergeCell ref="E81:H81"/>
    <mergeCell ref="J82:R82"/>
    <mergeCell ref="J67:K67"/>
    <mergeCell ref="E83:H83"/>
    <mergeCell ref="E82:H82"/>
    <mergeCell ref="J81:R81"/>
    <mergeCell ref="B89:E89"/>
    <mergeCell ref="B88:E88"/>
    <mergeCell ref="B91:E91"/>
    <mergeCell ref="B86:E86"/>
    <mergeCell ref="Q66:R66"/>
    <mergeCell ref="Q67:R67"/>
    <mergeCell ref="Q60:R60"/>
    <mergeCell ref="K91:R91"/>
    <mergeCell ref="J83:R83"/>
    <mergeCell ref="N47:O47"/>
    <mergeCell ref="J56:K56"/>
    <mergeCell ref="J62:K62"/>
    <mergeCell ref="J59:K59"/>
    <mergeCell ref="J60:K60"/>
    <mergeCell ref="J57:K57"/>
    <mergeCell ref="N55:O55"/>
    <mergeCell ref="J58:K58"/>
    <mergeCell ref="N56:O56"/>
    <mergeCell ref="N57:O57"/>
    <mergeCell ref="J55:K55"/>
    <mergeCell ref="J53:K53"/>
    <mergeCell ref="J54:K54"/>
    <mergeCell ref="J48:K48"/>
    <mergeCell ref="J51:K51"/>
    <mergeCell ref="J52:K52"/>
    <mergeCell ref="J49:K49"/>
    <mergeCell ref="J61:K61"/>
    <mergeCell ref="N48:O48"/>
    <mergeCell ref="N49:O49"/>
    <mergeCell ref="N50:O50"/>
    <mergeCell ref="N51:O51"/>
    <mergeCell ref="N52:O52"/>
    <mergeCell ref="N53:O53"/>
    <mergeCell ref="X61:AB61"/>
    <mergeCell ref="X62:AB62"/>
    <mergeCell ref="X63:AB63"/>
    <mergeCell ref="Q62:R62"/>
    <mergeCell ref="X55:AB55"/>
    <mergeCell ref="X64:AB64"/>
    <mergeCell ref="X57:AB57"/>
    <mergeCell ref="X58:AB58"/>
    <mergeCell ref="X59:AB59"/>
    <mergeCell ref="X60:AB60"/>
    <mergeCell ref="T56:U56"/>
    <mergeCell ref="T55:U55"/>
    <mergeCell ref="T64:U64"/>
    <mergeCell ref="X56:AB56"/>
    <mergeCell ref="T59:U59"/>
    <mergeCell ref="T62:U62"/>
    <mergeCell ref="T63:U63"/>
    <mergeCell ref="Q58:R58"/>
    <mergeCell ref="Q59:R59"/>
    <mergeCell ref="Q63:R63"/>
    <mergeCell ref="T60:U60"/>
    <mergeCell ref="T61:U61"/>
    <mergeCell ref="Q61:R61"/>
    <mergeCell ref="Q55:R55"/>
    <mergeCell ref="B2:AB2"/>
    <mergeCell ref="G6:M6"/>
    <mergeCell ref="B6:E6"/>
    <mergeCell ref="B7:D7"/>
    <mergeCell ref="G7:I7"/>
    <mergeCell ref="O7:Q7"/>
    <mergeCell ref="R7:S7"/>
    <mergeCell ref="J64:K64"/>
    <mergeCell ref="N64:O64"/>
    <mergeCell ref="T50:U50"/>
    <mergeCell ref="T52:U52"/>
    <mergeCell ref="T57:U57"/>
    <mergeCell ref="T58:U58"/>
    <mergeCell ref="Q52:R52"/>
    <mergeCell ref="N54:O54"/>
    <mergeCell ref="B8:D8"/>
    <mergeCell ref="B9:D9"/>
    <mergeCell ref="B12:D12"/>
    <mergeCell ref="B13:D13"/>
    <mergeCell ref="B18:E18"/>
    <mergeCell ref="B19:D19"/>
    <mergeCell ref="B21:D21"/>
    <mergeCell ref="B11:E11"/>
    <mergeCell ref="X51:AB51"/>
    <mergeCell ref="R9:S9"/>
    <mergeCell ref="D43:E43"/>
    <mergeCell ref="L39:N39"/>
    <mergeCell ref="S43:U43"/>
    <mergeCell ref="T44:U44"/>
    <mergeCell ref="T45:U45"/>
    <mergeCell ref="T46:U46"/>
    <mergeCell ref="J46:K46"/>
    <mergeCell ref="I43:K43"/>
    <mergeCell ref="J44:K44"/>
    <mergeCell ref="R18:S18"/>
    <mergeCell ref="G19:I19"/>
    <mergeCell ref="O27:Q27"/>
    <mergeCell ref="R27:S27"/>
    <mergeCell ref="O29:Q29"/>
    <mergeCell ref="R29:S29"/>
    <mergeCell ref="O25:Q25"/>
    <mergeCell ref="O26:Q26"/>
    <mergeCell ref="R24:S24"/>
    <mergeCell ref="R25:S25"/>
    <mergeCell ref="R26:S26"/>
    <mergeCell ref="O23:S23"/>
    <mergeCell ref="O31:Q31"/>
    <mergeCell ref="O28:Q28"/>
    <mergeCell ref="B3:AB3"/>
    <mergeCell ref="B14:D14"/>
    <mergeCell ref="B15:D15"/>
    <mergeCell ref="B16:D16"/>
    <mergeCell ref="B22:D22"/>
    <mergeCell ref="Q6:S6"/>
    <mergeCell ref="Q44:R44"/>
    <mergeCell ref="Q45:R45"/>
    <mergeCell ref="R13:S13"/>
    <mergeCell ref="G8:I8"/>
    <mergeCell ref="G9:I9"/>
    <mergeCell ref="G10:I10"/>
    <mergeCell ref="O8:Q8"/>
    <mergeCell ref="F43:G43"/>
    <mergeCell ref="R40:T40"/>
    <mergeCell ref="O33:S33"/>
    <mergeCell ref="R20:S20"/>
    <mergeCell ref="R19:S19"/>
    <mergeCell ref="B20:D20"/>
    <mergeCell ref="J45:K45"/>
    <mergeCell ref="N45:O45"/>
    <mergeCell ref="G12:I12"/>
    <mergeCell ref="R8:S8"/>
    <mergeCell ref="O9:Q9"/>
    <mergeCell ref="O30:Q30"/>
    <mergeCell ref="R10:S10"/>
    <mergeCell ref="R17:S17"/>
    <mergeCell ref="G11:I11"/>
    <mergeCell ref="G13:I13"/>
    <mergeCell ref="F39:G39"/>
    <mergeCell ref="N38:AB38"/>
    <mergeCell ref="V40:W40"/>
    <mergeCell ref="R14:S14"/>
    <mergeCell ref="I39:K39"/>
    <mergeCell ref="R21:S21"/>
    <mergeCell ref="J40:K40"/>
    <mergeCell ref="U39:W39"/>
    <mergeCell ref="R15:S15"/>
    <mergeCell ref="R16:S16"/>
    <mergeCell ref="M40:N40"/>
    <mergeCell ref="Q39:T39"/>
    <mergeCell ref="R28:S28"/>
    <mergeCell ref="R30:S30"/>
    <mergeCell ref="O24:Q24"/>
    <mergeCell ref="R31:S31"/>
    <mergeCell ref="O32:Q32"/>
    <mergeCell ref="R32:S32"/>
    <mergeCell ref="B35:D35"/>
    <mergeCell ref="U7:AB36"/>
    <mergeCell ref="Q46:R46"/>
    <mergeCell ref="O10:Q10"/>
    <mergeCell ref="N44:O44"/>
    <mergeCell ref="N46:O46"/>
    <mergeCell ref="J50:K50"/>
    <mergeCell ref="J47:K47"/>
    <mergeCell ref="D39:E39"/>
    <mergeCell ref="R42:AB42"/>
    <mergeCell ref="P43:R43"/>
    <mergeCell ref="B24:D24"/>
    <mergeCell ref="O34:S34"/>
    <mergeCell ref="M43:O43"/>
    <mergeCell ref="T47:U47"/>
    <mergeCell ref="O39:P39"/>
    <mergeCell ref="X43:AB43"/>
    <mergeCell ref="X44:AB44"/>
    <mergeCell ref="X45:AB45"/>
    <mergeCell ref="X46:AB46"/>
    <mergeCell ref="X47:AB47"/>
    <mergeCell ref="V43:W43"/>
    <mergeCell ref="Q47:R47"/>
    <mergeCell ref="X40:AB40"/>
  </mergeCells>
  <phoneticPr fontId="4" type="noConversion"/>
  <conditionalFormatting sqref="B82:C82">
    <cfRule type="expression" dxfId="2896" priority="429">
      <formula>(spr_chosen="Exclude")</formula>
    </cfRule>
    <cfRule type="expression" dxfId="2895" priority="430">
      <formula>AND((spr_chosen&lt;&gt;"Exclude"),(spr_result="Excluded"))</formula>
    </cfRule>
    <cfRule type="expression" dxfId="2894" priority="431">
      <formula>AND((spr_chosen&lt;&gt;"Exclude"),(spr_result="Included"))</formula>
    </cfRule>
  </conditionalFormatting>
  <conditionalFormatting sqref="B83:D83 I83:R83">
    <cfRule type="expression" dxfId="2893" priority="282">
      <formula>(rwr_chosen="Include")</formula>
    </cfRule>
    <cfRule type="expression" dxfId="2892" priority="283">
      <formula>(rwr_chosen="Exclude")</formula>
    </cfRule>
  </conditionalFormatting>
  <conditionalFormatting sqref="C68">
    <cfRule type="expression" dxfId="2891" priority="182">
      <formula>(sizing_w25_chosen="Included")</formula>
    </cfRule>
  </conditionalFormatting>
  <conditionalFormatting sqref="C69">
    <cfRule type="expression" dxfId="2890" priority="174">
      <formula>(sizing_w26_chosen="Included")</formula>
    </cfRule>
  </conditionalFormatting>
  <conditionalFormatting sqref="C70">
    <cfRule type="expression" dxfId="2889" priority="180">
      <formula>(sizing_w27_chosen="Included")</formula>
    </cfRule>
  </conditionalFormatting>
  <conditionalFormatting sqref="C71">
    <cfRule type="expression" dxfId="2888" priority="181">
      <formula>(sizing_w28_chosen="Included")</formula>
    </cfRule>
  </conditionalFormatting>
  <conditionalFormatting sqref="C72">
    <cfRule type="expression" dxfId="2887" priority="179">
      <formula>(sizing_w29_chosen="Included")</formula>
    </cfRule>
  </conditionalFormatting>
  <conditionalFormatting sqref="C73">
    <cfRule type="expression" dxfId="2886" priority="178">
      <formula>(sizing_w30_chosen="Included")</formula>
    </cfRule>
  </conditionalFormatting>
  <conditionalFormatting sqref="C74">
    <cfRule type="expression" dxfId="2885" priority="177">
      <formula>(sizing_w31_chosen="Included")</formula>
    </cfRule>
  </conditionalFormatting>
  <conditionalFormatting sqref="C75">
    <cfRule type="expression" dxfId="2884" priority="176">
      <formula>(sizing_w32_chosen="Included")</formula>
    </cfRule>
  </conditionalFormatting>
  <conditionalFormatting sqref="C76">
    <cfRule type="expression" dxfId="2883" priority="175">
      <formula>(sizing_w33_chosen="Included")</formula>
    </cfRule>
  </conditionalFormatting>
  <conditionalFormatting sqref="C77">
    <cfRule type="expression" dxfId="2882" priority="173">
      <formula>(sizing_w34_chosen="Included")</formula>
    </cfRule>
  </conditionalFormatting>
  <conditionalFormatting sqref="C78">
    <cfRule type="expression" dxfId="2881" priority="172">
      <formula>(sizing_w35_chosen="Included")</formula>
    </cfRule>
  </conditionalFormatting>
  <conditionalFormatting sqref="C48:J48">
    <cfRule type="expression" dxfId="2880" priority="917">
      <formula>(sizing_w05_chosen="Included")</formula>
    </cfRule>
  </conditionalFormatting>
  <conditionalFormatting sqref="C49:J49">
    <cfRule type="expression" dxfId="2879" priority="915">
      <formula>(sizing_w06_chosen="Included")</formula>
    </cfRule>
  </conditionalFormatting>
  <conditionalFormatting sqref="C50:J50">
    <cfRule type="expression" dxfId="2878" priority="913">
      <formula>(sizing_w07_chosen="Included")</formula>
    </cfRule>
  </conditionalFormatting>
  <conditionalFormatting sqref="C51:J51">
    <cfRule type="expression" dxfId="2877" priority="911">
      <formula>(sizing_w08_chosen="Included")</formula>
    </cfRule>
  </conditionalFormatting>
  <conditionalFormatting sqref="C52:J52">
    <cfRule type="expression" dxfId="2876" priority="910">
      <formula>(sizing_w09_chosen="Included")</formula>
    </cfRule>
  </conditionalFormatting>
  <conditionalFormatting sqref="C53:J53">
    <cfRule type="expression" dxfId="2875" priority="909">
      <formula>(sizing_w10_chosen="Included")</formula>
    </cfRule>
  </conditionalFormatting>
  <conditionalFormatting sqref="C54:J54">
    <cfRule type="expression" dxfId="2874" priority="905">
      <formula>(sizing_w11_chosen="Included")</formula>
    </cfRule>
  </conditionalFormatting>
  <conditionalFormatting sqref="C55:J55">
    <cfRule type="expression" dxfId="2873" priority="908">
      <formula>(sizing_w12_chosen="Included")</formula>
    </cfRule>
  </conditionalFormatting>
  <conditionalFormatting sqref="C56:J56">
    <cfRule type="expression" dxfId="2872" priority="907">
      <formula>(sizing_w13_chosen="Included")</formula>
    </cfRule>
  </conditionalFormatting>
  <conditionalFormatting sqref="C57:J57">
    <cfRule type="expression" dxfId="2871" priority="906">
      <formula>(sizing_w14_chosen="Included")</formula>
    </cfRule>
  </conditionalFormatting>
  <conditionalFormatting sqref="C58:J58">
    <cfRule type="expression" dxfId="2870" priority="898">
      <formula>(sizing_w15_chosen="Included")</formula>
    </cfRule>
  </conditionalFormatting>
  <conditionalFormatting sqref="C59:J59">
    <cfRule type="expression" dxfId="2869" priority="902">
      <formula>(sizing_w16_chosen="Included")</formula>
    </cfRule>
  </conditionalFormatting>
  <conditionalFormatting sqref="C60:J60">
    <cfRule type="expression" dxfId="2868" priority="901">
      <formula>(sizing_w17_chosen="Included")</formula>
    </cfRule>
  </conditionalFormatting>
  <conditionalFormatting sqref="C61:J61">
    <cfRule type="expression" dxfId="2867" priority="899">
      <formula>(sizing_w18_chosen="Included")</formula>
    </cfRule>
  </conditionalFormatting>
  <conditionalFormatting sqref="C62:J62">
    <cfRule type="expression" dxfId="2866" priority="897">
      <formula>(sizing_w19_chosen="Included")</formula>
    </cfRule>
  </conditionalFormatting>
  <conditionalFormatting sqref="C63:J63">
    <cfRule type="expression" dxfId="2865" priority="895">
      <formula>(sizing_w20_chosen="Included")</formula>
    </cfRule>
  </conditionalFormatting>
  <conditionalFormatting sqref="C64:J64">
    <cfRule type="expression" dxfId="2864" priority="892">
      <formula>(sizing_w21_chosen="Included")</formula>
    </cfRule>
  </conditionalFormatting>
  <conditionalFormatting sqref="C65:J65">
    <cfRule type="expression" dxfId="2863" priority="890">
      <formula>(sizing_w22_chosen="Included")</formula>
    </cfRule>
  </conditionalFormatting>
  <conditionalFormatting sqref="C66:J66">
    <cfRule type="expression" dxfId="2862" priority="780">
      <formula>(sizing_w23_chosen="Included")</formula>
    </cfRule>
  </conditionalFormatting>
  <conditionalFormatting sqref="C67:J67">
    <cfRule type="expression" dxfId="2861" priority="779">
      <formula>(sizing_w24_chosen="Included")</formula>
    </cfRule>
  </conditionalFormatting>
  <conditionalFormatting sqref="C45:K45">
    <cfRule type="expression" dxfId="2860" priority="931">
      <formula>(sizing_w02_chosen="Included")</formula>
    </cfRule>
  </conditionalFormatting>
  <conditionalFormatting sqref="C46:K46">
    <cfRule type="expression" dxfId="2859" priority="1322">
      <formula>(sizing_w03_chosen="Included")</formula>
    </cfRule>
  </conditionalFormatting>
  <conditionalFormatting sqref="C47:K47">
    <cfRule type="expression" dxfId="2858" priority="920">
      <formula>(sizing_w04_chosen="Included")</formula>
    </cfRule>
  </conditionalFormatting>
  <conditionalFormatting sqref="D44:J44 L44:N44 P44:Q44 S44:W44">
    <cfRule type="expression" dxfId="2857" priority="224">
      <formula>(sizing_w01_chosen="Excluded")</formula>
    </cfRule>
  </conditionalFormatting>
  <conditionalFormatting sqref="D48:J48 L48:N48 P48:Q48 S48:W48">
    <cfRule type="expression" dxfId="2856" priority="230">
      <formula>(sizing_w05_chosen="Excluded")</formula>
    </cfRule>
  </conditionalFormatting>
  <conditionalFormatting sqref="D49:J49 L49:N49 P49:Q49 S49:W49">
    <cfRule type="expression" dxfId="2855" priority="231">
      <formula>(sizing_w06_chosen="Excluded")</formula>
    </cfRule>
  </conditionalFormatting>
  <conditionalFormatting sqref="D50:J50 L50:N50 P50:Q50 S50:W50">
    <cfRule type="expression" dxfId="2854" priority="232">
      <formula>(sizing_w07_chosen="Excluded")</formula>
    </cfRule>
  </conditionalFormatting>
  <conditionalFormatting sqref="D51:J51 L51:N51 P51:Q51 S51:W51">
    <cfRule type="expression" dxfId="2853" priority="233">
      <formula>(sizing_w08_chosen="Excluded")</formula>
    </cfRule>
  </conditionalFormatting>
  <conditionalFormatting sqref="D52:J52 L52:N52 P52:Q52 S52:W52">
    <cfRule type="expression" dxfId="2852" priority="234">
      <formula>(sizing_w09_chosen="Excluded")</formula>
    </cfRule>
  </conditionalFormatting>
  <conditionalFormatting sqref="D53:J53 L53:N53 P53:Q53 S53:W53">
    <cfRule type="expression" dxfId="2851" priority="235">
      <formula>(sizing_w10_chosen="Excluded")</formula>
    </cfRule>
  </conditionalFormatting>
  <conditionalFormatting sqref="D54:J54 L54:N54 P54:Q54 S54:W54">
    <cfRule type="expression" dxfId="2850" priority="236">
      <formula>(sizing_w11_chosen="Excluded")</formula>
    </cfRule>
  </conditionalFormatting>
  <conditionalFormatting sqref="D55:J55 L55:N55 P55:Q55 S55:W55">
    <cfRule type="expression" dxfId="2849" priority="237">
      <formula>(sizing_w12_chosen="Excluded")</formula>
    </cfRule>
  </conditionalFormatting>
  <conditionalFormatting sqref="D56:J56 L56:N56 P56:Q56 S56:W56">
    <cfRule type="expression" dxfId="2848" priority="238">
      <formula>(sizing_w13_chosen="Excluded")</formula>
    </cfRule>
  </conditionalFormatting>
  <conditionalFormatting sqref="D57:J57 L57:N57 P57:Q57 S57:W57">
    <cfRule type="expression" dxfId="2847" priority="239">
      <formula>(sizing_w14_chosen="Excluded")</formula>
    </cfRule>
  </conditionalFormatting>
  <conditionalFormatting sqref="D58:J58 L58:N58 P58:Q58 S58:W58">
    <cfRule type="expression" dxfId="2846" priority="240">
      <formula>(sizing_w15_chosen="Excluded")</formula>
    </cfRule>
  </conditionalFormatting>
  <conditionalFormatting sqref="D59:J59 L59:N59 P59:Q59 S59:W59">
    <cfRule type="expression" dxfId="2845" priority="241">
      <formula>(sizing_w16_chosen="Excluded")</formula>
    </cfRule>
  </conditionalFormatting>
  <conditionalFormatting sqref="D60:J60 L60:N60 P60:Q60 S60:W60">
    <cfRule type="expression" dxfId="2844" priority="242">
      <formula>(sizing_w17_chosen="Excluded")</formula>
    </cfRule>
  </conditionalFormatting>
  <conditionalFormatting sqref="D61:J61 L61:N61 P61:Q61 S61:W61">
    <cfRule type="expression" dxfId="2843" priority="243">
      <formula>(sizing_w18_chosen="Excluded")</formula>
    </cfRule>
  </conditionalFormatting>
  <conditionalFormatting sqref="D62:J62 L62:N62 P62:Q62 S62:W62">
    <cfRule type="expression" dxfId="2842" priority="244">
      <formula>(sizing_w19_chosen="Excluded")</formula>
    </cfRule>
  </conditionalFormatting>
  <conditionalFormatting sqref="D63:J63 L63:N63 P63:Q63 S63:W63">
    <cfRule type="expression" dxfId="2841" priority="245">
      <formula>(sizing_w20_chosen="Excluded")</formula>
    </cfRule>
  </conditionalFormatting>
  <conditionalFormatting sqref="D64:J64 L64:N64 P64:Q64 S64:W64">
    <cfRule type="expression" dxfId="2840" priority="246">
      <formula>(sizing_w21_chosen="Excluded")</formula>
    </cfRule>
  </conditionalFormatting>
  <conditionalFormatting sqref="D65:J65 L65:N65 P65:Q65 S65:W65">
    <cfRule type="expression" dxfId="2839" priority="247">
      <formula>(sizing_w22_chosen="Excluded")</formula>
    </cfRule>
  </conditionalFormatting>
  <conditionalFormatting sqref="D66:J66 L66:N66 P66:Q66 S66:W66">
    <cfRule type="expression" dxfId="2838" priority="250">
      <formula>(sizing_w23_chosen="Excluded")</formula>
    </cfRule>
  </conditionalFormatting>
  <conditionalFormatting sqref="D67:J67 L67:N67 P67:Q67 S67:W67">
    <cfRule type="expression" dxfId="2837" priority="269">
      <formula>(sizing_w24_chosen="Excluded")</formula>
    </cfRule>
  </conditionalFormatting>
  <conditionalFormatting sqref="D68:J68">
    <cfRule type="expression" dxfId="2836" priority="27">
      <formula>(sizing_w25_chosen="Excluded")</formula>
    </cfRule>
    <cfRule type="expression" dxfId="2835" priority="28">
      <formula>(sizing_w25_chosen="Included")</formula>
    </cfRule>
  </conditionalFormatting>
  <conditionalFormatting sqref="D69:J69">
    <cfRule type="expression" dxfId="2834" priority="25">
      <formula>(sizing_w26_chosen="Excluded")</formula>
    </cfRule>
    <cfRule type="expression" dxfId="2833" priority="26">
      <formula>(sizing_w26_chosen="Included")</formula>
    </cfRule>
  </conditionalFormatting>
  <conditionalFormatting sqref="D70:J70">
    <cfRule type="expression" dxfId="2832" priority="23">
      <formula>(sizing_w27_chosen="Excluded")</formula>
    </cfRule>
    <cfRule type="expression" dxfId="2831" priority="24">
      <formula>(sizing_w27_chosen="Included")</formula>
    </cfRule>
  </conditionalFormatting>
  <conditionalFormatting sqref="D71:J71">
    <cfRule type="expression" dxfId="2830" priority="21">
      <formula>(sizing_w28_chosen="Excluded")</formula>
    </cfRule>
    <cfRule type="expression" dxfId="2829" priority="22">
      <formula>(sizing_w28_chosen="Included")</formula>
    </cfRule>
  </conditionalFormatting>
  <conditionalFormatting sqref="D72:J72">
    <cfRule type="expression" dxfId="2828" priority="19">
      <formula>(sizing_w29_chosen="Excluded")</formula>
    </cfRule>
    <cfRule type="expression" dxfId="2827" priority="20">
      <formula>(sizing_w29_chosen="Included")</formula>
    </cfRule>
  </conditionalFormatting>
  <conditionalFormatting sqref="D73:J73">
    <cfRule type="expression" dxfId="2826" priority="17">
      <formula>(sizing_w30_chosen="Excluded")</formula>
    </cfRule>
    <cfRule type="expression" dxfId="2825" priority="18">
      <formula>(sizing_w30_chosen="Included")</formula>
    </cfRule>
  </conditionalFormatting>
  <conditionalFormatting sqref="D74:J74">
    <cfRule type="expression" dxfId="2824" priority="15">
      <formula>(sizing_w31_chosen="Excluded")</formula>
    </cfRule>
    <cfRule type="expression" dxfId="2823" priority="16">
      <formula>(sizing_w31_chosen="Included")</formula>
    </cfRule>
  </conditionalFormatting>
  <conditionalFormatting sqref="D75:J75">
    <cfRule type="expression" dxfId="2822" priority="13">
      <formula>(sizing_w32_chosen="Excluded")</formula>
    </cfRule>
    <cfRule type="expression" dxfId="2821" priority="14">
      <formula>(sizing_w32_chosen="Included")</formula>
    </cfRule>
  </conditionalFormatting>
  <conditionalFormatting sqref="D76:J76">
    <cfRule type="expression" dxfId="2820" priority="11">
      <formula>(sizing_w33_chosen="Excluded")</formula>
    </cfRule>
    <cfRule type="expression" dxfId="2819" priority="12">
      <formula>(sizing_w33_chosen="Included")</formula>
    </cfRule>
  </conditionalFormatting>
  <conditionalFormatting sqref="D77:J77">
    <cfRule type="expression" dxfId="2818" priority="9">
      <formula>(sizing_w34_chosen="Excluded")</formula>
    </cfRule>
    <cfRule type="expression" dxfId="2817" priority="10">
      <formula>(sizing_w34_chosen="Included")</formula>
    </cfRule>
  </conditionalFormatting>
  <conditionalFormatting sqref="D78:J78">
    <cfRule type="expression" dxfId="2816" priority="7">
      <formula>(sizing_w35_chosen="Excluded")</formula>
    </cfRule>
    <cfRule type="expression" dxfId="2815" priority="8">
      <formula>(sizing_w35_chosen="Included")</formula>
    </cfRule>
  </conditionalFormatting>
  <conditionalFormatting sqref="D46:N46 P46:Q46 S46:W46">
    <cfRule type="expression" dxfId="2814" priority="228">
      <formula>(sizing_w03_chosen="Excluded")</formula>
    </cfRule>
  </conditionalFormatting>
  <conditionalFormatting sqref="D47:N47 P47:Q47 S47:W47">
    <cfRule type="expression" dxfId="2813" priority="229" stopIfTrue="1">
      <formula>(sizing_w04_chosen="Excluded")</formula>
    </cfRule>
  </conditionalFormatting>
  <conditionalFormatting sqref="D45:W45">
    <cfRule type="expression" dxfId="2812" priority="227">
      <formula>(sizing_w02_chosen="Excluded")</formula>
    </cfRule>
  </conditionalFormatting>
  <conditionalFormatting sqref="E8:E9 C40:J40 L40:M40 O40:R40 E13:E16 F88:F89 S44:T44 E24:E29">
    <cfRule type="notContainsBlanks" dxfId="2811" priority="1320">
      <formula>LEN(TRIM(C8))&gt;0</formula>
    </cfRule>
  </conditionalFormatting>
  <conditionalFormatting sqref="E20:E22 E24">
    <cfRule type="expression" dxfId="2810" priority="220">
      <formula>$E$21="Exclude"</formula>
    </cfRule>
  </conditionalFormatting>
  <conditionalFormatting sqref="E20:E22 E32:E34">
    <cfRule type="notContainsBlanks" dxfId="2809" priority="314">
      <formula>LEN(TRIM(E20))&gt;0</formula>
    </cfRule>
  </conditionalFormatting>
  <conditionalFormatting sqref="E22">
    <cfRule type="expression" dxfId="2808" priority="198">
      <formula>AND((sizing_vcf_deployment_model_chosen="Simple"),(sizing_vcf_deployment_size_chosen&lt;&gt;"Small"))</formula>
    </cfRule>
    <cfRule type="expression" dxfId="2807" priority="217">
      <formula>AND((sizing_vcf_deployment_model_chosen="High Availability"),(sizing_vcf_deployment_size_chosen="Small"))</formula>
    </cfRule>
  </conditionalFormatting>
  <conditionalFormatting sqref="E25 J26:M26">
    <cfRule type="expression" dxfId="2806" priority="201">
      <formula>AND((sizing_vcfops_logs_chosen&lt;&gt;"Exclude"),(sizing_vcf_instance_model="Additional Instance"))</formula>
    </cfRule>
  </conditionalFormatting>
  <conditionalFormatting sqref="E25:E26">
    <cfRule type="expression" dxfId="2805" priority="202">
      <formula>sizing_vcf_instance_model="Additional Instance"</formula>
    </cfRule>
    <cfRule type="expression" dxfId="2804" priority="310">
      <formula>sizing_vcfops_logs_chosen="Exclude"</formula>
    </cfRule>
  </conditionalFormatting>
  <conditionalFormatting sqref="E26">
    <cfRule type="expression" dxfId="2803" priority="203">
      <formula>AND((sizing_vcfops_logs_chosen="Large"),(sizing_vcfops_logs_replica_count_chosen&lt;3))</formula>
    </cfRule>
    <cfRule type="expression" dxfId="2802" priority="207">
      <formula>AND(OR(sizing_vcfops_logs_chosen="Medium",sizing_vcfops_logs_chosen="Large"),(sizing_vcfops_logs_replica_count_chosen&lt;3))</formula>
    </cfRule>
    <cfRule type="expression" dxfId="2801" priority="208">
      <formula>AND((sizing_vcfops_logs_chosen&lt;&gt;"Exclude"),(sizing_vcfops_logs_replica_count_chosen="Exclude"))</formula>
    </cfRule>
  </conditionalFormatting>
  <conditionalFormatting sqref="E27">
    <cfRule type="expression" dxfId="2800" priority="279">
      <formula>sizing_vcfops_net_chosen="Exclude"</formula>
    </cfRule>
  </conditionalFormatting>
  <conditionalFormatting sqref="E28">
    <cfRule type="expression" dxfId="2799" priority="219">
      <formula>sizing_vcfrtm_chosen="Exclude"</formula>
    </cfRule>
  </conditionalFormatting>
  <conditionalFormatting sqref="E29">
    <cfRule type="expression" dxfId="2798" priority="216">
      <formula>sizing_vcfsd_chosen="Exclude"</formula>
    </cfRule>
  </conditionalFormatting>
  <conditionalFormatting sqref="E29:E30">
    <cfRule type="expression" dxfId="2797" priority="204">
      <formula>sizing_vcf_instance_model="First Instance"</formula>
    </cfRule>
  </conditionalFormatting>
  <conditionalFormatting sqref="E30">
    <cfRule type="expression" dxfId="2796" priority="214">
      <formula>sizing_vcfvidb_chosen="Exclude"</formula>
    </cfRule>
    <cfRule type="notContainsBlanks" dxfId="2795" priority="1325">
      <formula>LEN(TRIM(E30))&gt;0</formula>
    </cfRule>
  </conditionalFormatting>
  <conditionalFormatting sqref="E32">
    <cfRule type="expression" dxfId="2794" priority="200">
      <formula>AND((sizing_vcf_instance_model="Additional Instance"),(sizing_vcfops_ha_chosen="Include"))</formula>
    </cfRule>
    <cfRule type="expression" dxfId="2793" priority="312">
      <formula>sizing_vcfops_ha_chosen="Exclude"</formula>
    </cfRule>
  </conditionalFormatting>
  <conditionalFormatting sqref="E32:E34 E24:E29 E20:E22">
    <cfRule type="containsBlanks" dxfId="2792" priority="313">
      <formula>LEN(TRIM(E20))=0</formula>
    </cfRule>
  </conditionalFormatting>
  <conditionalFormatting sqref="E32:E34">
    <cfRule type="expression" dxfId="2791" priority="183">
      <formula>sizing_advanced_mgmt_chosen="Selected"</formula>
    </cfRule>
  </conditionalFormatting>
  <conditionalFormatting sqref="E33">
    <cfRule type="expression" dxfId="2790" priority="199">
      <formula>AND((sizing_vcf_instance_model="Additional Instance"),(sizing_vcfauto_chosen="Include"))</formula>
    </cfRule>
    <cfRule type="expression" dxfId="2789" priority="309">
      <formula>sizing_vcfauto_chosen="Exclude"</formula>
    </cfRule>
  </conditionalFormatting>
  <conditionalFormatting sqref="E34">
    <cfRule type="expression" dxfId="2788" priority="277">
      <formula>sizing_vcfops_collector_chosen="Exclude"</formula>
    </cfRule>
  </conditionalFormatting>
  <conditionalFormatting sqref="E35">
    <cfRule type="expression" dxfId="2787" priority="1">
      <formula>sizing_vdefend_licensing_hub_chosen="Include"</formula>
    </cfRule>
    <cfRule type="expression" dxfId="2786" priority="2">
      <formula>COUNTIF(S44:S77,"&lt;&gt;Excluded")&lt;&gt;0</formula>
    </cfRule>
    <cfRule type="expression" dxfId="2785" priority="3">
      <formula>sizing_mgmt_avi_lb_appliance_size&lt;&gt;"Excluded"</formula>
    </cfRule>
    <cfRule type="expression" dxfId="2784" priority="4">
      <formula>sizing_m01_ssp_chosen&lt;&gt;"Excluded"</formula>
    </cfRule>
    <cfRule type="expression" dxfId="2783" priority="5">
      <formula>COUNTIF(V44:V77,"&lt;&gt;Excluded")&lt;&gt;0</formula>
    </cfRule>
    <cfRule type="expression" dxfId="2782" priority="6">
      <formula>sizing_vdefend_licensing_hub_chosen="Exclude"</formula>
    </cfRule>
  </conditionalFormatting>
  <conditionalFormatting sqref="F88:F89 E13:E16 D40:E40">
    <cfRule type="containsBlanks" dxfId="2781" priority="1316">
      <formula>LEN(TRIM(D13))=0</formula>
    </cfRule>
  </conditionalFormatting>
  <conditionalFormatting sqref="F91:J91">
    <cfRule type="expression" dxfId="2780" priority="280">
      <formula>rwr_chosen="Include"</formula>
    </cfRule>
  </conditionalFormatting>
  <conditionalFormatting sqref="F91:K91">
    <cfRule type="expression" dxfId="2779" priority="281">
      <formula>rwr_chosen="Exclude"</formula>
    </cfRule>
  </conditionalFormatting>
  <conditionalFormatting sqref="F88:R88">
    <cfRule type="expression" dxfId="2778" priority="311">
      <formula>AND((spr_mo_result="False"),(spr_mw_result="False"))</formula>
    </cfRule>
  </conditionalFormatting>
  <conditionalFormatting sqref="F89:R89">
    <cfRule type="expression" dxfId="2777" priority="273">
      <formula>AND((spr_wo_result="False"),(spr_mw_result="False"))</formula>
    </cfRule>
  </conditionalFormatting>
  <conditionalFormatting sqref="G88:J88">
    <cfRule type="expression" dxfId="2776" priority="274">
      <formula>$G$88=1</formula>
    </cfRule>
  </conditionalFormatting>
  <conditionalFormatting sqref="G89:J89">
    <cfRule type="expression" dxfId="2775" priority="607">
      <formula>$G$89&gt;0</formula>
    </cfRule>
  </conditionalFormatting>
  <conditionalFormatting sqref="H44">
    <cfRule type="expression" dxfId="2774" priority="706">
      <formula>AND(sizing_w01_chosen="Isolated Vi Workload Domain",sizing_w01_nsxt_model="Shared")</formula>
    </cfRule>
  </conditionalFormatting>
  <conditionalFormatting sqref="I48:J48">
    <cfRule type="expression" dxfId="2773" priority="803">
      <formula>(sizing_w05_nsxt_model="Shared")</formula>
    </cfRule>
  </conditionalFormatting>
  <conditionalFormatting sqref="I49:J49">
    <cfRule type="expression" dxfId="2772" priority="802">
      <formula>(sizing_w06_nsxt_model="Shared")</formula>
    </cfRule>
  </conditionalFormatting>
  <conditionalFormatting sqref="I50:J50">
    <cfRule type="expression" dxfId="2771" priority="801">
      <formula>(sizing_w07_nsxt_model="Shared")</formula>
    </cfRule>
  </conditionalFormatting>
  <conditionalFormatting sqref="I51:J51">
    <cfRule type="expression" dxfId="2770" priority="800">
      <formula>(sizing_w08_nsxt_model="Shared")</formula>
    </cfRule>
  </conditionalFormatting>
  <conditionalFormatting sqref="I52:J52">
    <cfRule type="expression" dxfId="2769" priority="799">
      <formula>(sizing_w09_nsxt_model="Shared")</formula>
    </cfRule>
  </conditionalFormatting>
  <conditionalFormatting sqref="I53:J53">
    <cfRule type="expression" dxfId="2768" priority="798">
      <formula>(sizing_w10_nsxt_model="Shared")</formula>
    </cfRule>
  </conditionalFormatting>
  <conditionalFormatting sqref="I54:J54">
    <cfRule type="expression" dxfId="2767" priority="797">
      <formula>(sizing_w11_nsxt_model="Shared")</formula>
    </cfRule>
  </conditionalFormatting>
  <conditionalFormatting sqref="I55:J55">
    <cfRule type="expression" dxfId="2766" priority="796">
      <formula>(sizing_w12_nsxt_model="Shared")</formula>
    </cfRule>
  </conditionalFormatting>
  <conditionalFormatting sqref="I56:J56">
    <cfRule type="expression" dxfId="2765" priority="795">
      <formula>(sizing_w13_nsxt_model="Shared")</formula>
    </cfRule>
  </conditionalFormatting>
  <conditionalFormatting sqref="I57:J57">
    <cfRule type="expression" dxfId="2764" priority="794">
      <formula>(sizing_w14_nsxt_model="Shared")</formula>
    </cfRule>
  </conditionalFormatting>
  <conditionalFormatting sqref="I82:J82">
    <cfRule type="expression" dxfId="2763" priority="426">
      <formula>(spr_chosen="Exclude")</formula>
    </cfRule>
    <cfRule type="expression" dxfId="2762" priority="427">
      <formula>AND((spr_chosen&lt;&gt;"Exclude"),(spr_result="Excluded"))</formula>
    </cfRule>
    <cfRule type="expression" dxfId="2761" priority="428">
      <formula>AND((spr_chosen&lt;&gt;"Exclude"),(spr_result="Included"))</formula>
    </cfRule>
  </conditionalFormatting>
  <conditionalFormatting sqref="I44:K44">
    <cfRule type="expression" dxfId="2760" priority="215">
      <formula>sizing_w01_nsxt_model="Shared"</formula>
    </cfRule>
  </conditionalFormatting>
  <conditionalFormatting sqref="I45:K45">
    <cfRule type="expression" dxfId="2759" priority="930">
      <formula>(sizing_w02_nsxt_model="Shared")</formula>
    </cfRule>
  </conditionalFormatting>
  <conditionalFormatting sqref="I46:K46">
    <cfRule type="expression" dxfId="2758" priority="805">
      <formula>(sizing_w03_nsxt_model="Shared")</formula>
    </cfRule>
  </conditionalFormatting>
  <conditionalFormatting sqref="I47:K47">
    <cfRule type="expression" dxfId="2757" priority="804">
      <formula>(sizing_w04_nsxt_model="Shared")</formula>
    </cfRule>
  </conditionalFormatting>
  <conditionalFormatting sqref="J20:M21 E22 E25 J26:M26">
    <cfRule type="expression" dxfId="2756" priority="194">
      <formula>AND((sizing_vcf_deployment_size_chosen="Medium"),(sizing_vcfops_logs_chosen="Large"))</formula>
    </cfRule>
    <cfRule type="expression" dxfId="2755" priority="195">
      <formula>AND((sizing_vcf_deployment_model_chosen="Simple"),(sizing_vcfops_logs_chosen="Large"))</formula>
    </cfRule>
    <cfRule type="expression" dxfId="2754" priority="196">
      <formula>AND((sizing_vcf_deployment_model_chosen="Simple"),(sizing_vcfops_logs_chosen="Medium"))</formula>
    </cfRule>
  </conditionalFormatting>
  <conditionalFormatting sqref="J26:M26">
    <cfRule type="expression" dxfId="2753" priority="205">
      <formula>AND((sizing_vcfops_logs_chosen&lt;&gt;"Exclude"),(sizing_vcfops_logs_replica_count_chosen="Exclude"))</formula>
    </cfRule>
    <cfRule type="expression" dxfId="2752" priority="206">
      <formula>AND(OR(sizing_vcfops_logs_chosen="Medium",sizing_vcfops_logs_chosen="Large"),(sizing_vcfops_logs_replica_count_chosen&lt;3))</formula>
    </cfRule>
  </conditionalFormatting>
  <conditionalFormatting sqref="L40:M40">
    <cfRule type="expression" dxfId="2751" priority="316">
      <formula>sizing_m01_nsxt_edge_size="Excluded"</formula>
    </cfRule>
  </conditionalFormatting>
  <conditionalFormatting sqref="L45:M45">
    <cfRule type="expression" dxfId="2750" priority="929">
      <formula>(sizing_w02_gm_result&lt;&gt;"Excluded")</formula>
    </cfRule>
  </conditionalFormatting>
  <conditionalFormatting sqref="L44:N44 S44:T44 C44:J44 P44:Q44">
    <cfRule type="expression" dxfId="2749" priority="938">
      <formula>(sizing_w01_chosen="Included")</formula>
    </cfRule>
  </conditionalFormatting>
  <conditionalFormatting sqref="L44:N44">
    <cfRule type="expression" dxfId="2748" priority="934">
      <formula>(sizing_w01_gm_chosen="Excluded")</formula>
    </cfRule>
    <cfRule type="expression" dxfId="2747" priority="937">
      <formula>(sizing_w01_gm_chosen&lt;&gt;"Excluded")</formula>
    </cfRule>
  </conditionalFormatting>
  <conditionalFormatting sqref="L46:N46">
    <cfRule type="expression" dxfId="2746" priority="782">
      <formula>(sizing_w03_gm_chosen="Excluded")</formula>
    </cfRule>
    <cfRule type="expression" dxfId="2745" priority="926">
      <formula>(sizing_w03_gm_chosen&lt;&gt;"Excluded")</formula>
    </cfRule>
  </conditionalFormatting>
  <conditionalFormatting sqref="L47:N47">
    <cfRule type="expression" dxfId="2744" priority="783">
      <formula>(sizing_w04_gm_chosen="Excluded")</formula>
    </cfRule>
    <cfRule type="expression" dxfId="2743" priority="919">
      <formula>(sizing_w04_gm_chosen&lt;&gt;"Excluded")</formula>
    </cfRule>
  </conditionalFormatting>
  <conditionalFormatting sqref="L48:N48">
    <cfRule type="expression" dxfId="2742" priority="784">
      <formula>(sizing_w05_gm_chosen="Excluded")</formula>
    </cfRule>
    <cfRule type="expression" dxfId="2741" priority="918">
      <formula>(sizing_w05_gm_chosen&lt;&gt;"Excluded")</formula>
    </cfRule>
  </conditionalFormatting>
  <conditionalFormatting sqref="L49:N49">
    <cfRule type="expression" dxfId="2740" priority="785">
      <formula>(sizing_w06_gm_chosen="Excluded")</formula>
    </cfRule>
    <cfRule type="expression" dxfId="2739" priority="916">
      <formula>(sizing_w06_gm_chosen&lt;&gt;"Excluded")</formula>
    </cfRule>
  </conditionalFormatting>
  <conditionalFormatting sqref="L50:N50">
    <cfRule type="expression" dxfId="2738" priority="786">
      <formula>(sizing_w07_gm_chosen="Excluded")</formula>
    </cfRule>
    <cfRule type="expression" dxfId="2737" priority="914">
      <formula>(sizing_w07_gm_chosen&lt;&gt;"Excluded")</formula>
    </cfRule>
  </conditionalFormatting>
  <conditionalFormatting sqref="L51:N51">
    <cfRule type="expression" dxfId="2736" priority="871">
      <formula>(sizing_w08_gm_chosen="Excluded")</formula>
    </cfRule>
    <cfRule type="expression" dxfId="2735" priority="900">
      <formula>(sizing_w08_gm_chosen&lt;&gt;"Excluded")</formula>
    </cfRule>
  </conditionalFormatting>
  <conditionalFormatting sqref="L52:N52">
    <cfRule type="expression" dxfId="2734" priority="787">
      <formula>(sizing_w09_gm_chosen="Excluded")</formula>
    </cfRule>
    <cfRule type="expression" dxfId="2733" priority="896" stopIfTrue="1">
      <formula>(sizing_w09_gm_chosen&lt;&gt;"Excluded")</formula>
    </cfRule>
  </conditionalFormatting>
  <conditionalFormatting sqref="L53:N53">
    <cfRule type="expression" dxfId="2732" priority="872">
      <formula>(sizing_w10_gm_chosen="Excluded")</formula>
    </cfRule>
    <cfRule type="expression" dxfId="2731" priority="894">
      <formula>(sizing_w10_gm_chosen&lt;&gt;"Excluded")</formula>
    </cfRule>
  </conditionalFormatting>
  <conditionalFormatting sqref="L54:N54">
    <cfRule type="expression" dxfId="2730" priority="873">
      <formula>(sizing_w11_gm_chosen="Excluded")</formula>
    </cfRule>
    <cfRule type="expression" dxfId="2729" priority="893">
      <formula>(sizing_w11_gm_chosen&lt;&gt;"Excluded")</formula>
    </cfRule>
  </conditionalFormatting>
  <conditionalFormatting sqref="L55:N55">
    <cfRule type="expression" dxfId="2728" priority="874">
      <formula>(sizing_w12_gm_chosen="Excluded")</formula>
    </cfRule>
    <cfRule type="expression" dxfId="2727" priority="891">
      <formula>(sizing_w12_gm_chosen&lt;&gt;"Excluded")</formula>
    </cfRule>
  </conditionalFormatting>
  <conditionalFormatting sqref="L56:N56">
    <cfRule type="expression" dxfId="2726" priority="875">
      <formula>(sizing_w13_gm_chosen="Excluded")</formula>
    </cfRule>
  </conditionalFormatting>
  <conditionalFormatting sqref="L57:N57">
    <cfRule type="expression" dxfId="2725" priority="876">
      <formula>(sizing_w14_gm_chosen="Excluded")</formula>
    </cfRule>
    <cfRule type="expression" dxfId="2724" priority="888">
      <formula>(sizing_w14_gm_chosen&lt;&gt;"Excluded")</formula>
    </cfRule>
  </conditionalFormatting>
  <conditionalFormatting sqref="L58:N58">
    <cfRule type="expression" dxfId="2723" priority="877">
      <formula>(sizing_w15_gm_chosen="Excluded")</formula>
    </cfRule>
    <cfRule type="expression" dxfId="2722" priority="887">
      <formula>(sizing_w15_gm_chosen&lt;&gt;"Excluded")</formula>
    </cfRule>
  </conditionalFormatting>
  <conditionalFormatting sqref="L59:N59">
    <cfRule type="expression" dxfId="2721" priority="729">
      <formula>(sizing_w16_gm_chosen="Excluded")</formula>
    </cfRule>
    <cfRule type="expression" dxfId="2720" priority="884">
      <formula>(sizing_w16_gm_chosen&lt;&gt;"Excluded")</formula>
    </cfRule>
  </conditionalFormatting>
  <conditionalFormatting sqref="L60:N60">
    <cfRule type="expression" dxfId="2719" priority="730">
      <formula>(sizing_w17_gm_chosen="Excluded")</formula>
    </cfRule>
    <cfRule type="expression" dxfId="2718" priority="885">
      <formula>(sizing_w17_gm_chosen&lt;&gt;"Excluded")</formula>
    </cfRule>
  </conditionalFormatting>
  <conditionalFormatting sqref="L61:N61">
    <cfRule type="expression" dxfId="2717" priority="731">
      <formula>(sizing_w18_gm_chosen="Excluded")</formula>
    </cfRule>
    <cfRule type="expression" dxfId="2716" priority="886">
      <formula>(sizing_w18_gm_chosen&lt;&gt;"Excluded")</formula>
    </cfRule>
  </conditionalFormatting>
  <conditionalFormatting sqref="L62:N62">
    <cfRule type="expression" dxfId="2715" priority="732">
      <formula>(sizing_w19_gm_chosen="Excluded")</formula>
    </cfRule>
    <cfRule type="expression" dxfId="2714" priority="883">
      <formula>(sizing_w19_gm_chosen&lt;&gt;"Excluded")</formula>
    </cfRule>
  </conditionalFormatting>
  <conditionalFormatting sqref="L63:N63">
    <cfRule type="expression" dxfId="2713" priority="733">
      <formula>(sizing_w20_gm_chosen="Excluded")</formula>
    </cfRule>
    <cfRule type="expression" dxfId="2712" priority="882">
      <formula>(sizing_w20_gm_chosen&lt;&gt;"Excluded")</formula>
    </cfRule>
  </conditionalFormatting>
  <conditionalFormatting sqref="L64:N64">
    <cfRule type="expression" dxfId="2711" priority="734">
      <formula>(sizing_w21_gm_chosen="Excluded")</formula>
    </cfRule>
    <cfRule type="expression" dxfId="2710" priority="881">
      <formula>(sizing_w21_gm_chosen&lt;&gt;"Excluded")</formula>
    </cfRule>
  </conditionalFormatting>
  <conditionalFormatting sqref="L65:N65">
    <cfRule type="expression" dxfId="2709" priority="735">
      <formula>(sizing_w22_gm_chosen="Excluded")</formula>
    </cfRule>
    <cfRule type="expression" dxfId="2708" priority="880">
      <formula>(sizing_w22_gm_chosen&lt;&gt;"Excluded")</formula>
    </cfRule>
  </conditionalFormatting>
  <conditionalFormatting sqref="L66:N66">
    <cfRule type="expression" dxfId="2707" priority="736">
      <formula>(sizing_w23_gm_chosen="Excluded")</formula>
    </cfRule>
    <cfRule type="expression" dxfId="2706" priority="879">
      <formula>(sizing_w23_gm_chosen&lt;&gt;"Excluded")</formula>
    </cfRule>
  </conditionalFormatting>
  <conditionalFormatting sqref="L67:N67">
    <cfRule type="expression" dxfId="2705" priority="758">
      <formula>(sizing_w24_gm_chosen="Excluded")</formula>
    </cfRule>
    <cfRule type="expression" dxfId="2704" priority="878">
      <formula>(sizing_w24_gm_chosen&lt;&gt;"Excluded")</formula>
    </cfRule>
  </conditionalFormatting>
  <conditionalFormatting sqref="L68:N68">
    <cfRule type="expression" dxfId="2703" priority="168">
      <formula>(sizing_w25_chosen="Excluded")</formula>
    </cfRule>
    <cfRule type="expression" dxfId="2702" priority="170">
      <formula>(sizing_w25_gm_chosen="Excluded")</formula>
    </cfRule>
    <cfRule type="expression" dxfId="2701" priority="171">
      <formula>(sizing_w25_gm_chosen&lt;&gt;"Excluded")</formula>
    </cfRule>
  </conditionalFormatting>
  <conditionalFormatting sqref="L69:N69">
    <cfRule type="expression" dxfId="2700" priority="164">
      <formula>(sizing_w26_chosen="Excluded")</formula>
    </cfRule>
    <cfRule type="expression" dxfId="2699" priority="166">
      <formula>(sizing_w26_gm_chosen="Excluded")</formula>
    </cfRule>
    <cfRule type="expression" dxfId="2698" priority="167">
      <formula>(sizing_w26_gm_chosen&lt;&gt;"Excluded")</formula>
    </cfRule>
  </conditionalFormatting>
  <conditionalFormatting sqref="L70:N70">
    <cfRule type="expression" dxfId="2697" priority="160">
      <formula>(sizing_w27_chosen="Excluded")</formula>
    </cfRule>
    <cfRule type="expression" dxfId="2696" priority="162">
      <formula>(sizing_w27_gm_chosen="Excluded")</formula>
    </cfRule>
    <cfRule type="expression" dxfId="2695" priority="163">
      <formula>(sizing_w27_gm_chosen&lt;&gt;"Excluded")</formula>
    </cfRule>
  </conditionalFormatting>
  <conditionalFormatting sqref="L71:N71">
    <cfRule type="expression" dxfId="2694" priority="156">
      <formula>(sizing_w28_chosen="Excluded")</formula>
    </cfRule>
    <cfRule type="expression" dxfId="2693" priority="158">
      <formula>(sizing_w28_gm_chosen="Excluded")</formula>
    </cfRule>
    <cfRule type="expression" dxfId="2692" priority="159">
      <formula>(sizing_w28_gm_chosen&lt;&gt;"Excluded")</formula>
    </cfRule>
  </conditionalFormatting>
  <conditionalFormatting sqref="L72:N72">
    <cfRule type="expression" dxfId="2691" priority="152">
      <formula>(sizing_w29_chosen="Excluded")</formula>
    </cfRule>
    <cfRule type="expression" dxfId="2690" priority="154">
      <formula>(sizing_w29_gm_chosen="Excluded")</formula>
    </cfRule>
    <cfRule type="expression" dxfId="2689" priority="155">
      <formula>(sizing_w29_gm_chosen&lt;&gt;"Excluded")</formula>
    </cfRule>
  </conditionalFormatting>
  <conditionalFormatting sqref="L73:N73">
    <cfRule type="expression" dxfId="2688" priority="148">
      <formula>(sizing_w30_chosen="Excluded")</formula>
    </cfRule>
    <cfRule type="expression" dxfId="2687" priority="150">
      <formula>(sizing_w30_gm_chosen="Excluded")</formula>
    </cfRule>
    <cfRule type="expression" dxfId="2686" priority="151">
      <formula>(sizing_w30_gm_chosen&lt;&gt;"Excluded")</formula>
    </cfRule>
  </conditionalFormatting>
  <conditionalFormatting sqref="L74:N74">
    <cfRule type="expression" dxfId="2685" priority="144">
      <formula>(sizing_w31_chosen="Excluded")</formula>
    </cfRule>
    <cfRule type="expression" dxfId="2684" priority="146">
      <formula>(sizing_w31_gm_chosen="Excluded")</formula>
    </cfRule>
    <cfRule type="expression" dxfId="2683" priority="147">
      <formula>(sizing_w31_gm_chosen&lt;&gt;"Excluded")</formula>
    </cfRule>
  </conditionalFormatting>
  <conditionalFormatting sqref="L75:N75">
    <cfRule type="expression" dxfId="2682" priority="140">
      <formula>(sizing_w32_chosen="Excluded")</formula>
    </cfRule>
    <cfRule type="expression" dxfId="2681" priority="142">
      <formula>(sizing_w32_gm_chosen="Excluded")</formula>
    </cfRule>
    <cfRule type="expression" dxfId="2680" priority="143">
      <formula>(sizing_w32_gm_chosen&lt;&gt;"Excluded")</formula>
    </cfRule>
  </conditionalFormatting>
  <conditionalFormatting sqref="L76:N76">
    <cfRule type="expression" dxfId="2679" priority="136">
      <formula>(sizing_w33_chosen="Excluded")</formula>
    </cfRule>
    <cfRule type="expression" dxfId="2678" priority="138">
      <formula>(sizing_w33_gm_chosen="Excluded")</formula>
    </cfRule>
    <cfRule type="expression" dxfId="2677" priority="139">
      <formula>(sizing_w33_gm_chosen&lt;&gt;"Excluded")</formula>
    </cfRule>
  </conditionalFormatting>
  <conditionalFormatting sqref="L77:N77">
    <cfRule type="expression" dxfId="2676" priority="132">
      <formula>(sizing_w34_chosen="Excluded")</formula>
    </cfRule>
    <cfRule type="expression" dxfId="2675" priority="134">
      <formula>(sizing_w34_gm_chosen="Excluded")</formula>
    </cfRule>
    <cfRule type="expression" dxfId="2674" priority="135">
      <formula>(sizing_w34_gm_chosen&lt;&gt;"Excluded")</formula>
    </cfRule>
  </conditionalFormatting>
  <conditionalFormatting sqref="L78:N78">
    <cfRule type="expression" dxfId="2673" priority="128">
      <formula>(sizing_w35_chosen="Excluded")</formula>
    </cfRule>
    <cfRule type="expression" dxfId="2672" priority="130">
      <formula>(sizing_w35_gm_chosen="Excluded")</formula>
    </cfRule>
    <cfRule type="expression" dxfId="2671" priority="131">
      <formula>(sizing_w35_gm_chosen&lt;&gt;"Excluded")</formula>
    </cfRule>
  </conditionalFormatting>
  <conditionalFormatting sqref="L45:O45">
    <cfRule type="expression" dxfId="2670" priority="922">
      <formula>(sizing_w02_gm_chosen="Excluded")</formula>
    </cfRule>
    <cfRule type="expression" dxfId="2669" priority="932">
      <formula>(sizing_w02_gm_chosen&lt;&gt;"Excluded")</formula>
    </cfRule>
  </conditionalFormatting>
  <conditionalFormatting sqref="M44:N44">
    <cfRule type="expression" dxfId="2668" priority="412" stopIfTrue="1">
      <formula>(sizing_w01_gm_result&lt;&gt;"Included")</formula>
    </cfRule>
    <cfRule type="expression" dxfId="2667" priority="933">
      <formula>(sizing_w01_gm_chosen="Connect Instance")</formula>
    </cfRule>
    <cfRule type="expression" dxfId="2666" priority="936">
      <formula>(sizing_w01_gm_result="Included")</formula>
    </cfRule>
  </conditionalFormatting>
  <conditionalFormatting sqref="M46:N46">
    <cfRule type="expression" dxfId="2665" priority="566">
      <formula>(sizing_w03_gm_chosen="Connect Instance")</formula>
    </cfRule>
    <cfRule type="expression" dxfId="2664" priority="869">
      <formula>(sizing_w03_gm_result&lt;&gt;"Excluded")</formula>
    </cfRule>
  </conditionalFormatting>
  <conditionalFormatting sqref="M47:N47">
    <cfRule type="expression" dxfId="2663" priority="458">
      <formula>(sizing_w04_gm_chosen="Connect Instance")</formula>
    </cfRule>
    <cfRule type="expression" dxfId="2662" priority="867">
      <formula>(sizing_w04_gm_result&lt;&gt;"Excluded")</formula>
    </cfRule>
  </conditionalFormatting>
  <conditionalFormatting sqref="M48:N48">
    <cfRule type="expression" dxfId="2661" priority="499">
      <formula>(sizing_w05_gm_chosen="Connect Instance")</formula>
    </cfRule>
    <cfRule type="expression" dxfId="2660" priority="865">
      <formula>(sizing_w05_gm_result&lt;&gt;"Excluded")</formula>
    </cfRule>
  </conditionalFormatting>
  <conditionalFormatting sqref="M49:N49">
    <cfRule type="expression" dxfId="2659" priority="498">
      <formula>(sizing_w06_gm_chosen="Connect Instance")</formula>
    </cfRule>
    <cfRule type="expression" dxfId="2658" priority="863">
      <formula>(sizing_w06_gm_result&lt;&gt;"Excluded")</formula>
    </cfRule>
  </conditionalFormatting>
  <conditionalFormatting sqref="M50:N50">
    <cfRule type="expression" dxfId="2657" priority="520">
      <formula>(sizing_w07_gm_chosen="Connect Instance")</formula>
    </cfRule>
    <cfRule type="expression" dxfId="2656" priority="860">
      <formula>(sizing_w07_gm_result&lt;&gt;"Excluded")</formula>
    </cfRule>
  </conditionalFormatting>
  <conditionalFormatting sqref="M51:N51">
    <cfRule type="expression" dxfId="2655" priority="497">
      <formula>(sizing_w08_gm_chosen="Connect Instance")</formula>
    </cfRule>
    <cfRule type="expression" dxfId="2654" priority="859">
      <formula>(sizing_w08_gm_result&lt;&gt;"Excluded")</formula>
    </cfRule>
  </conditionalFormatting>
  <conditionalFormatting sqref="M52:N52">
    <cfRule type="expression" dxfId="2653" priority="496">
      <formula>(sizing_w09_gm_chosen="Connect Instance")</formula>
    </cfRule>
    <cfRule type="expression" dxfId="2652" priority="856">
      <formula>(sizing_w09_gm_result&lt;&gt;"Excluded")</formula>
    </cfRule>
  </conditionalFormatting>
  <conditionalFormatting sqref="M53:N53">
    <cfRule type="expression" dxfId="2651" priority="495">
      <formula>(sizing_w10_gm_chosen="Connect Instance")</formula>
    </cfRule>
    <cfRule type="expression" dxfId="2650" priority="854">
      <formula>(sizing_w10_gm_result&lt;&gt;"Excluded")</formula>
    </cfRule>
  </conditionalFormatting>
  <conditionalFormatting sqref="M54:N54">
    <cfRule type="expression" dxfId="2649" priority="494">
      <formula>(sizing_w11_gm_chosen="Connect Instance")</formula>
    </cfRule>
    <cfRule type="expression" dxfId="2648" priority="852">
      <formula>(sizing_w11_gm_result&lt;&gt;"Excluded")</formula>
    </cfRule>
  </conditionalFormatting>
  <conditionalFormatting sqref="M55:N55">
    <cfRule type="expression" dxfId="2647" priority="493">
      <formula>(sizing_w12_gm_chosen="Connect Instance")</formula>
    </cfRule>
    <cfRule type="expression" dxfId="2646" priority="848">
      <formula>(sizing_w12_gm_result&lt;&gt;"Excluded")</formula>
    </cfRule>
  </conditionalFormatting>
  <conditionalFormatting sqref="M56:N56">
    <cfRule type="expression" dxfId="2645" priority="295">
      <formula>(sizing_w13_gm_chosen="Connect Instance")</formula>
    </cfRule>
    <cfRule type="expression" dxfId="2644" priority="846">
      <formula>(sizing_w13_gm_result&lt;&gt;"Excluded")</formula>
    </cfRule>
  </conditionalFormatting>
  <conditionalFormatting sqref="M57:N57 L56:N56">
    <cfRule type="expression" dxfId="2643" priority="889">
      <formula>(sizing_w13_gm_chosen&lt;&gt;"Excluded")</formula>
    </cfRule>
  </conditionalFormatting>
  <conditionalFormatting sqref="M57:N57">
    <cfRule type="expression" dxfId="2642" priority="491">
      <formula>(sizing_w14_gm_chosen="Connect Instance")</formula>
    </cfRule>
    <cfRule type="expression" dxfId="2641" priority="844">
      <formula>(sizing_w14_gm_result&lt;&gt;"Excluded")</formula>
    </cfRule>
  </conditionalFormatting>
  <conditionalFormatting sqref="M58:N58">
    <cfRule type="expression" dxfId="2640" priority="490">
      <formula>(sizing_w15_gm_chosen="Connect Instance")</formula>
    </cfRule>
  </conditionalFormatting>
  <conditionalFormatting sqref="M59:N59">
    <cfRule type="expression" dxfId="2639" priority="292">
      <formula>(sizing_w16_gm_chosen="Connect Instance")</formula>
    </cfRule>
  </conditionalFormatting>
  <conditionalFormatting sqref="M60:N60">
    <cfRule type="expression" dxfId="2638" priority="488">
      <formula>(sizing_w17_gm_chosen="Connect Instance")</formula>
    </cfRule>
  </conditionalFormatting>
  <conditionalFormatting sqref="M61:N61">
    <cfRule type="expression" dxfId="2637" priority="487">
      <formula>(sizing_w18_gm_chosen="Connect Instance")</formula>
    </cfRule>
  </conditionalFormatting>
  <conditionalFormatting sqref="M62:N62">
    <cfRule type="expression" dxfId="2636" priority="486">
      <formula>(sizing_w19_gm_chosen="Connect Instance")</formula>
    </cfRule>
  </conditionalFormatting>
  <conditionalFormatting sqref="M63:N63">
    <cfRule type="expression" dxfId="2635" priority="485">
      <formula>(sizing_w20_gm_chosen="Connect Instance")</formula>
    </cfRule>
  </conditionalFormatting>
  <conditionalFormatting sqref="M64:N64">
    <cfRule type="expression" dxfId="2634" priority="484">
      <formula>(sizing_w21_gm_chosen="Connect Instance")</formula>
    </cfRule>
  </conditionalFormatting>
  <conditionalFormatting sqref="M65:N65">
    <cfRule type="expression" dxfId="2633" priority="483">
      <formula>(sizing_w22_gm_chosen="Connect Instance")</formula>
    </cfRule>
  </conditionalFormatting>
  <conditionalFormatting sqref="M66:N66">
    <cfRule type="expression" dxfId="2632" priority="482">
      <formula>(sizing_w23_gm_chosen="Connect Instance")</formula>
    </cfRule>
  </conditionalFormatting>
  <conditionalFormatting sqref="M67:N67">
    <cfRule type="expression" dxfId="2631" priority="284">
      <formula>(sizing_w24_gm_chosen="Connect Instance")</formula>
    </cfRule>
  </conditionalFormatting>
  <conditionalFormatting sqref="M68:N68">
    <cfRule type="expression" dxfId="2630" priority="169">
      <formula>(sizing_w25_gm_chosen="Connect Instance")</formula>
    </cfRule>
  </conditionalFormatting>
  <conditionalFormatting sqref="M69:N69">
    <cfRule type="expression" dxfId="2629" priority="165">
      <formula>(sizing_w26_gm_chosen="Connect Instance")</formula>
    </cfRule>
  </conditionalFormatting>
  <conditionalFormatting sqref="M70:N70">
    <cfRule type="expression" dxfId="2628" priority="161">
      <formula>(sizing_w27_gm_chosen="Connect Instance")</formula>
    </cfRule>
  </conditionalFormatting>
  <conditionalFormatting sqref="M71:N71">
    <cfRule type="expression" dxfId="2627" priority="157">
      <formula>(sizing_w28_gm_chosen="Connect Instance")</formula>
    </cfRule>
  </conditionalFormatting>
  <conditionalFormatting sqref="M72:N72">
    <cfRule type="expression" dxfId="2626" priority="153">
      <formula>(sizing_w29_gm_chosen="Connect Instance")</formula>
    </cfRule>
  </conditionalFormatting>
  <conditionalFormatting sqref="M73:N73">
    <cfRule type="expression" dxfId="2625" priority="149">
      <formula>(sizing_w30_gm_chosen="Connect Instance")</formula>
    </cfRule>
  </conditionalFormatting>
  <conditionalFormatting sqref="M74:N74">
    <cfRule type="expression" dxfId="2624" priority="145">
      <formula>(sizing_w31_gm_chosen="Connect Instance")</formula>
    </cfRule>
  </conditionalFormatting>
  <conditionalFormatting sqref="M75:N75">
    <cfRule type="expression" dxfId="2623" priority="141">
      <formula>(sizing_w32_gm_chosen="Connect Instance")</formula>
    </cfRule>
  </conditionalFormatting>
  <conditionalFormatting sqref="M76:N76">
    <cfRule type="expression" dxfId="2622" priority="137">
      <formula>(sizing_w33_gm_chosen="Connect Instance")</formula>
    </cfRule>
  </conditionalFormatting>
  <conditionalFormatting sqref="M77:N77">
    <cfRule type="expression" dxfId="2621" priority="133">
      <formula>(sizing_w34_gm_chosen="Connect Instance")</formula>
    </cfRule>
  </conditionalFormatting>
  <conditionalFormatting sqref="M78:N78">
    <cfRule type="expression" dxfId="2620" priority="129">
      <formula>(sizing_w35_gm_chosen="Connect Instance")</formula>
    </cfRule>
  </conditionalFormatting>
  <conditionalFormatting sqref="M45:O45">
    <cfRule type="expression" dxfId="2619" priority="568">
      <formula>(sizing_w02_gm_chosen="Connect Instance")</formula>
    </cfRule>
  </conditionalFormatting>
  <conditionalFormatting sqref="O40:P40">
    <cfRule type="expression" dxfId="2618" priority="315">
      <formula>sizing_m01_nsxt_gm_appliance_size="Excluded"</formula>
    </cfRule>
  </conditionalFormatting>
  <conditionalFormatting sqref="O40:R40 L40:M40 E8:E9 I40:J40">
    <cfRule type="containsBlanks" dxfId="2617" priority="1318">
      <formula>LEN(TRIM(E8))=0</formula>
    </cfRule>
  </conditionalFormatting>
  <conditionalFormatting sqref="P44:Q44">
    <cfRule type="expression" dxfId="2616" priority="601">
      <formula>(sizing_w01_spr_chosen="Exclude")</formula>
    </cfRule>
    <cfRule type="expression" dxfId="2615" priority="935">
      <formula>(sizing_w01_spr_chosen="Include")</formula>
    </cfRule>
  </conditionalFormatting>
  <conditionalFormatting sqref="P45:Q45">
    <cfRule type="expression" dxfId="2614" priority="923">
      <formula>(sizing_w02_spr_chosen="Exclude")</formula>
    </cfRule>
    <cfRule type="expression" dxfId="2613" priority="925">
      <formula>(sizing_w02_spr_chosen="Include")</formula>
    </cfRule>
  </conditionalFormatting>
  <conditionalFormatting sqref="P46:Q46">
    <cfRule type="expression" dxfId="2612" priority="842">
      <formula>(sizing_w03_spr_chosen="Exclude")</formula>
    </cfRule>
    <cfRule type="expression" dxfId="2611" priority="843">
      <formula>(sizing_w03_spr_chosen="Include")</formula>
    </cfRule>
  </conditionalFormatting>
  <conditionalFormatting sqref="P47:Q47">
    <cfRule type="expression" dxfId="2610" priority="839">
      <formula>(sizing_w04_spr_chosen="Exclude")</formula>
    </cfRule>
    <cfRule type="expression" dxfId="2609" priority="840">
      <formula>(sizing_w04_spr_chosen="Include")</formula>
    </cfRule>
  </conditionalFormatting>
  <conditionalFormatting sqref="P48:Q48">
    <cfRule type="expression" dxfId="2608" priority="835">
      <formula>(sizing_w05_result="Excluded")</formula>
    </cfRule>
    <cfRule type="expression" dxfId="2607" priority="836">
      <formula>(sizing_w05_spr_chosen="Exclude")</formula>
    </cfRule>
    <cfRule type="expression" dxfId="2606" priority="837" stopIfTrue="1">
      <formula>(sizing_w05_spr_chosen="Include")</formula>
    </cfRule>
  </conditionalFormatting>
  <conditionalFormatting sqref="P49:Q49">
    <cfRule type="expression" dxfId="2605" priority="832">
      <formula>(sizing_w06_result="Excluded")</formula>
    </cfRule>
    <cfRule type="expression" dxfId="2604" priority="833">
      <formula>(sizing_w06_spr_chosen="Exclude")</formula>
    </cfRule>
    <cfRule type="expression" dxfId="2603" priority="834">
      <formula>(sizing_w06_spr_chosen="Include")</formula>
    </cfRule>
  </conditionalFormatting>
  <conditionalFormatting sqref="P50:Q50">
    <cfRule type="expression" dxfId="2602" priority="830">
      <formula>(sizing_w07_spr_chosen="Exclude")</formula>
    </cfRule>
    <cfRule type="expression" dxfId="2601" priority="831">
      <formula>(sizing_w07_spr_chosen="Include")</formula>
    </cfRule>
  </conditionalFormatting>
  <conditionalFormatting sqref="P51:Q51">
    <cfRule type="expression" dxfId="2600" priority="826">
      <formula>(sizing_w08_spr_chosen="Include")</formula>
    </cfRule>
    <cfRule type="expression" dxfId="2599" priority="828">
      <formula>(sizing_w08_spr_chosen="Exclude")</formula>
    </cfRule>
  </conditionalFormatting>
  <conditionalFormatting sqref="P52:Q52">
    <cfRule type="expression" dxfId="2598" priority="824">
      <formula>(sizing_w09_spr_chosen="Exclude")</formula>
    </cfRule>
    <cfRule type="expression" dxfId="2597" priority="825">
      <formula>(sizing_w09_spr_chosen="Include")</formula>
    </cfRule>
  </conditionalFormatting>
  <conditionalFormatting sqref="P53:Q53">
    <cfRule type="expression" dxfId="2596" priority="821">
      <formula>(sizing_w10_spr_chosen="Exclude")</formula>
    </cfRule>
    <cfRule type="expression" dxfId="2595" priority="822">
      <formula>(sizing_w10_spr_chosen="Include")</formula>
    </cfRule>
  </conditionalFormatting>
  <conditionalFormatting sqref="P54:Q54">
    <cfRule type="expression" dxfId="2594" priority="818">
      <formula>(sizing_w11_spr_chosen="Exclude")</formula>
    </cfRule>
    <cfRule type="expression" dxfId="2593" priority="819">
      <formula>(sizing_w11_spr_chosen="Include")</formula>
    </cfRule>
  </conditionalFormatting>
  <conditionalFormatting sqref="P55:Q55">
    <cfRule type="expression" dxfId="2592" priority="813">
      <formula>(sizing_w12_spr_chosen="Exclude")</formula>
    </cfRule>
    <cfRule type="expression" dxfId="2591" priority="815">
      <formula>(sizing_w12_spr_chosen="Include")</formula>
    </cfRule>
  </conditionalFormatting>
  <conditionalFormatting sqref="P56:Q56">
    <cfRule type="expression" dxfId="2590" priority="810">
      <formula>(sizing_w13_spr_chosen="Exclude")</formula>
    </cfRule>
    <cfRule type="expression" dxfId="2589" priority="811">
      <formula>(sizing_w13_spr_chosen="Include")</formula>
    </cfRule>
  </conditionalFormatting>
  <conditionalFormatting sqref="P57:Q57">
    <cfRule type="expression" dxfId="2588" priority="807">
      <formula>(sizing_w14_spr_chosen="Exclude")</formula>
    </cfRule>
    <cfRule type="expression" dxfId="2587" priority="808">
      <formula>(sizing_w14_spr_chosen="Include")</formula>
    </cfRule>
  </conditionalFormatting>
  <conditionalFormatting sqref="P58:Q58">
    <cfRule type="expression" dxfId="2586" priority="757">
      <formula>(sizing_w15_spr_chosen="Exclude")</formula>
    </cfRule>
    <cfRule type="expression" dxfId="2585" priority="778">
      <formula>(sizing_w15_spr_chosen="Include")</formula>
    </cfRule>
  </conditionalFormatting>
  <conditionalFormatting sqref="P59:Q59">
    <cfRule type="expression" dxfId="2584" priority="746">
      <formula>(sizing_w16_spr_chosen="Exclude")</formula>
    </cfRule>
    <cfRule type="expression" dxfId="2583" priority="756">
      <formula>(sizing_w16_spr_chosen="Include")</formula>
    </cfRule>
  </conditionalFormatting>
  <conditionalFormatting sqref="P60:Q60">
    <cfRule type="expression" dxfId="2582" priority="745">
      <formula>(sizing_w17_spr_chosen="Exclude")</formula>
    </cfRule>
    <cfRule type="expression" dxfId="2581" priority="755">
      <formula>(sizing_w17_spr_chosen="Include")</formula>
    </cfRule>
  </conditionalFormatting>
  <conditionalFormatting sqref="P61:Q61">
    <cfRule type="expression" dxfId="2580" priority="721">
      <formula>(sizing_w18_spr_chosen="Exclude")</formula>
    </cfRule>
    <cfRule type="expression" dxfId="2579" priority="754">
      <formula>(sizing_w18_spr_chosen="Include")</formula>
    </cfRule>
  </conditionalFormatting>
  <conditionalFormatting sqref="P62:Q62">
    <cfRule type="expression" dxfId="2578" priority="743">
      <formula>(sizing_w19_spr_chosen="Exclude")</formula>
    </cfRule>
    <cfRule type="expression" dxfId="2577" priority="753">
      <formula>(sizing_w19_spr_chosen="Include")</formula>
    </cfRule>
  </conditionalFormatting>
  <conditionalFormatting sqref="P63:Q63">
    <cfRule type="expression" dxfId="2576" priority="742">
      <formula>(sizing_w20_spr_chosen="Exclude")</formula>
    </cfRule>
    <cfRule type="expression" dxfId="2575" priority="752">
      <formula>(sizing_w20_spr_chosen="Include")</formula>
    </cfRule>
  </conditionalFormatting>
  <conditionalFormatting sqref="P64:Q64">
    <cfRule type="expression" dxfId="2574" priority="741">
      <formula>(sizing_w21_spr_chosen="Exclude")</formula>
    </cfRule>
    <cfRule type="expression" dxfId="2573" priority="751">
      <formula>(sizing_w21_spr_chosen="Include")</formula>
    </cfRule>
  </conditionalFormatting>
  <conditionalFormatting sqref="P65:Q65">
    <cfRule type="expression" dxfId="2572" priority="740">
      <formula>(sizing_w22_spr_chosen="Exclude")</formula>
    </cfRule>
    <cfRule type="expression" dxfId="2571" priority="750">
      <formula>(sizing_w22_spr_chosen="Include")</formula>
    </cfRule>
  </conditionalFormatting>
  <conditionalFormatting sqref="P66:Q66">
    <cfRule type="expression" dxfId="2570" priority="739">
      <formula>(sizing_w23_spr_chosen="Exclude")</formula>
    </cfRule>
    <cfRule type="expression" dxfId="2569" priority="749">
      <formula>(sizing_w23_spr_chosen="Include")</formula>
    </cfRule>
  </conditionalFormatting>
  <conditionalFormatting sqref="P67:Q67">
    <cfRule type="expression" dxfId="2568" priority="738">
      <formula>(sizing_w24_spr_chosen="Exclude")</formula>
    </cfRule>
    <cfRule type="expression" dxfId="2567" priority="748">
      <formula>(sizing_w24_spr_chosen="Include")</formula>
    </cfRule>
  </conditionalFormatting>
  <conditionalFormatting sqref="P68:Q68">
    <cfRule type="expression" dxfId="2566" priority="95">
      <formula>(sizing_w25_chosen="Excluded")</formula>
    </cfRule>
    <cfRule type="expression" dxfId="2565" priority="96" stopIfTrue="1">
      <formula>(sizing_w25_spr_chosen="Exclude")</formula>
    </cfRule>
    <cfRule type="expression" dxfId="2564" priority="97">
      <formula>(sizing_w25_spr_chosen="Include")</formula>
    </cfRule>
  </conditionalFormatting>
  <conditionalFormatting sqref="P69:Q69">
    <cfRule type="expression" dxfId="2563" priority="98">
      <formula>(sizing_w26_chosen="Excluded")</formula>
    </cfRule>
    <cfRule type="expression" dxfId="2562" priority="99" stopIfTrue="1">
      <formula>(sizing_w26_spr_chosen="Exclude")</formula>
    </cfRule>
    <cfRule type="expression" dxfId="2561" priority="100">
      <formula>(sizing_w26_spr_chosen="Include")</formula>
    </cfRule>
  </conditionalFormatting>
  <conditionalFormatting sqref="P70:Q70">
    <cfRule type="expression" dxfId="2560" priority="101">
      <formula>(sizing_w27_chosen="Excluded")</formula>
    </cfRule>
    <cfRule type="expression" dxfId="2559" priority="102" stopIfTrue="1">
      <formula>(sizing_w27_spr_chosen="Exclude")</formula>
    </cfRule>
    <cfRule type="expression" dxfId="2558" priority="103">
      <formula>(sizing_w27_spr_chosen="Include")</formula>
    </cfRule>
  </conditionalFormatting>
  <conditionalFormatting sqref="P71:Q71">
    <cfRule type="expression" dxfId="2557" priority="104">
      <formula>(sizing_w28_chosen="Excluded")</formula>
    </cfRule>
    <cfRule type="expression" dxfId="2556" priority="105" stopIfTrue="1">
      <formula>(sizing_w28_spr_chosen="Exclude")</formula>
    </cfRule>
    <cfRule type="expression" dxfId="2555" priority="106">
      <formula>(sizing_w28_spr_chosen="Include")</formula>
    </cfRule>
  </conditionalFormatting>
  <conditionalFormatting sqref="P72:Q72">
    <cfRule type="expression" dxfId="2554" priority="107">
      <formula>(sizing_w29_chosen="Excluded")</formula>
    </cfRule>
    <cfRule type="expression" dxfId="2553" priority="108" stopIfTrue="1">
      <formula>(sizing_w29_spr_chosen="Exclude")</formula>
    </cfRule>
    <cfRule type="expression" dxfId="2552" priority="109">
      <formula>(sizing_w29_spr_chosen="Include")</formula>
    </cfRule>
  </conditionalFormatting>
  <conditionalFormatting sqref="P73:Q73">
    <cfRule type="expression" dxfId="2551" priority="110">
      <formula>(sizing_w30_chosen="Excluded")</formula>
    </cfRule>
    <cfRule type="expression" dxfId="2550" priority="111" stopIfTrue="1">
      <formula>(sizing_w30_spr_chosen="Exclude")</formula>
    </cfRule>
    <cfRule type="expression" dxfId="2549" priority="112">
      <formula>(sizing_w30_spr_chosen="Include")</formula>
    </cfRule>
  </conditionalFormatting>
  <conditionalFormatting sqref="P74:Q74">
    <cfRule type="expression" dxfId="2548" priority="113">
      <formula>(sizing_w31_chosen="Excluded")</formula>
    </cfRule>
    <cfRule type="expression" dxfId="2547" priority="114" stopIfTrue="1">
      <formula>(sizing_w31_spr_chosen="Exclude")</formula>
    </cfRule>
    <cfRule type="expression" dxfId="2546" priority="115">
      <formula>(sizing_w31_spr_chosen="Include")</formula>
    </cfRule>
  </conditionalFormatting>
  <conditionalFormatting sqref="P75:Q75">
    <cfRule type="expression" dxfId="2545" priority="116">
      <formula>(sizing_w32_chosen="Excluded")</formula>
    </cfRule>
    <cfRule type="expression" dxfId="2544" priority="117" stopIfTrue="1">
      <formula>(sizing_w32_spr_chosen="Exclude")</formula>
    </cfRule>
    <cfRule type="expression" dxfId="2543" priority="118">
      <formula>(sizing_w32_spr_chosen="Include")</formula>
    </cfRule>
  </conditionalFormatting>
  <conditionalFormatting sqref="P76:Q76">
    <cfRule type="expression" dxfId="2542" priority="119">
      <formula>(sizing_w33_chosen="Excluded")</formula>
    </cfRule>
    <cfRule type="expression" dxfId="2541" priority="120" stopIfTrue="1">
      <formula>(sizing_w33_spr_chosen="Exclude")</formula>
    </cfRule>
    <cfRule type="expression" dxfId="2540" priority="121">
      <formula>(sizing_w33_spr_chosen="Include")</formula>
    </cfRule>
  </conditionalFormatting>
  <conditionalFormatting sqref="P77:Q77">
    <cfRule type="expression" dxfId="2539" priority="122">
      <formula>(sizing_w34_chosen="Excluded")</formula>
    </cfRule>
    <cfRule type="expression" dxfId="2538" priority="123" stopIfTrue="1">
      <formula>(sizing_w34_spr_chosen="Exclude")</formula>
    </cfRule>
    <cfRule type="expression" dxfId="2537" priority="124">
      <formula>(sizing_w34_spr_chosen="Include")</formula>
    </cfRule>
  </conditionalFormatting>
  <conditionalFormatting sqref="P78:Q78">
    <cfRule type="expression" dxfId="2536" priority="125">
      <formula>(sizing_w35_chosen="Excluded")</formula>
    </cfRule>
    <cfRule type="expression" dxfId="2535" priority="126" stopIfTrue="1">
      <formula>(sizing_w35_spr_chosen="Exclude")</formula>
    </cfRule>
    <cfRule type="expression" dxfId="2534" priority="127">
      <formula>(sizing_w35_spr_chosen="Include")</formula>
    </cfRule>
  </conditionalFormatting>
  <conditionalFormatting sqref="Q40:R40">
    <cfRule type="expression" dxfId="2533" priority="604" stopIfTrue="1">
      <formula>sizing_mgmt_avi_lb_appliance_size="Excluded"</formula>
    </cfRule>
  </conditionalFormatting>
  <conditionalFormatting sqref="R18:S19 R21:S21">
    <cfRule type="expression" dxfId="2532" priority="221">
      <formula>OR((sizing_storage_type="FC"),(sizing_storage_type="NFS"))</formula>
    </cfRule>
  </conditionalFormatting>
  <conditionalFormatting sqref="R25:S28">
    <cfRule type="expression" dxfId="2531" priority="189">
      <formula>sizing_advanced_mgmt_chosen="Selected"</formula>
    </cfRule>
  </conditionalFormatting>
  <conditionalFormatting sqref="R25:S32">
    <cfRule type="expression" dxfId="2530" priority="184">
      <formula>sizing_advanced_mgmt_chosen="Unselected"</formula>
    </cfRule>
  </conditionalFormatting>
  <conditionalFormatting sqref="R29:S29">
    <cfRule type="expression" dxfId="2529" priority="190">
      <formula>sizing_advanced_vcfops_model_chosen="Exclude"</formula>
    </cfRule>
  </conditionalFormatting>
  <conditionalFormatting sqref="R30:S30">
    <cfRule type="expression" dxfId="2528" priority="185">
      <formula>sizing_advanced_vcfops_model_chosen="Exclude"</formula>
    </cfRule>
    <cfRule type="expression" dxfId="2527" priority="187">
      <formula>sizing_advanced_vcfops_size_chosen="Exclude"</formula>
    </cfRule>
  </conditionalFormatting>
  <conditionalFormatting sqref="R31:S31">
    <cfRule type="expression" dxfId="2526" priority="188">
      <formula>sizing_advanced_vcfops_collector_chosen="Exclude"</formula>
    </cfRule>
  </conditionalFormatting>
  <conditionalFormatting sqref="R32:S32">
    <cfRule type="expression" dxfId="2525" priority="186">
      <formula>sizing_advanced_vcfauto_chosen="Exclude"</formula>
    </cfRule>
  </conditionalFormatting>
  <conditionalFormatting sqref="S44:T44">
    <cfRule type="expression" dxfId="2524" priority="927">
      <formula>sizing_w01_avi_appliance_size="Excluded"</formula>
    </cfRule>
  </conditionalFormatting>
  <conditionalFormatting sqref="S45:T45">
    <cfRule type="expression" dxfId="2523" priority="781">
      <formula>(sizing_w02_avi_appliance_size="Excluded")</formula>
    </cfRule>
    <cfRule type="expression" dxfId="2522" priority="1324">
      <formula>(sizing_w02_avi_appliance_size&lt;&gt;"Excluded")</formula>
    </cfRule>
  </conditionalFormatting>
  <conditionalFormatting sqref="S46:T46">
    <cfRule type="expression" dxfId="2521" priority="766">
      <formula>sizing_w03_avi_appliance_size="Excluded"</formula>
    </cfRule>
    <cfRule type="expression" dxfId="2520" priority="912">
      <formula>sizing_w03_avi_appliance_size&lt;&gt;"Excluded"</formula>
    </cfRule>
  </conditionalFormatting>
  <conditionalFormatting sqref="S47:T47">
    <cfRule type="expression" dxfId="2519" priority="523" stopIfTrue="1">
      <formula>(sizing_w04_avi_appliance_size="Excluded")</formula>
    </cfRule>
    <cfRule type="expression" dxfId="2518" priority="767" stopIfTrue="1">
      <formula>(sizing_w04_avi_appliance_size&lt;&gt;"Excluded")</formula>
    </cfRule>
  </conditionalFormatting>
  <conditionalFormatting sqref="S48:T48">
    <cfRule type="expression" dxfId="2517" priority="563">
      <formula>(sizing_w05_avi_appliance_size="Excluded")</formula>
    </cfRule>
    <cfRule type="expression" dxfId="2516" priority="768">
      <formula>(sizing_w05_avi_appliance_size&lt;&gt;"Excluded")</formula>
    </cfRule>
  </conditionalFormatting>
  <conditionalFormatting sqref="S49:T49">
    <cfRule type="expression" dxfId="2515" priority="584" stopIfTrue="1">
      <formula>sizing_w06_avi_appliance_size="Excluded"</formula>
    </cfRule>
    <cfRule type="expression" dxfId="2514" priority="769">
      <formula>(sizing_w06_avi_appliance_size&lt;&gt;"Excluded")</formula>
    </cfRule>
  </conditionalFormatting>
  <conditionalFormatting sqref="S50:T50">
    <cfRule type="expression" dxfId="2513" priority="770">
      <formula>sizing_w07_avi_appliance_size="Excluded"</formula>
    </cfRule>
    <cfRule type="expression" dxfId="2512" priority="1323">
      <formula>(sizing_w07_avi_appliance_size&lt;&gt;"Excluded")</formula>
    </cfRule>
  </conditionalFormatting>
  <conditionalFormatting sqref="S51:T51">
    <cfRule type="expression" dxfId="2511" priority="708">
      <formula>(sizing_w08_avi_appliance_size="Excluded")</formula>
    </cfRule>
    <cfRule type="expression" dxfId="2510" priority="771">
      <formula>(sizing_w08_avi_appliance_size&lt;&gt;"Excluded")</formula>
    </cfRule>
  </conditionalFormatting>
  <conditionalFormatting sqref="S52:T52">
    <cfRule type="expression" dxfId="2509" priority="709">
      <formula>(sizing_w09_avi_appliance_size="Excluded")</formula>
    </cfRule>
    <cfRule type="expression" dxfId="2508" priority="772">
      <formula>(sizing_w09_avi_appliance_size&lt;&gt;"Excluded")</formula>
    </cfRule>
  </conditionalFormatting>
  <conditionalFormatting sqref="S53:T53">
    <cfRule type="expression" dxfId="2507" priority="710">
      <formula>(sizing_w10_avi_appliance_size="Excluded")</formula>
    </cfRule>
    <cfRule type="expression" dxfId="2506" priority="773">
      <formula>(sizing_w10_avi_appliance_size&lt;&gt;"Excluded")</formula>
    </cfRule>
  </conditionalFormatting>
  <conditionalFormatting sqref="S54:T54">
    <cfRule type="expression" dxfId="2505" priority="712">
      <formula>(sizing_w11_avi_appliance_size="Excluded")</formula>
    </cfRule>
    <cfRule type="expression" dxfId="2504" priority="774">
      <formula>(sizing_w11_avi_appliance_size&lt;&gt;"Excluded")</formula>
    </cfRule>
  </conditionalFormatting>
  <conditionalFormatting sqref="S55:T55">
    <cfRule type="expression" dxfId="2503" priority="713">
      <formula>(sizing_w12_avi_appliance_size="Excluded")</formula>
    </cfRule>
    <cfRule type="expression" dxfId="2502" priority="775">
      <formula>(sizing_w12_avi_appliance_size&lt;&gt;"Excluded")</formula>
    </cfRule>
  </conditionalFormatting>
  <conditionalFormatting sqref="S56:T56">
    <cfRule type="expression" dxfId="2501" priority="714">
      <formula>(sizing_w13_avi_appliance_size="Excluded")</formula>
    </cfRule>
    <cfRule type="expression" dxfId="2500" priority="776">
      <formula>(sizing_w13_avi_appliance_size&lt;&gt;"Excluded")</formula>
    </cfRule>
  </conditionalFormatting>
  <conditionalFormatting sqref="S57:T57">
    <cfRule type="expression" dxfId="2499" priority="715">
      <formula>(sizing_w14_avi_appliance_size="Excluded")</formula>
    </cfRule>
    <cfRule type="expression" dxfId="2498" priority="777">
      <formula>(sizing_w14_avi_appliance_size&lt;&gt;"Excluded")</formula>
    </cfRule>
  </conditionalFormatting>
  <conditionalFormatting sqref="S58:T58">
    <cfRule type="expression" dxfId="2497" priority="716" stopIfTrue="1">
      <formula>(sizing_w15_avi_appliance_size="Excluded")</formula>
    </cfRule>
    <cfRule type="expression" dxfId="2496" priority="747">
      <formula>(sizing_w15_avi_appliance_size&lt;&gt;"Excluded")</formula>
    </cfRule>
  </conditionalFormatting>
  <conditionalFormatting sqref="S59:T59">
    <cfRule type="expression" dxfId="2495" priority="717" stopIfTrue="1">
      <formula>(sizing_w16_avi_appliance_size="Excluded")</formula>
    </cfRule>
    <cfRule type="expression" dxfId="2494" priority="719">
      <formula>(sizing_w16_avi_appliance_size&lt;&gt;"Excluded")</formula>
    </cfRule>
  </conditionalFormatting>
  <conditionalFormatting sqref="S60:T60">
    <cfRule type="expression" dxfId="2493" priority="720" stopIfTrue="1">
      <formula>(sizing_w17_avi_appliance_size="Excluded")</formula>
    </cfRule>
    <cfRule type="expression" dxfId="2492" priority="744">
      <formula>(sizing_w17_avi_appliance_size&lt;&gt;"Excluded")</formula>
    </cfRule>
  </conditionalFormatting>
  <conditionalFormatting sqref="S61:T61">
    <cfRule type="expression" dxfId="2491" priority="509">
      <formula>(sizing_w18_avi_appliance_size="Excluded")</formula>
    </cfRule>
    <cfRule type="expression" dxfId="2490" priority="711">
      <formula>(sizing_w18_avi_appliance_size&lt;&gt;"Excluded")</formula>
    </cfRule>
  </conditionalFormatting>
  <conditionalFormatting sqref="S62:T62">
    <cfRule type="expression" dxfId="2489" priority="722">
      <formula>(sizing_w19_avi_appliance_size="Excluded")</formula>
    </cfRule>
    <cfRule type="expression" dxfId="2488" priority="809">
      <formula>(sizing_w19_avi_appliance_size&lt;&gt;"Excluded")</formula>
    </cfRule>
  </conditionalFormatting>
  <conditionalFormatting sqref="S63:T63">
    <cfRule type="expression" dxfId="2487" priority="723" stopIfTrue="1">
      <formula>(sizing_w20_avi_appliance_size="Excluded")</formula>
    </cfRule>
    <cfRule type="expression" dxfId="2486" priority="812">
      <formula>(sizing_w20_avi_appliance_size&lt;&gt;"Excluded")</formula>
    </cfRule>
  </conditionalFormatting>
  <conditionalFormatting sqref="S64:T64">
    <cfRule type="expression" dxfId="2485" priority="724" stopIfTrue="1">
      <formula>(sizing_w21_avi_appliance_size="Excluded")</formula>
    </cfRule>
    <cfRule type="expression" dxfId="2484" priority="817">
      <formula>(sizing_w21_avi_appliance_size&lt;&gt;"Excluded")</formula>
    </cfRule>
  </conditionalFormatting>
  <conditionalFormatting sqref="S65:T65">
    <cfRule type="expression" dxfId="2483" priority="725">
      <formula>(sizing_w22_avi_appliance_size="Excluded")</formula>
    </cfRule>
    <cfRule type="expression" dxfId="2482" priority="820">
      <formula>(sizing_w22_avi_appliance_size&lt;&gt;"Excluded")</formula>
    </cfRule>
  </conditionalFormatting>
  <conditionalFormatting sqref="S66:T66">
    <cfRule type="expression" dxfId="2481" priority="727">
      <formula>(sizing_w23_avi_appliance_size="Excluded")</formula>
    </cfRule>
    <cfRule type="expression" dxfId="2480" priority="823">
      <formula>(sizing_w23_avi_appliance_size&lt;&gt;"Excluded")</formula>
    </cfRule>
  </conditionalFormatting>
  <conditionalFormatting sqref="S67:T67">
    <cfRule type="expression" dxfId="2479" priority="728">
      <formula>(sizing_w24_avi_appliance_size="Excluded")</formula>
    </cfRule>
    <cfRule type="expression" dxfId="2478" priority="827">
      <formula>(sizing_w24_avi_appliance_size&lt;&gt;"Excluded")</formula>
    </cfRule>
  </conditionalFormatting>
  <conditionalFormatting sqref="S68:T68">
    <cfRule type="expression" dxfId="2477" priority="93">
      <formula>(sizing_w25_avi_appliance_size="Excluded")</formula>
    </cfRule>
    <cfRule type="expression" dxfId="2476" priority="94">
      <formula>(sizing_w25_avi_appliance_size&lt;&gt;"Excluded")</formula>
    </cfRule>
  </conditionalFormatting>
  <conditionalFormatting sqref="S69:T69">
    <cfRule type="expression" dxfId="2475" priority="90">
      <formula>(sizing_w26_avi_appliance_size="Excluded")</formula>
    </cfRule>
    <cfRule type="expression" dxfId="2474" priority="91">
      <formula>(sizing_w26_avi_appliance_size&lt;&gt;"Excluded")</formula>
    </cfRule>
  </conditionalFormatting>
  <conditionalFormatting sqref="S70:T70">
    <cfRule type="expression" dxfId="2473" priority="87">
      <formula>(sizing_w27_avi_appliance_size="Excluded")</formula>
    </cfRule>
    <cfRule type="expression" dxfId="2472" priority="88">
      <formula>(sizing_w27_avi_appliance_size&lt;&gt;"Excluded")</formula>
    </cfRule>
  </conditionalFormatting>
  <conditionalFormatting sqref="S71:T71">
    <cfRule type="expression" dxfId="2471" priority="84">
      <formula>(sizing_w28_avi_appliance_size="Excluded")</formula>
    </cfRule>
    <cfRule type="expression" dxfId="2470" priority="85">
      <formula>(sizing_w28_avi_appliance_size&lt;&gt;"Excluded")</formula>
    </cfRule>
  </conditionalFormatting>
  <conditionalFormatting sqref="S72:T72">
    <cfRule type="expression" dxfId="2469" priority="81">
      <formula>(sizing_w29_avi_appliance_size="Excluded")</formula>
    </cfRule>
    <cfRule type="expression" dxfId="2468" priority="82">
      <formula>(sizing_w29_avi_appliance_size&lt;&gt;"Excluded")</formula>
    </cfRule>
  </conditionalFormatting>
  <conditionalFormatting sqref="S73:T73">
    <cfRule type="expression" dxfId="2467" priority="78">
      <formula>(sizing_w30_avi_appliance_size="Excluded")</formula>
    </cfRule>
    <cfRule type="expression" dxfId="2466" priority="79">
      <formula>(sizing_w30_avi_appliance_size&lt;&gt;"Excluded")</formula>
    </cfRule>
  </conditionalFormatting>
  <conditionalFormatting sqref="S74:T74">
    <cfRule type="expression" dxfId="2465" priority="75">
      <formula>(sizing_w31_avi_appliance_size="Excluded")</formula>
    </cfRule>
    <cfRule type="expression" dxfId="2464" priority="76">
      <formula>(sizing_w31_avi_appliance_size&lt;&gt;"Excluded")</formula>
    </cfRule>
  </conditionalFormatting>
  <conditionalFormatting sqref="S75:T75">
    <cfRule type="expression" dxfId="2463" priority="72">
      <formula>(sizing_w32_avi_appliance_size="Excluded")</formula>
    </cfRule>
    <cfRule type="expression" dxfId="2462" priority="73">
      <formula>(sizing_w32_avi_appliance_size&lt;&gt;"Excluded")</formula>
    </cfRule>
  </conditionalFormatting>
  <conditionalFormatting sqref="S76:T76">
    <cfRule type="expression" dxfId="2461" priority="69">
      <formula>(sizing_w33_avi_appliance_size="Excluded")</formula>
    </cfRule>
    <cfRule type="expression" dxfId="2460" priority="70">
      <formula>(sizing_w33_avi_appliance_size&lt;&gt;"Excluded")</formula>
    </cfRule>
  </conditionalFormatting>
  <conditionalFormatting sqref="S77:T77">
    <cfRule type="expression" dxfId="2459" priority="66">
      <formula>(sizing_w34_avi_appliance_size="Excluded")</formula>
    </cfRule>
    <cfRule type="expression" dxfId="2458" priority="67">
      <formula>(sizing_w34_avi_appliance_size&lt;&gt;"Excluded")</formula>
    </cfRule>
  </conditionalFormatting>
  <conditionalFormatting sqref="S78:T78">
    <cfRule type="expression" dxfId="2457" priority="63">
      <formula>(sizing_w35_avi_appliance_size="Excluded")</formula>
    </cfRule>
    <cfRule type="expression" dxfId="2456" priority="64">
      <formula>(sizing_w35_avi_appliance_size&lt;&gt;"Excluded")</formula>
    </cfRule>
  </conditionalFormatting>
  <conditionalFormatting sqref="S73:U73">
    <cfRule type="expression" dxfId="2455" priority="77">
      <formula>(sizing_w30_chosen="Excluded")</formula>
    </cfRule>
  </conditionalFormatting>
  <conditionalFormatting sqref="S68:W68">
    <cfRule type="expression" dxfId="2454" priority="59">
      <formula>(sizing_w25_chosen="Excluded")</formula>
    </cfRule>
  </conditionalFormatting>
  <conditionalFormatting sqref="S69:W69">
    <cfRule type="expression" dxfId="2453" priority="56">
      <formula>(sizing_w26_chosen="Excluded")</formula>
    </cfRule>
  </conditionalFormatting>
  <conditionalFormatting sqref="S70:W70">
    <cfRule type="expression" dxfId="2452" priority="53">
      <formula>(sizing_w27_chosen="Excluded")</formula>
    </cfRule>
  </conditionalFormatting>
  <conditionalFormatting sqref="S71:W71">
    <cfRule type="expression" dxfId="2451" priority="50">
      <formula>(sizing_w28_chosen="Excluded")</formula>
    </cfRule>
  </conditionalFormatting>
  <conditionalFormatting sqref="S72:W72">
    <cfRule type="expression" dxfId="2450" priority="47">
      <formula>(sizing_w29_chosen="Excluded")</formula>
    </cfRule>
  </conditionalFormatting>
  <conditionalFormatting sqref="S74:W74">
    <cfRule type="expression" dxfId="2449" priority="44">
      <formula>(sizing_w31_chosen="Excluded")</formula>
    </cfRule>
  </conditionalFormatting>
  <conditionalFormatting sqref="S75:W75">
    <cfRule type="expression" dxfId="2448" priority="38">
      <formula>(sizing_w32_chosen="Excluded")</formula>
    </cfRule>
  </conditionalFormatting>
  <conditionalFormatting sqref="S76:W76">
    <cfRule type="expression" dxfId="2447" priority="35">
      <formula>(sizing_w33_chosen="Excluded")</formula>
    </cfRule>
  </conditionalFormatting>
  <conditionalFormatting sqref="S77:W77">
    <cfRule type="expression" dxfId="2446" priority="32">
      <formula>(sizing_w34_chosen="Excluded")</formula>
    </cfRule>
  </conditionalFormatting>
  <conditionalFormatting sqref="S78:W78">
    <cfRule type="expression" dxfId="2445" priority="29">
      <formula>(sizing_w35_chosen="Excluded")</formula>
    </cfRule>
  </conditionalFormatting>
  <conditionalFormatting sqref="T45">
    <cfRule type="notContainsBlanks" dxfId="2444" priority="1321">
      <formula>LEN(TRIM(T45))&gt;0</formula>
    </cfRule>
  </conditionalFormatting>
  <conditionalFormatting sqref="U40:W40">
    <cfRule type="expression" dxfId="2443" priority="222">
      <formula>sizing_m01_ssp_chosen&lt;&gt;"Excluded"</formula>
    </cfRule>
    <cfRule type="expression" dxfId="2442" priority="223">
      <formula>sizing_m01_ssp_chosen="Excluded"</formula>
    </cfRule>
  </conditionalFormatting>
  <conditionalFormatting sqref="V44:W44">
    <cfRule type="expression" dxfId="2441" priority="225">
      <formula>sizing_w01_ssp_chosen&lt;&gt;"Excluded"</formula>
    </cfRule>
    <cfRule type="expression" dxfId="2440" priority="226">
      <formula>sizing_w01_ssp_chosen="Excluded"</formula>
    </cfRule>
  </conditionalFormatting>
  <conditionalFormatting sqref="V45:W45">
    <cfRule type="expression" dxfId="2439" priority="262">
      <formula>sizing_w02_ssp_chosen&lt;&gt;"Excluded"</formula>
    </cfRule>
    <cfRule type="expression" dxfId="2438" priority="306">
      <formula>sizing_w02_ssp_chosen="Excluded"</formula>
    </cfRule>
  </conditionalFormatting>
  <conditionalFormatting sqref="V46:W46">
    <cfRule type="expression" dxfId="2437" priority="261">
      <formula>sizing_w03_ssp_chosen&lt;&gt;"Excluded"</formula>
    </cfRule>
    <cfRule type="expression" dxfId="2436" priority="305">
      <formula>sizing_w03_ssp_chosen="Excluded"</formula>
    </cfRule>
  </conditionalFormatting>
  <conditionalFormatting sqref="V47:W47">
    <cfRule type="expression" dxfId="2435" priority="260">
      <formula>sizing_w04_ssp_chosen&lt;&gt;"Excluded"</formula>
    </cfRule>
    <cfRule type="expression" dxfId="2434" priority="304">
      <formula>sizing_w04_ssp_chosen="Excluded"</formula>
    </cfRule>
  </conditionalFormatting>
  <conditionalFormatting sqref="V48:W48">
    <cfRule type="expression" dxfId="2433" priority="259">
      <formula>sizing_w05_ssp_chosen&lt;&gt;"Excluded"</formula>
    </cfRule>
    <cfRule type="expression" dxfId="2432" priority="303">
      <formula>sizing_w05_ssp_chosen="Excluded"</formula>
    </cfRule>
  </conditionalFormatting>
  <conditionalFormatting sqref="V49:W49">
    <cfRule type="expression" dxfId="2431" priority="258">
      <formula>sizing_w06_ssp_chosen&lt;&gt;"Excluded"</formula>
    </cfRule>
    <cfRule type="expression" dxfId="2430" priority="302">
      <formula>sizing_w06_ssp_chosen="Excluded"</formula>
    </cfRule>
  </conditionalFormatting>
  <conditionalFormatting sqref="V50:W50">
    <cfRule type="expression" dxfId="2429" priority="257">
      <formula>sizing_w07_ssp_chosen&lt;&gt;"Excluded"</formula>
    </cfRule>
    <cfRule type="expression" dxfId="2428" priority="301">
      <formula>sizing_w07_ssp_chosen="Excluded"</formula>
    </cfRule>
  </conditionalFormatting>
  <conditionalFormatting sqref="V51:W51">
    <cfRule type="expression" dxfId="2427" priority="256">
      <formula>sizing_w08_ssp_chosen&lt;&gt;"Excluded"</formula>
    </cfRule>
    <cfRule type="expression" dxfId="2426" priority="300">
      <formula>sizing_w08_ssp_chosen="Excluded"</formula>
    </cfRule>
  </conditionalFormatting>
  <conditionalFormatting sqref="V52:W52">
    <cfRule type="expression" dxfId="2425" priority="255">
      <formula>sizing_w09_ssp_chosen&lt;&gt;"Excluded"</formula>
    </cfRule>
    <cfRule type="expression" dxfId="2424" priority="299">
      <formula>sizing_w09_ssp_chosen="Excluded"</formula>
    </cfRule>
  </conditionalFormatting>
  <conditionalFormatting sqref="V53:W53">
    <cfRule type="expression" dxfId="2423" priority="254">
      <formula>sizing_w10_ssp_chosen&lt;&gt;"Excluded"</formula>
    </cfRule>
    <cfRule type="expression" dxfId="2422" priority="298">
      <formula>sizing_w10_ssp_chosen="Excluded"</formula>
    </cfRule>
  </conditionalFormatting>
  <conditionalFormatting sqref="V54:W54">
    <cfRule type="expression" dxfId="2421" priority="253">
      <formula>sizing_w11_ssp_chosen&lt;&gt;"Excluded"</formula>
    </cfRule>
    <cfRule type="expression" dxfId="2420" priority="297">
      <formula>sizing_w11_ssp_chosen="Excluded"</formula>
    </cfRule>
  </conditionalFormatting>
  <conditionalFormatting sqref="V55:W55">
    <cfRule type="expression" dxfId="2419" priority="251">
      <formula>sizing_w12_ssp_chosen&lt;&gt;"Excluded"</formula>
    </cfRule>
    <cfRule type="expression" dxfId="2418" priority="294">
      <formula>sizing_w12_ssp_chosen="Excluded"</formula>
    </cfRule>
  </conditionalFormatting>
  <conditionalFormatting sqref="V56:W56">
    <cfRule type="expression" dxfId="2417" priority="249">
      <formula>sizing_w13_ssp_chosen&lt;&gt;"Excluded"</formula>
    </cfRule>
    <cfRule type="expression" dxfId="2416" priority="296">
      <formula>sizing_w13_ssp_chosen="Excluded"</formula>
    </cfRule>
  </conditionalFormatting>
  <conditionalFormatting sqref="V57:W57">
    <cfRule type="expression" dxfId="2415" priority="248">
      <formula>sizing_w14_ssp_chosen&lt;&gt;"Excluded"</formula>
    </cfRule>
    <cfRule type="expression" dxfId="2414" priority="293">
      <formula>sizing_w14_ssp_chosen="Excluded"</formula>
    </cfRule>
  </conditionalFormatting>
  <conditionalFormatting sqref="V58:W58">
    <cfRule type="expression" dxfId="2413" priority="252">
      <formula>sizing_w15_ssp_chosen&lt;&gt;"Excluded"</formula>
    </cfRule>
    <cfRule type="expression" dxfId="2412" priority="492">
      <formula>sizing_w15_ssp_chosen="Excluded"</formula>
    </cfRule>
  </conditionalFormatting>
  <conditionalFormatting sqref="V59:W59">
    <cfRule type="expression" dxfId="2411" priority="263">
      <formula>sizing_w16_ssp_chosen&lt;&gt;"Excluded"</formula>
    </cfRule>
    <cfRule type="expression" dxfId="2410" priority="489">
      <formula>sizing_w16_ssp_chosen="Excluded"</formula>
    </cfRule>
  </conditionalFormatting>
  <conditionalFormatting sqref="V60:W60">
    <cfRule type="expression" dxfId="2409" priority="264">
      <formula>sizing_w17_ssp_chosen&lt;&gt;"Excluded"</formula>
    </cfRule>
    <cfRule type="expression" dxfId="2408" priority="291">
      <formula>sizing_w17_ssp_chosen="Excluded"</formula>
    </cfRule>
  </conditionalFormatting>
  <conditionalFormatting sqref="V61:W61">
    <cfRule type="expression" dxfId="2407" priority="265">
      <formula>sizing_w18_ssp_chosen&lt;&gt;"Excluded"</formula>
    </cfRule>
    <cfRule type="expression" dxfId="2406" priority="290">
      <formula>sizing_w18_ssp_chosen="Excluded"</formula>
    </cfRule>
  </conditionalFormatting>
  <conditionalFormatting sqref="V62:W62">
    <cfRule type="expression" dxfId="2405" priority="266">
      <formula>sizing_w19_ssp_chosen&lt;&gt;"Excluded"</formula>
    </cfRule>
    <cfRule type="expression" dxfId="2404" priority="289">
      <formula>sizing_w19_ssp_chosen="Excluded"</formula>
    </cfRule>
  </conditionalFormatting>
  <conditionalFormatting sqref="V63:W63">
    <cfRule type="expression" dxfId="2403" priority="267">
      <formula>sizing_w20_ssp_chosen&lt;&gt;"Excluded"</formula>
    </cfRule>
    <cfRule type="expression" dxfId="2402" priority="288">
      <formula>sizing_w20_ssp_chosen="Excluded"</formula>
    </cfRule>
  </conditionalFormatting>
  <conditionalFormatting sqref="V64:W64">
    <cfRule type="expression" dxfId="2401" priority="268">
      <formula>sizing_w21_ssp_chosen&lt;&gt;"Excluded"</formula>
    </cfRule>
    <cfRule type="expression" dxfId="2400" priority="287">
      <formula>sizing_w21_ssp_chosen="Excluded"</formula>
    </cfRule>
  </conditionalFormatting>
  <conditionalFormatting sqref="V65:W65">
    <cfRule type="expression" dxfId="2399" priority="270">
      <formula>sizing_w22_ssp_chosen&lt;&gt;"Excluded"</formula>
    </cfRule>
    <cfRule type="expression" dxfId="2398" priority="286">
      <formula>sizing_w22_ssp_chosen="Excluded"</formula>
    </cfRule>
  </conditionalFormatting>
  <conditionalFormatting sqref="V66:W66">
    <cfRule type="expression" dxfId="2397" priority="271">
      <formula>sizing_w23_ssp_chosen&lt;&gt;"Excluded"</formula>
    </cfRule>
    <cfRule type="expression" dxfId="2396" priority="285">
      <formula>sizing_w23_ssp_chosen="Excluded"</formula>
    </cfRule>
  </conditionalFormatting>
  <conditionalFormatting sqref="V67:W67">
    <cfRule type="expression" dxfId="2395" priority="272">
      <formula>sizing_w24_ssp_chosen&lt;&gt;"Excluded"</formula>
    </cfRule>
    <cfRule type="expression" dxfId="2394" priority="481">
      <formula>sizing_w24_ssp_chosen="Excluded"</formula>
    </cfRule>
  </conditionalFormatting>
  <conditionalFormatting sqref="V68:W68">
    <cfRule type="expression" dxfId="2393" priority="60">
      <formula>sizing_w25_ssp_chosen&lt;&gt;"Excluded"</formula>
    </cfRule>
    <cfRule type="expression" dxfId="2392" priority="61">
      <formula>sizing_w25_ssp_chosen="Excluded"</formula>
    </cfRule>
  </conditionalFormatting>
  <conditionalFormatting sqref="V69:W69">
    <cfRule type="expression" dxfId="2391" priority="57">
      <formula>sizing_w26_ssp_chosen&lt;&gt;"Excluded"</formula>
    </cfRule>
    <cfRule type="expression" dxfId="2390" priority="58">
      <formula>sizing_w26_ssp_chosen="Excluded"</formula>
    </cfRule>
  </conditionalFormatting>
  <conditionalFormatting sqref="V70:W70">
    <cfRule type="expression" dxfId="2389" priority="54">
      <formula>sizing_w27_ssp_chosen&lt;&gt;"Excluded"</formula>
    </cfRule>
    <cfRule type="expression" dxfId="2388" priority="55">
      <formula>sizing_w27_ssp_chosen="Excluded"</formula>
    </cfRule>
  </conditionalFormatting>
  <conditionalFormatting sqref="V71:W71">
    <cfRule type="expression" dxfId="2387" priority="51">
      <formula>sizing_w28_ssp_chosen&lt;&gt;"Excluded"</formula>
    </cfRule>
    <cfRule type="expression" dxfId="2386" priority="52">
      <formula>sizing_w28_ssp_chosen="Excluded"</formula>
    </cfRule>
  </conditionalFormatting>
  <conditionalFormatting sqref="V72:W72">
    <cfRule type="expression" dxfId="2385" priority="48">
      <formula>sizing_w29_ssp_chosen&lt;&gt;"Excluded"</formula>
    </cfRule>
    <cfRule type="expression" dxfId="2384" priority="49">
      <formula>sizing_w29_ssp_chosen="Excluded"</formula>
    </cfRule>
  </conditionalFormatting>
  <conditionalFormatting sqref="V73:W73">
    <cfRule type="expression" dxfId="2383" priority="41">
      <formula>(sizing_w29_chosen="Excluded")</formula>
    </cfRule>
    <cfRule type="expression" dxfId="2382" priority="42">
      <formula>sizing_w29_ssp_chosen&lt;&gt;"Excluded"</formula>
    </cfRule>
    <cfRule type="expression" dxfId="2381" priority="43">
      <formula>sizing_w29_ssp_chosen="Excluded"</formula>
    </cfRule>
  </conditionalFormatting>
  <conditionalFormatting sqref="V74:W74">
    <cfRule type="expression" dxfId="2380" priority="45">
      <formula>sizing_w31_ssp_chosen&lt;&gt;"Excluded"</formula>
    </cfRule>
    <cfRule type="expression" dxfId="2379" priority="46">
      <formula>sizing_w31_ssp_chosen="Excluded"</formula>
    </cfRule>
  </conditionalFormatting>
  <conditionalFormatting sqref="V75:W75">
    <cfRule type="expression" dxfId="2378" priority="39">
      <formula>sizing_w32_ssp_chosen&lt;&gt;"Excluded"</formula>
    </cfRule>
    <cfRule type="expression" dxfId="2377" priority="40">
      <formula>sizing_w32_ssp_chosen="Excluded"</formula>
    </cfRule>
  </conditionalFormatting>
  <conditionalFormatting sqref="V76:W76">
    <cfRule type="expression" dxfId="2376" priority="36">
      <formula>sizing_w33_ssp_chosen&lt;&gt;"Excluded"</formula>
    </cfRule>
    <cfRule type="expression" dxfId="2375" priority="37">
      <formula>sizing_w33_ssp_chosen="Excluded"</formula>
    </cfRule>
  </conditionalFormatting>
  <conditionalFormatting sqref="V77:W77">
    <cfRule type="expression" dxfId="2374" priority="33">
      <formula>sizing_w34_ssp_chosen&lt;&gt;"Excluded"</formula>
    </cfRule>
    <cfRule type="expression" dxfId="2373" priority="34">
      <formula>sizing_w34_ssp_chosen="Excluded"</formula>
    </cfRule>
  </conditionalFormatting>
  <conditionalFormatting sqref="V78:W78">
    <cfRule type="expression" dxfId="2372" priority="30">
      <formula>sizing_w35_ssp_chosen&lt;&gt;"Excluded"</formula>
    </cfRule>
    <cfRule type="expression" dxfId="2371" priority="31">
      <formula>sizing_w35_ssp_chosen="Excluded"</formula>
    </cfRule>
  </conditionalFormatting>
  <dataValidations count="53">
    <dataValidation type="list" allowBlank="1" showInputMessage="1" showErrorMessage="1" sqref="D44:D78 R25" xr:uid="{14357478-74C3-7843-A370-D40D3EBF3D4A}">
      <formula1>sizing_vcenter_appliance_size_list</formula1>
    </dataValidation>
    <dataValidation type="list" allowBlank="1" showInputMessage="1" showErrorMessage="1" sqref="F44:F78 R26" xr:uid="{8B9FC74C-01BD-3B4C-A2CA-80E3E74E6273}">
      <formula1>sizing_vcenter_storage_size_list</formula1>
    </dataValidation>
    <dataValidation type="list" allowBlank="1" showInputMessage="1" showErrorMessage="1" sqref="I44:I78 M44:M78" xr:uid="{00F9908E-9DC1-FA44-97C3-626F106238A4}">
      <formula1>sizing_nsxt_manager_size_list</formula1>
    </dataValidation>
    <dataValidation type="list" allowBlank="1" showInputMessage="1" showErrorMessage="1" sqref="L40" xr:uid="{2D4C7AF1-8E6E-5444-BE95-1DA7C0856F3E}">
      <formula1>sizing_nsxt_edge_sizing_list</formula1>
    </dataValidation>
    <dataValidation type="list" allowBlank="1" showInputMessage="1" showErrorMessage="1" sqref="C44:C78" xr:uid="{850C76AA-40C6-2549-812B-8C66BBC265F7}">
      <formula1>"Excluded,Included"</formula1>
    </dataValidation>
    <dataValidation type="list" allowBlank="1" showInputMessage="1" showErrorMessage="1" sqref="E15:E16" xr:uid="{11BFD4F2-A4DF-254B-BD3F-F35436314266}">
      <formula1>"1,1.5,2"</formula1>
    </dataValidation>
    <dataValidation type="list" allowBlank="1" showInputMessage="1" showErrorMessage="1" sqref="H44:H78" xr:uid="{D48F9B03-DF1B-4E4B-A4FE-17B5F238C2EF}">
      <formula1>table_nsxt_deployment_model</formula1>
    </dataValidation>
    <dataValidation type="list" allowBlank="1" showInputMessage="1" showErrorMessage="1" sqref="P44:P78 E28:E29 E35" xr:uid="{212DB531-E8A7-4742-A595-AAF977392A52}">
      <formula1>"Exclude,Include"</formula1>
    </dataValidation>
    <dataValidation type="list" allowBlank="1" showInputMessage="1" showErrorMessage="1" sqref="L44:L78" xr:uid="{7B474D8E-6BA7-904A-B132-9114AC58EF81}">
      <formula1>"Excluded, Active GM, Standby GM, Connect Instance"</formula1>
    </dataValidation>
    <dataValidation type="list" allowBlank="1" showInputMessage="1" showErrorMessage="1" sqref="O40" xr:uid="{9BBEDE2B-8768-3C44-A272-EAFD748ABF7A}">
      <formula1>"Excluded,Small,Medium, Large,X-Large"</formula1>
    </dataValidation>
    <dataValidation type="list" allowBlank="1" showInputMessage="1" showErrorMessage="1" sqref="B83:D83" xr:uid="{47CF29FA-F268-A142-9187-981C8A61D907}">
      <formula1>"Include,Exclude"</formula1>
    </dataValidation>
    <dataValidation type="list" allowBlank="1" showInputMessage="1" showErrorMessage="1" sqref="E21" xr:uid="{CF436D50-012E-214D-A86B-0BB51C5694A0}">
      <formula1>"Simple,High Availability"</formula1>
    </dataValidation>
    <dataValidation type="list" allowBlank="1" showInputMessage="1" showErrorMessage="1" sqref="B82:D82" xr:uid="{7572D7C9-76E2-3A40-B4E6-7D17DB23D20E}">
      <formula1>"Exclude,Management Only, Workload Only, Management &amp; Workload"</formula1>
    </dataValidation>
    <dataValidation type="list" allowBlank="1" showInputMessage="1" showErrorMessage="1" sqref="E27 E25" xr:uid="{ADEBE70F-10E5-764A-95E0-D3C05A7B4BFD}">
      <formula1>"Exclude,Small,Medium,Large"</formula1>
    </dataValidation>
    <dataValidation type="list" allowBlank="1" showInputMessage="1" showErrorMessage="1" sqref="S44:S78 Q40" xr:uid="{250C7E69-7098-E346-A736-9BB578F21885}">
      <formula1>"Excluded,Small,Large,X-Large"</formula1>
    </dataValidation>
    <dataValidation type="list" allowBlank="1" showInputMessage="1" showErrorMessage="1" sqref="V67:V78" xr:uid="{34789007-E672-AB45-A92C-37B9AE562D78}">
      <formula1>IF(sizing_w24_nsxt_model="Shared",vcf_pnp_result_excluded,table_ssp_sizes)</formula1>
    </dataValidation>
    <dataValidation type="list" allowBlank="1" showInputMessage="1" showErrorMessage="1" sqref="U40" xr:uid="{A69987EB-AB95-7444-9F57-D895F8801CF9}">
      <formula1>"Excluded,Include"</formula1>
    </dataValidation>
    <dataValidation type="list" allowBlank="1" showInputMessage="1" showErrorMessage="1" sqref="V45" xr:uid="{F162FB1B-3B74-EB43-9CFE-DF0E981449A4}">
      <formula1>IF(sizing_w02_nsxt_model="Shared",vcf_pnp_result_excluded,table_ssp_sizes)</formula1>
    </dataValidation>
    <dataValidation type="list" allowBlank="1" showInputMessage="1" showErrorMessage="1" sqref="V46" xr:uid="{140A259D-D110-F34C-85DD-80895995DBDC}">
      <formula1>IF(sizing_w03_nsxt_model="Shared",vcf_pnp_result_excluded,table_ssp_sizes)</formula1>
    </dataValidation>
    <dataValidation type="list" allowBlank="1" showInputMessage="1" showErrorMessage="1" sqref="V47" xr:uid="{7AEB54F1-B131-344A-9817-4066201603F3}">
      <formula1>IF(sizing_w04_nsxt_model="Shared",vcf_pnp_result_excluded,table_ssp_sizes)</formula1>
    </dataValidation>
    <dataValidation type="list" allowBlank="1" showInputMessage="1" showErrorMessage="1" sqref="V48" xr:uid="{52BF8EA8-D84B-3B4F-ACEE-57AD506B4D41}">
      <formula1>IF(sizing_w05_nsxt_model="Shared",vcf_pnp_result_excluded,table_ssp_sizes)</formula1>
    </dataValidation>
    <dataValidation type="list" allowBlank="1" showInputMessage="1" showErrorMessage="1" sqref="V49" xr:uid="{2271A7B8-8EDA-6244-807A-9F4C40660503}">
      <formula1>IF(sizing_w06_nsxt_model="Shared",vcf_pnp_result_excluded,table_ssp_sizes)</formula1>
    </dataValidation>
    <dataValidation type="list" allowBlank="1" showInputMessage="1" showErrorMessage="1" sqref="V50" xr:uid="{C56FA170-11E4-CC4B-AB03-762A206BC179}">
      <formula1>IF(sizing_w07_nsxt_model="Shared",vcf_pnp_result_excluded,table_ssp_sizes)</formula1>
    </dataValidation>
    <dataValidation type="list" allowBlank="1" showInputMessage="1" showErrorMessage="1" sqref="V51" xr:uid="{253EC62D-D70C-4940-9388-898813A2ECFB}">
      <formula1>IF(sizing_w08_nsxt_model="Shared",vcf_pnp_result_excluded,table_ssp_sizes)</formula1>
    </dataValidation>
    <dataValidation type="list" allowBlank="1" showInputMessage="1" showErrorMessage="1" sqref="V52" xr:uid="{992D7515-2B68-3B46-9439-6CEF3A41C9B3}">
      <formula1>IF(sizing_w09_nsxt_model="Shared",vcf_pnp_result_excluded,table_ssp_sizes)</formula1>
    </dataValidation>
    <dataValidation type="list" allowBlank="1" showInputMessage="1" showErrorMessage="1" sqref="V53" xr:uid="{CE7B262D-2494-B942-9AD6-DD1BFE14F94D}">
      <formula1>IF(sizing_w10_nsxt_model="Shared",vcf_pnp_result_excluded,table_ssp_sizes)</formula1>
    </dataValidation>
    <dataValidation type="list" allowBlank="1" showInputMessage="1" showErrorMessage="1" sqref="V54" xr:uid="{EF715655-CCFD-2742-B5EB-DD30A728C492}">
      <formula1>IF(sizing_w11_nsxt_model="Shared",vcf_pnp_result_excluded,table_ssp_sizes)</formula1>
    </dataValidation>
    <dataValidation type="list" allowBlank="1" showInputMessage="1" showErrorMessage="1" sqref="V55" xr:uid="{9DD504C9-CA3A-1A45-B959-F70F12442F6A}">
      <formula1>IF(sizing_w12_nsxt_model="Shared",vcf_pnp_result_excluded,table_ssp_sizes)</formula1>
    </dataValidation>
    <dataValidation type="list" allowBlank="1" showInputMessage="1" showErrorMessage="1" sqref="V56" xr:uid="{A86F70B1-AFA1-5147-9618-CB112D30FD80}">
      <formula1>IF(sizing_w13_nsxt_model="Shared",vcf_pnp_result_excluded,table_ssp_sizes)</formula1>
    </dataValidation>
    <dataValidation type="list" allowBlank="1" showInputMessage="1" showErrorMessage="1" sqref="V57" xr:uid="{D6927AA3-0DE8-0342-9D58-05B466970361}">
      <formula1>IF(sizing_w14_nsxt_model="Shared",vcf_pnp_result_excluded,table_ssp_sizes)</formula1>
    </dataValidation>
    <dataValidation type="list" allowBlank="1" showInputMessage="1" showErrorMessage="1" sqref="V58" xr:uid="{9FDB5DED-51EF-8B44-AD41-06A407015F55}">
      <formula1>IF(sizing_w15_nsxt_model="Shared",vcf_pnp_result_excluded,table_ssp_sizes)</formula1>
    </dataValidation>
    <dataValidation type="list" allowBlank="1" showInputMessage="1" showErrorMessage="1" sqref="V59" xr:uid="{8B095D39-3211-8744-A964-94DF3418D65C}">
      <formula1>IF(sizing_w16_nsxt_model="Shared",vcf_pnp_result_excluded,table_ssp_sizes)</formula1>
    </dataValidation>
    <dataValidation type="list" allowBlank="1" showInputMessage="1" showErrorMessage="1" sqref="V60" xr:uid="{86F57C74-3F18-604F-89DC-EA8DD72347A8}">
      <formula1>IF(sizing_w17_nsxt_model="Shared",vcf_pnp_result_excluded,table_ssp_sizes)</formula1>
    </dataValidation>
    <dataValidation type="list" allowBlank="1" showInputMessage="1" showErrorMessage="1" sqref="V61" xr:uid="{6D47918D-93F4-5643-8644-89BE547CC405}">
      <formula1>IF(sizing_w18_nsxt_model="Shared",vcf_pnp_result_excluded,table_ssp_sizes)</formula1>
    </dataValidation>
    <dataValidation type="list" allowBlank="1" showInputMessage="1" showErrorMessage="1" sqref="V62" xr:uid="{DE1B6F85-3642-CD44-9725-2EABC5887CC6}">
      <formula1>IF(sizing_w19_nsxt_model="Shared",vcf_pnp_result_excluded,table_ssp_sizes)</formula1>
    </dataValidation>
    <dataValidation type="list" allowBlank="1" showInputMessage="1" showErrorMessage="1" sqref="V63" xr:uid="{BFA87470-0692-6144-B87D-D1D0E1407C9A}">
      <formula1>IF(sizing_w20_nsxt_model="Shared",vcf_pnp_result_excluded,table_ssp_sizes)</formula1>
    </dataValidation>
    <dataValidation type="list" allowBlank="1" showInputMessage="1" showErrorMessage="1" sqref="V64" xr:uid="{71D6C944-2F2B-1A49-AB33-EF6679F94E0F}">
      <formula1>IF(sizing_w21_nsxt_model="Shared",vcf_pnp_result_excluded,table_ssp_sizes)</formula1>
    </dataValidation>
    <dataValidation type="list" allowBlank="1" showInputMessage="1" showErrorMessage="1" sqref="V65" xr:uid="{C8DF3384-B6C7-4D47-8B8A-08A91399F0ED}">
      <formula1>IF(sizing_w22_nsxt_model="Shared",vcf_pnp_result_excluded,table_ssp_sizes)</formula1>
    </dataValidation>
    <dataValidation type="list" allowBlank="1" showInputMessage="1" showErrorMessage="1" sqref="V66" xr:uid="{9F3B38D4-9B39-FE4C-B905-845F0C1E7098}">
      <formula1>IF(sizing_w23_nsxt_model="Shared",vcf_pnp_result_excluded,table_ssp_sizes)</formula1>
    </dataValidation>
    <dataValidation type="list" allowBlank="1" showInputMessage="1" showErrorMessage="1" sqref="R13:S13" xr:uid="{0946D42E-9096-CE4F-B282-8EEC98399D0B}">
      <formula1>"vSAN-ESA,vSAN-OSA,NFS,FC"</formula1>
    </dataValidation>
    <dataValidation type="list" allowBlank="1" showInputMessage="1" showErrorMessage="1" sqref="E22" xr:uid="{054DE2F5-B8A7-1B42-9719-E0174893779F}">
      <formula1>IF(sizing_vcf_deployment_model_chosen="Simple",sizing_vcf_deployment_model_small,sizing_vcf_deployment_model)</formula1>
    </dataValidation>
    <dataValidation type="list" allowBlank="1" showInputMessage="1" showErrorMessage="1" sqref="E26" xr:uid="{1AE2973F-D078-F64F-AA5B-4A43BB746B51}">
      <formula1>IF(sizing_vcfops_logs_chosen="Small",sizing_log_replicas_small, IF(sizing_vcfops_logs_chosen="Medium",sizing_log_replicas_medium, IF(sizing_vcfops_logs_chosen="Large",sizing_log_replicas_medium,vcf_pnp_result_exclude )))</formula1>
    </dataValidation>
    <dataValidation type="list" allowBlank="1" showInputMessage="1" showErrorMessage="1" sqref="E30" xr:uid="{6997D753-B7D3-1747-8406-21224EDDD1FF}">
      <formula1>"Exclude,Small,Medium,Large,XLarge"</formula1>
    </dataValidation>
    <dataValidation type="list" allowBlank="1" showInputMessage="1" showErrorMessage="1" sqref="E20" xr:uid="{F959AA3C-1137-734F-AF84-6423FA1C6358}">
      <formula1>"First Instance,Additional Instance"</formula1>
    </dataValidation>
    <dataValidation type="list" allowBlank="1" showInputMessage="1" showErrorMessage="1" sqref="E32:E34" xr:uid="{07DB0E0F-5CB1-2142-BA18-E90028772CF0}">
      <formula1>"Exclude,Include,Existing"</formula1>
    </dataValidation>
    <dataValidation type="list" allowBlank="1" showInputMessage="1" showErrorMessage="1" sqref="V44" xr:uid="{08E9824D-D6DA-FD48-AFF6-E315D183B76E}">
      <formula1>IF(sizing_w01_nsxt_model="Shared",vcf_pnp_result_excluded,table_ssp_sizes)</formula1>
    </dataValidation>
    <dataValidation type="list" allowBlank="1" showInputMessage="1" showErrorMessage="1" sqref="R29:S29" xr:uid="{B8B5B6B6-0821-634B-B6E9-FC02F27CC25E}">
      <formula1>"Exclude,HA Cluster,Single Node"</formula1>
    </dataValidation>
    <dataValidation type="list" allowBlank="1" showInputMessage="1" showErrorMessage="1" sqref="R30:S30" xr:uid="{A6DF3FF9-5D10-0844-ACEE-5209EB51EF38}">
      <formula1>"Exclude,Extra Small, Small, Medium, Large, Extra Large"</formula1>
    </dataValidation>
    <dataValidation type="list" allowBlank="1" showInputMessage="1" showErrorMessage="1" sqref="R24:S24" xr:uid="{66C9AA2C-1961-AF41-BD28-D8DF9274C0C4}">
      <formula1>"Selected,Unselected"</formula1>
    </dataValidation>
    <dataValidation type="list" allowBlank="1" showInputMessage="1" showErrorMessage="1" sqref="R27:S27" xr:uid="{46C9D1C6-D4C0-E34E-9940-8529866C9C29}">
      <formula1>"Mandatory - Single Node,Mandatory - HA Cluster"</formula1>
    </dataValidation>
    <dataValidation type="list" allowBlank="1" showInputMessage="1" showErrorMessage="1" sqref="R31:S31" xr:uid="{BCA2E0AB-0B3D-E647-B5C5-266AFB281634}">
      <formula1>"Exclude,Small,Standard"</formula1>
    </dataValidation>
    <dataValidation type="list" allowBlank="1" showInputMessage="1" showErrorMessage="1" sqref="R32:S32" xr:uid="{D8959C5F-FCCB-8D4C-8C94-B708FA4F116F}">
      <formula1>"Small,Medium,Large,Exclude"</formula1>
    </dataValidation>
    <dataValidation type="list" allowBlank="1" showInputMessage="1" showErrorMessage="1" sqref="R28:S28" xr:uid="{8F52F039-0A0B-4F4F-A247-1AF549E4157C}">
      <formula1>"Medium,Large,XLarge"</formula1>
    </dataValidation>
  </dataValidations>
  <hyperlinks>
    <hyperlink ref="E82" r:id="rId1" xr:uid="{00000000-0004-0000-0200-000000000000}"/>
    <hyperlink ref="E83" r:id="rId2" xr:uid="{00000000-0004-0000-0200-000001000000}"/>
  </hyperlinks>
  <pageMargins left="0.7" right="0.7" top="0.75" bottom="0.75" header="0.3" footer="0.3"/>
  <pageSetup paperSize="9" orientation="portrait" horizontalDpi="0" verticalDpi="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9A17-4D38-9546-888C-004E4A58E20B}">
  <sheetPr codeName="Sheet11">
    <tabColor theme="3"/>
  </sheetPr>
  <dimension ref="A1:U518"/>
  <sheetViews>
    <sheetView showGridLines="0" zoomScaleNormal="100" workbookViewId="0">
      <pane ySplit="4" topLeftCell="A243" activePane="bottomLeft" state="frozen"/>
      <selection pane="bottomLeft" activeCell="G279" sqref="G279"/>
    </sheetView>
  </sheetViews>
  <sheetFormatPr baseColWidth="10" defaultColWidth="10.83203125" defaultRowHeight="16" x14ac:dyDescent="0.2"/>
  <cols>
    <col min="1" max="1" width="2.83203125" style="2" customWidth="1"/>
    <col min="2" max="2" width="51" style="2" customWidth="1"/>
    <col min="3" max="3" width="34.33203125" style="2" bestFit="1" customWidth="1"/>
    <col min="4" max="4" width="24.1640625" style="11" bestFit="1" customWidth="1"/>
    <col min="5" max="5" width="28.83203125" style="3" customWidth="1"/>
    <col min="6" max="6" width="23.5" style="2" bestFit="1" customWidth="1"/>
    <col min="7" max="7" width="29.5" style="2" bestFit="1" customWidth="1"/>
    <col min="8" max="8" width="44.33203125" style="2" bestFit="1" customWidth="1"/>
    <col min="9" max="9" width="39.83203125" style="2" bestFit="1" customWidth="1"/>
    <col min="10" max="10" width="23" style="2" bestFit="1" customWidth="1"/>
    <col min="11" max="11" width="26.1640625" style="2" bestFit="1" customWidth="1"/>
    <col min="12" max="21" width="22.83203125" style="2" customWidth="1"/>
    <col min="22" max="24" width="10.83203125" style="2" customWidth="1"/>
    <col min="25" max="16384" width="10.83203125" style="2"/>
  </cols>
  <sheetData>
    <row r="1" spans="1:21" ht="16" customHeight="1" x14ac:dyDescent="0.2">
      <c r="A1" s="2" t="s">
        <v>836</v>
      </c>
      <c r="D1" s="2"/>
      <c r="E1" s="2"/>
    </row>
    <row r="2" spans="1:21" ht="54" customHeight="1" x14ac:dyDescent="0.2">
      <c r="B2" s="518" t="s">
        <v>2135</v>
      </c>
      <c r="C2" s="518"/>
      <c r="D2" s="518"/>
      <c r="E2" s="518"/>
      <c r="F2" s="518"/>
      <c r="G2" s="518"/>
      <c r="H2" s="518"/>
      <c r="I2" s="518"/>
      <c r="J2" s="518"/>
      <c r="K2" s="518"/>
      <c r="L2" s="518"/>
      <c r="M2" s="518"/>
      <c r="N2" s="518"/>
      <c r="O2" s="518"/>
      <c r="P2" s="518"/>
      <c r="Q2" s="518"/>
      <c r="R2" s="518"/>
      <c r="S2" s="518"/>
      <c r="T2" s="518"/>
      <c r="U2" s="518"/>
    </row>
    <row r="3" spans="1:21" ht="20" customHeight="1" x14ac:dyDescent="0.2">
      <c r="B3" s="431" t="s">
        <v>2136</v>
      </c>
      <c r="C3" s="431"/>
      <c r="D3" s="431"/>
      <c r="E3" s="431"/>
      <c r="F3" s="431"/>
      <c r="G3" s="431"/>
      <c r="H3" s="431"/>
      <c r="I3" s="431"/>
      <c r="J3" s="431"/>
      <c r="K3" s="431"/>
      <c r="L3" s="431"/>
      <c r="M3" s="431"/>
      <c r="N3" s="431"/>
      <c r="O3" s="431"/>
      <c r="P3" s="431"/>
      <c r="Q3" s="431"/>
      <c r="R3" s="431"/>
      <c r="S3" s="431"/>
      <c r="T3" s="431"/>
      <c r="U3" s="431"/>
    </row>
    <row r="6" spans="1:21" s="125" customFormat="1" ht="34" customHeight="1" x14ac:dyDescent="0.2">
      <c r="B6" s="517" t="s">
        <v>2137</v>
      </c>
      <c r="C6" s="517"/>
      <c r="D6" s="11"/>
      <c r="E6" s="233" t="s">
        <v>2138</v>
      </c>
      <c r="F6" s="2"/>
      <c r="L6" s="521"/>
      <c r="M6" s="522"/>
      <c r="N6" s="522"/>
      <c r="O6" s="522"/>
      <c r="P6" s="523"/>
    </row>
    <row r="7" spans="1:21" ht="20" customHeight="1" x14ac:dyDescent="0.2">
      <c r="B7" s="200" t="s">
        <v>2139</v>
      </c>
      <c r="C7" s="200" t="s">
        <v>1043</v>
      </c>
      <c r="E7" s="8" t="s">
        <v>178</v>
      </c>
      <c r="F7" s="2" t="s">
        <v>178</v>
      </c>
      <c r="L7" s="524"/>
      <c r="M7" s="527"/>
      <c r="N7" s="528"/>
      <c r="O7" s="528"/>
      <c r="P7" s="529"/>
    </row>
    <row r="8" spans="1:21" ht="20" customHeight="1" x14ac:dyDescent="0.2">
      <c r="B8" s="234" t="s">
        <v>2140</v>
      </c>
      <c r="C8" s="234" t="s">
        <v>2141</v>
      </c>
      <c r="E8" s="8" t="s">
        <v>13</v>
      </c>
      <c r="F8" s="2" t="s">
        <v>2142</v>
      </c>
      <c r="L8" s="525"/>
      <c r="M8" s="530"/>
      <c r="N8" s="531"/>
      <c r="O8" s="531"/>
      <c r="P8" s="532"/>
    </row>
    <row r="9" spans="1:21" ht="17" x14ac:dyDescent="0.2">
      <c r="B9" s="234" t="s">
        <v>2140</v>
      </c>
      <c r="C9" s="234" t="s">
        <v>539</v>
      </c>
      <c r="L9" s="525"/>
      <c r="M9" s="530"/>
      <c r="N9" s="531"/>
      <c r="O9" s="531"/>
      <c r="P9" s="532"/>
    </row>
    <row r="10" spans="1:21" ht="17" x14ac:dyDescent="0.2">
      <c r="B10" s="234" t="s">
        <v>2140</v>
      </c>
      <c r="C10" s="234" t="s">
        <v>92</v>
      </c>
      <c r="E10" s="233" t="s">
        <v>2143</v>
      </c>
      <c r="F10" s="233" t="s">
        <v>2144</v>
      </c>
      <c r="G10" s="233" t="s">
        <v>2145</v>
      </c>
      <c r="H10" s="233" t="s">
        <v>2146</v>
      </c>
      <c r="I10" s="233" t="s">
        <v>3731</v>
      </c>
      <c r="L10" s="525"/>
      <c r="M10" s="530"/>
      <c r="N10" s="531"/>
      <c r="O10" s="531"/>
      <c r="P10" s="532"/>
    </row>
    <row r="11" spans="1:21" ht="17" x14ac:dyDescent="0.2">
      <c r="B11" s="234" t="s">
        <v>2140</v>
      </c>
      <c r="C11" s="234" t="s">
        <v>657</v>
      </c>
      <c r="E11" s="26" t="s">
        <v>2147</v>
      </c>
      <c r="F11" s="26" t="s">
        <v>2145</v>
      </c>
      <c r="G11" s="26" t="s">
        <v>2148</v>
      </c>
      <c r="H11" s="42" t="s">
        <v>2149</v>
      </c>
      <c r="I11" s="42" t="s">
        <v>3676</v>
      </c>
      <c r="L11" s="525"/>
      <c r="M11" s="530"/>
      <c r="N11" s="531"/>
      <c r="O11" s="531"/>
      <c r="P11" s="532"/>
    </row>
    <row r="12" spans="1:21" ht="17" x14ac:dyDescent="0.2">
      <c r="B12" s="234" t="s">
        <v>2140</v>
      </c>
      <c r="C12" s="234" t="s">
        <v>3664</v>
      </c>
      <c r="E12" s="26" t="s">
        <v>100</v>
      </c>
      <c r="F12" s="26" t="s">
        <v>2146</v>
      </c>
      <c r="G12" s="26" t="s">
        <v>3990</v>
      </c>
      <c r="H12" s="42" t="s">
        <v>3990</v>
      </c>
      <c r="L12" s="525"/>
      <c r="M12" s="530"/>
      <c r="N12" s="531"/>
      <c r="O12" s="531"/>
      <c r="P12" s="532"/>
    </row>
    <row r="13" spans="1:21" ht="17" x14ac:dyDescent="0.2">
      <c r="B13" s="234" t="s">
        <v>2151</v>
      </c>
      <c r="C13" s="234" t="s">
        <v>745</v>
      </c>
      <c r="G13" s="26" t="s">
        <v>2152</v>
      </c>
      <c r="H13" s="42" t="s">
        <v>2152</v>
      </c>
      <c r="L13" s="525"/>
      <c r="M13" s="530"/>
      <c r="N13" s="531"/>
      <c r="O13" s="531"/>
      <c r="P13" s="532"/>
    </row>
    <row r="14" spans="1:21" ht="17" x14ac:dyDescent="0.2">
      <c r="B14" s="234" t="s">
        <v>2151</v>
      </c>
      <c r="C14" s="234" t="s">
        <v>657</v>
      </c>
      <c r="E14" s="236" t="s">
        <v>1081</v>
      </c>
      <c r="G14" s="26" t="s">
        <v>3740</v>
      </c>
      <c r="H14" s="42" t="s">
        <v>3740</v>
      </c>
      <c r="L14" s="525"/>
      <c r="M14" s="530"/>
      <c r="N14" s="531"/>
      <c r="O14" s="531"/>
      <c r="P14" s="532"/>
    </row>
    <row r="15" spans="1:21" ht="17" x14ac:dyDescent="0.2">
      <c r="B15" s="234" t="s">
        <v>2151</v>
      </c>
      <c r="C15" s="234" t="s">
        <v>3664</v>
      </c>
      <c r="E15" s="26" t="s">
        <v>2154</v>
      </c>
      <c r="L15" s="525"/>
      <c r="M15" s="530"/>
      <c r="N15" s="531"/>
      <c r="O15" s="531"/>
      <c r="P15" s="532"/>
    </row>
    <row r="16" spans="1:21" ht="17" x14ac:dyDescent="0.2">
      <c r="B16" s="234" t="s">
        <v>2156</v>
      </c>
      <c r="C16" s="234" t="s">
        <v>2157</v>
      </c>
      <c r="E16" s="26" t="s">
        <v>2158</v>
      </c>
      <c r="L16" s="525"/>
      <c r="M16" s="530"/>
      <c r="N16" s="531"/>
      <c r="O16" s="531"/>
      <c r="P16" s="532"/>
    </row>
    <row r="17" spans="2:16" ht="17" x14ac:dyDescent="0.2">
      <c r="B17" s="234" t="s">
        <v>2156</v>
      </c>
      <c r="C17" s="234" t="s">
        <v>539</v>
      </c>
      <c r="E17" s="26" t="s">
        <v>2159</v>
      </c>
      <c r="L17" s="525"/>
      <c r="M17" s="530"/>
      <c r="N17" s="531"/>
      <c r="O17" s="531"/>
      <c r="P17" s="532"/>
    </row>
    <row r="18" spans="2:16" ht="17" x14ac:dyDescent="0.2">
      <c r="B18" s="234" t="s">
        <v>2156</v>
      </c>
      <c r="C18" s="234" t="s">
        <v>92</v>
      </c>
      <c r="E18" s="26" t="s">
        <v>646</v>
      </c>
      <c r="L18" s="525"/>
      <c r="M18" s="530"/>
      <c r="N18" s="531"/>
      <c r="O18" s="531"/>
      <c r="P18" s="532"/>
    </row>
    <row r="19" spans="2:16" ht="17" x14ac:dyDescent="0.2">
      <c r="B19" s="234" t="s">
        <v>2156</v>
      </c>
      <c r="C19" s="234" t="s">
        <v>657</v>
      </c>
      <c r="E19" s="26" t="s">
        <v>2155</v>
      </c>
      <c r="L19" s="525"/>
      <c r="M19" s="530"/>
      <c r="N19" s="531"/>
      <c r="O19" s="531"/>
      <c r="P19" s="532"/>
    </row>
    <row r="20" spans="2:16" ht="17" x14ac:dyDescent="0.2">
      <c r="B20" s="234" t="s">
        <v>2156</v>
      </c>
      <c r="C20" s="234" t="s">
        <v>3664</v>
      </c>
      <c r="L20" s="525"/>
      <c r="M20" s="530"/>
      <c r="N20" s="531"/>
      <c r="O20" s="531"/>
      <c r="P20" s="532"/>
    </row>
    <row r="21" spans="2:16" ht="17" x14ac:dyDescent="0.2">
      <c r="B21" s="234" t="s">
        <v>2160</v>
      </c>
      <c r="C21" s="234" t="s">
        <v>2142</v>
      </c>
      <c r="E21" s="233" t="s">
        <v>1081</v>
      </c>
      <c r="L21" s="525"/>
      <c r="M21" s="530"/>
      <c r="N21" s="531"/>
      <c r="O21" s="531"/>
      <c r="P21" s="532"/>
    </row>
    <row r="22" spans="2:16" ht="17" x14ac:dyDescent="0.2">
      <c r="B22" s="234" t="s">
        <v>2160</v>
      </c>
      <c r="C22" s="234" t="s">
        <v>4024</v>
      </c>
      <c r="E22" s="26" t="s">
        <v>2158</v>
      </c>
      <c r="L22" s="525"/>
      <c r="M22" s="530"/>
      <c r="N22" s="531"/>
      <c r="O22" s="531"/>
      <c r="P22" s="532"/>
    </row>
    <row r="23" spans="2:16" ht="17" x14ac:dyDescent="0.2">
      <c r="B23" s="234" t="s">
        <v>2160</v>
      </c>
      <c r="C23" s="234" t="s">
        <v>4025</v>
      </c>
      <c r="E23" s="26" t="s">
        <v>2154</v>
      </c>
      <c r="L23" s="525"/>
      <c r="M23" s="530"/>
      <c r="N23" s="531"/>
      <c r="O23" s="531"/>
      <c r="P23" s="532"/>
    </row>
    <row r="24" spans="2:16" ht="17" x14ac:dyDescent="0.2">
      <c r="B24" s="234" t="s">
        <v>2160</v>
      </c>
      <c r="C24" s="234" t="s">
        <v>4026</v>
      </c>
      <c r="E24" s="26" t="s">
        <v>646</v>
      </c>
      <c r="L24" s="525"/>
      <c r="M24" s="530"/>
      <c r="N24" s="531"/>
      <c r="O24" s="531"/>
      <c r="P24" s="532"/>
    </row>
    <row r="25" spans="2:16" ht="20" customHeight="1" x14ac:dyDescent="0.2">
      <c r="B25" s="234" t="s">
        <v>2160</v>
      </c>
      <c r="C25" s="234" t="s">
        <v>4027</v>
      </c>
      <c r="F25" s="538"/>
      <c r="G25" s="538"/>
      <c r="L25" s="525"/>
      <c r="M25" s="530"/>
      <c r="N25" s="531"/>
      <c r="O25" s="531"/>
      <c r="P25" s="532"/>
    </row>
    <row r="26" spans="2:16" ht="20" customHeight="1" x14ac:dyDescent="0.2">
      <c r="B26" s="234" t="s">
        <v>2160</v>
      </c>
      <c r="C26" s="234" t="s">
        <v>4028</v>
      </c>
      <c r="F26" s="410"/>
      <c r="G26" s="410"/>
      <c r="L26" s="525"/>
      <c r="M26" s="530"/>
      <c r="N26" s="531"/>
      <c r="O26" s="531"/>
      <c r="P26" s="532"/>
    </row>
    <row r="27" spans="2:16" ht="20" customHeight="1" x14ac:dyDescent="0.2">
      <c r="B27" s="234" t="s">
        <v>2160</v>
      </c>
      <c r="C27" s="234" t="s">
        <v>4029</v>
      </c>
      <c r="F27" s="410"/>
      <c r="G27" s="410"/>
      <c r="L27" s="525"/>
      <c r="M27" s="530"/>
      <c r="N27" s="531"/>
      <c r="O27" s="531"/>
      <c r="P27" s="532"/>
    </row>
    <row r="28" spans="2:16" ht="20" customHeight="1" x14ac:dyDescent="0.2">
      <c r="B28" s="234" t="s">
        <v>2160</v>
      </c>
      <c r="C28" s="234" t="s">
        <v>4030</v>
      </c>
      <c r="F28" s="410"/>
      <c r="G28" s="410"/>
      <c r="L28" s="525"/>
      <c r="M28" s="530"/>
      <c r="N28" s="531"/>
      <c r="O28" s="531"/>
      <c r="P28" s="532"/>
    </row>
    <row r="29" spans="2:16" ht="20" customHeight="1" x14ac:dyDescent="0.2">
      <c r="B29" s="234" t="s">
        <v>2160</v>
      </c>
      <c r="C29" s="234" t="s">
        <v>4031</v>
      </c>
      <c r="F29" s="410"/>
      <c r="G29" s="410"/>
      <c r="L29" s="525"/>
      <c r="M29" s="530"/>
      <c r="N29" s="531"/>
      <c r="O29" s="531"/>
      <c r="P29" s="532"/>
    </row>
    <row r="30" spans="2:16" x14ac:dyDescent="0.2">
      <c r="B30" s="235"/>
      <c r="C30" s="235"/>
      <c r="D30" s="3"/>
      <c r="L30" s="525"/>
      <c r="M30" s="530"/>
      <c r="N30" s="531"/>
      <c r="O30" s="531"/>
      <c r="P30" s="532"/>
    </row>
    <row r="31" spans="2:16" ht="18" x14ac:dyDescent="0.2">
      <c r="B31" s="519" t="s">
        <v>2164</v>
      </c>
      <c r="C31" s="520"/>
      <c r="D31" s="3"/>
      <c r="L31" s="525"/>
      <c r="M31" s="530"/>
      <c r="N31" s="531"/>
      <c r="O31" s="531"/>
      <c r="P31" s="532"/>
    </row>
    <row r="32" spans="2:16" ht="17" x14ac:dyDescent="0.2">
      <c r="B32" s="233" t="s">
        <v>1420</v>
      </c>
      <c r="C32" s="200" t="s">
        <v>1043</v>
      </c>
      <c r="D32" s="3"/>
      <c r="L32" s="525"/>
      <c r="M32" s="530"/>
      <c r="N32" s="531"/>
      <c r="O32" s="531"/>
      <c r="P32" s="532"/>
    </row>
    <row r="33" spans="2:16" ht="17" x14ac:dyDescent="0.2">
      <c r="B33" s="26" t="s">
        <v>2167</v>
      </c>
      <c r="C33" s="8">
        <v>4</v>
      </c>
      <c r="D33" s="3"/>
      <c r="L33" s="525"/>
      <c r="M33" s="530"/>
      <c r="N33" s="531"/>
      <c r="O33" s="531"/>
      <c r="P33" s="532"/>
    </row>
    <row r="34" spans="2:16" ht="17" x14ac:dyDescent="0.2">
      <c r="B34" s="26" t="s">
        <v>2169</v>
      </c>
      <c r="C34" s="8">
        <v>16</v>
      </c>
      <c r="D34" s="3"/>
      <c r="L34" s="525"/>
      <c r="M34" s="530"/>
      <c r="N34" s="531"/>
      <c r="O34" s="531"/>
      <c r="P34" s="532"/>
    </row>
    <row r="35" spans="2:16" ht="17" x14ac:dyDescent="0.2">
      <c r="B35" s="26" t="s">
        <v>2171</v>
      </c>
      <c r="C35" s="8">
        <v>914</v>
      </c>
      <c r="D35" s="3"/>
      <c r="L35" s="525"/>
      <c r="M35" s="530"/>
      <c r="N35" s="531"/>
      <c r="O35" s="531"/>
      <c r="P35" s="532"/>
    </row>
    <row r="36" spans="2:16" ht="17" x14ac:dyDescent="0.2">
      <c r="B36" s="200" t="s">
        <v>2172</v>
      </c>
      <c r="C36" s="200" t="s">
        <v>1043</v>
      </c>
      <c r="D36" s="3"/>
      <c r="L36" s="525"/>
      <c r="M36" s="530"/>
      <c r="N36" s="531"/>
      <c r="O36" s="531"/>
      <c r="P36" s="532"/>
    </row>
    <row r="37" spans="2:16" ht="17" x14ac:dyDescent="0.2">
      <c r="B37" s="26" t="s">
        <v>2141</v>
      </c>
      <c r="C37" s="26">
        <v>2</v>
      </c>
      <c r="D37" s="3"/>
      <c r="L37" s="525"/>
      <c r="M37" s="530"/>
      <c r="N37" s="531"/>
      <c r="O37" s="531"/>
      <c r="P37" s="532"/>
    </row>
    <row r="38" spans="2:16" ht="17" x14ac:dyDescent="0.2">
      <c r="B38" s="26" t="s">
        <v>539</v>
      </c>
      <c r="C38" s="26">
        <v>4</v>
      </c>
      <c r="D38" s="3"/>
      <c r="L38" s="525"/>
      <c r="M38" s="530"/>
      <c r="N38" s="531"/>
      <c r="O38" s="531"/>
      <c r="P38" s="532"/>
    </row>
    <row r="39" spans="2:16" ht="17" x14ac:dyDescent="0.2">
      <c r="B39" s="26" t="s">
        <v>92</v>
      </c>
      <c r="C39" s="26">
        <v>8</v>
      </c>
      <c r="D39" s="3"/>
      <c r="L39" s="525"/>
      <c r="M39" s="530"/>
      <c r="N39" s="531"/>
      <c r="O39" s="531"/>
      <c r="P39" s="532"/>
    </row>
    <row r="40" spans="2:16" ht="17" x14ac:dyDescent="0.2">
      <c r="B40" s="26" t="s">
        <v>657</v>
      </c>
      <c r="C40" s="26">
        <v>16</v>
      </c>
      <c r="D40" s="3"/>
      <c r="L40" s="525"/>
      <c r="M40" s="530"/>
      <c r="N40" s="531"/>
      <c r="O40" s="531"/>
      <c r="P40" s="532"/>
    </row>
    <row r="41" spans="2:16" ht="17" x14ac:dyDescent="0.2">
      <c r="B41" s="26" t="s">
        <v>3664</v>
      </c>
      <c r="C41" s="26">
        <v>24</v>
      </c>
      <c r="D41" s="3"/>
      <c r="L41" s="525"/>
      <c r="M41" s="530"/>
      <c r="N41" s="531"/>
      <c r="O41" s="531"/>
      <c r="P41" s="532"/>
    </row>
    <row r="42" spans="2:16" ht="17" x14ac:dyDescent="0.2">
      <c r="B42" s="200" t="s">
        <v>2179</v>
      </c>
      <c r="C42" s="200" t="s">
        <v>1043</v>
      </c>
      <c r="L42" s="525"/>
      <c r="M42" s="530"/>
      <c r="N42" s="531"/>
      <c r="O42" s="531"/>
      <c r="P42" s="532"/>
    </row>
    <row r="43" spans="2:16" ht="17" x14ac:dyDescent="0.2">
      <c r="B43" s="26" t="s">
        <v>2141</v>
      </c>
      <c r="C43" s="26">
        <v>14</v>
      </c>
      <c r="L43" s="525"/>
      <c r="M43" s="530"/>
      <c r="N43" s="531"/>
      <c r="O43" s="531"/>
      <c r="P43" s="532"/>
    </row>
    <row r="44" spans="2:16" ht="17" x14ac:dyDescent="0.2">
      <c r="B44" s="26" t="s">
        <v>539</v>
      </c>
      <c r="C44" s="26">
        <v>21</v>
      </c>
      <c r="L44" s="525"/>
      <c r="M44" s="530"/>
      <c r="N44" s="531"/>
      <c r="O44" s="531"/>
      <c r="P44" s="532"/>
    </row>
    <row r="45" spans="2:16" ht="17" x14ac:dyDescent="0.2">
      <c r="B45" s="26" t="s">
        <v>92</v>
      </c>
      <c r="C45" s="26">
        <v>30</v>
      </c>
      <c r="L45" s="525"/>
      <c r="M45" s="530"/>
      <c r="N45" s="531"/>
      <c r="O45" s="531"/>
      <c r="P45" s="532"/>
    </row>
    <row r="46" spans="2:16" ht="17" x14ac:dyDescent="0.2">
      <c r="B46" s="26" t="s">
        <v>657</v>
      </c>
      <c r="C46" s="26">
        <v>39</v>
      </c>
      <c r="L46" s="525"/>
      <c r="M46" s="530"/>
      <c r="N46" s="531"/>
      <c r="O46" s="531"/>
      <c r="P46" s="532"/>
    </row>
    <row r="47" spans="2:16" ht="17" x14ac:dyDescent="0.2">
      <c r="B47" s="26" t="s">
        <v>3664</v>
      </c>
      <c r="C47" s="26">
        <v>58</v>
      </c>
      <c r="L47" s="525"/>
      <c r="M47" s="530"/>
      <c r="N47" s="531"/>
      <c r="O47" s="531"/>
      <c r="P47" s="532"/>
    </row>
    <row r="48" spans="2:16" ht="17" x14ac:dyDescent="0.2">
      <c r="B48" s="200" t="s">
        <v>2184</v>
      </c>
      <c r="C48" s="200" t="s">
        <v>1043</v>
      </c>
      <c r="L48" s="525"/>
      <c r="M48" s="530"/>
      <c r="N48" s="531"/>
      <c r="O48" s="531"/>
      <c r="P48" s="532"/>
    </row>
    <row r="49" spans="2:16" ht="17" x14ac:dyDescent="0.2">
      <c r="B49" s="26" t="s">
        <v>2187</v>
      </c>
      <c r="C49" s="26">
        <v>619</v>
      </c>
      <c r="L49" s="525"/>
      <c r="M49" s="530"/>
      <c r="N49" s="531"/>
      <c r="O49" s="531"/>
      <c r="P49" s="532"/>
    </row>
    <row r="50" spans="2:16" ht="17" x14ac:dyDescent="0.2">
      <c r="B50" s="26" t="s">
        <v>2190</v>
      </c>
      <c r="C50" s="26">
        <v>2059</v>
      </c>
      <c r="L50" s="525"/>
      <c r="M50" s="530"/>
      <c r="N50" s="531"/>
      <c r="O50" s="531"/>
      <c r="P50" s="532"/>
    </row>
    <row r="51" spans="2:16" ht="17" x14ac:dyDescent="0.2">
      <c r="B51" s="26" t="s">
        <v>3665</v>
      </c>
      <c r="C51" s="26">
        <v>4319</v>
      </c>
      <c r="L51" s="525"/>
      <c r="M51" s="530"/>
      <c r="N51" s="531"/>
      <c r="O51" s="531"/>
      <c r="P51" s="532"/>
    </row>
    <row r="52" spans="2:16" ht="17" x14ac:dyDescent="0.2">
      <c r="B52" s="26" t="s">
        <v>4137</v>
      </c>
      <c r="C52" s="26"/>
      <c r="L52" s="525"/>
      <c r="M52" s="530"/>
      <c r="N52" s="531"/>
      <c r="O52" s="531"/>
      <c r="P52" s="532"/>
    </row>
    <row r="53" spans="2:16" ht="17" x14ac:dyDescent="0.2">
      <c r="B53" s="26" t="s">
        <v>4136</v>
      </c>
      <c r="C53" s="26"/>
      <c r="L53" s="525"/>
      <c r="M53" s="530"/>
      <c r="N53" s="531"/>
      <c r="O53" s="531"/>
      <c r="P53" s="532"/>
    </row>
    <row r="54" spans="2:16" ht="17" x14ac:dyDescent="0.2">
      <c r="B54" s="394" t="s">
        <v>2192</v>
      </c>
      <c r="C54" s="394">
        <v>734</v>
      </c>
      <c r="L54" s="525"/>
      <c r="M54" s="530"/>
      <c r="N54" s="531"/>
      <c r="O54" s="531"/>
      <c r="P54" s="532"/>
    </row>
    <row r="55" spans="2:16" ht="17" x14ac:dyDescent="0.2">
      <c r="B55" s="26" t="s">
        <v>2193</v>
      </c>
      <c r="C55" s="26">
        <v>2084</v>
      </c>
      <c r="L55" s="525"/>
      <c r="M55" s="530"/>
      <c r="N55" s="531"/>
      <c r="O55" s="531"/>
      <c r="P55" s="532"/>
    </row>
    <row r="56" spans="2:16" ht="17" x14ac:dyDescent="0.2">
      <c r="B56" s="26" t="s">
        <v>3666</v>
      </c>
      <c r="C56" s="26">
        <v>4344</v>
      </c>
      <c r="L56" s="525"/>
      <c r="M56" s="530"/>
      <c r="N56" s="531"/>
      <c r="O56" s="531"/>
      <c r="P56" s="532"/>
    </row>
    <row r="57" spans="2:16" ht="17" x14ac:dyDescent="0.2">
      <c r="B57" s="26" t="s">
        <v>4128</v>
      </c>
      <c r="C57" s="26"/>
      <c r="L57" s="525"/>
      <c r="M57" s="530"/>
      <c r="N57" s="531"/>
      <c r="O57" s="531"/>
      <c r="P57" s="532"/>
    </row>
    <row r="58" spans="2:16" ht="17" x14ac:dyDescent="0.2">
      <c r="B58" s="26" t="s">
        <v>4129</v>
      </c>
      <c r="C58" s="26"/>
      <c r="L58" s="525"/>
      <c r="M58" s="530"/>
      <c r="N58" s="531"/>
      <c r="O58" s="531"/>
      <c r="P58" s="532"/>
    </row>
    <row r="59" spans="2:16" ht="17" x14ac:dyDescent="0.2">
      <c r="B59" s="394" t="s">
        <v>2194</v>
      </c>
      <c r="C59" s="394">
        <v>933</v>
      </c>
      <c r="L59" s="525"/>
      <c r="M59" s="530"/>
      <c r="N59" s="531"/>
      <c r="O59" s="531"/>
      <c r="P59" s="532"/>
    </row>
    <row r="60" spans="2:16" ht="17" x14ac:dyDescent="0.2">
      <c r="B60" s="26" t="s">
        <v>2195</v>
      </c>
      <c r="C60" s="26">
        <v>2233</v>
      </c>
      <c r="L60" s="525"/>
      <c r="M60" s="530"/>
      <c r="N60" s="531"/>
      <c r="O60" s="531"/>
      <c r="P60" s="532"/>
    </row>
    <row r="61" spans="2:16" ht="17" x14ac:dyDescent="0.2">
      <c r="B61" s="26" t="s">
        <v>3667</v>
      </c>
      <c r="C61" s="26">
        <v>4493</v>
      </c>
      <c r="L61" s="525"/>
      <c r="M61" s="530"/>
      <c r="N61" s="531"/>
      <c r="O61" s="531"/>
      <c r="P61" s="532"/>
    </row>
    <row r="62" spans="2:16" ht="17" x14ac:dyDescent="0.2">
      <c r="B62" s="26" t="s">
        <v>4134</v>
      </c>
      <c r="C62" s="26"/>
      <c r="L62" s="525"/>
      <c r="M62" s="530"/>
      <c r="N62" s="531"/>
      <c r="O62" s="531"/>
      <c r="P62" s="532"/>
    </row>
    <row r="63" spans="2:16" ht="17" x14ac:dyDescent="0.2">
      <c r="B63" s="26" t="s">
        <v>4135</v>
      </c>
      <c r="C63" s="26"/>
      <c r="L63" s="525"/>
      <c r="M63" s="530"/>
      <c r="N63" s="531"/>
      <c r="O63" s="531"/>
      <c r="P63" s="532"/>
    </row>
    <row r="64" spans="2:16" ht="17" x14ac:dyDescent="0.2">
      <c r="B64" s="26" t="s">
        <v>2196</v>
      </c>
      <c r="C64" s="26">
        <v>1383</v>
      </c>
      <c r="L64" s="525"/>
      <c r="M64" s="530"/>
      <c r="N64" s="531"/>
      <c r="O64" s="531"/>
      <c r="P64" s="532"/>
    </row>
    <row r="65" spans="2:16" ht="17" x14ac:dyDescent="0.2">
      <c r="B65" s="26" t="s">
        <v>2197</v>
      </c>
      <c r="C65" s="26">
        <v>2283</v>
      </c>
      <c r="L65" s="525"/>
      <c r="M65" s="530"/>
      <c r="N65" s="531"/>
      <c r="O65" s="531"/>
      <c r="P65" s="532"/>
    </row>
    <row r="66" spans="2:16" ht="17" x14ac:dyDescent="0.2">
      <c r="B66" s="238" t="s">
        <v>4131</v>
      </c>
      <c r="C66" s="26"/>
      <c r="L66" s="525"/>
      <c r="M66" s="530"/>
      <c r="N66" s="531"/>
      <c r="O66" s="531"/>
      <c r="P66" s="532"/>
    </row>
    <row r="67" spans="2:16" ht="17" x14ac:dyDescent="0.2">
      <c r="B67" s="239" t="s">
        <v>4132</v>
      </c>
      <c r="C67" s="26"/>
      <c r="L67" s="525"/>
      <c r="M67" s="530"/>
      <c r="N67" s="531"/>
      <c r="O67" s="531"/>
      <c r="P67" s="532"/>
    </row>
    <row r="68" spans="2:16" ht="17" x14ac:dyDescent="0.2">
      <c r="B68" s="394" t="s">
        <v>3668</v>
      </c>
      <c r="C68" s="394">
        <v>4543</v>
      </c>
      <c r="L68" s="525"/>
      <c r="M68" s="530"/>
      <c r="N68" s="531"/>
      <c r="O68" s="531"/>
      <c r="P68" s="532"/>
    </row>
    <row r="69" spans="2:16" ht="17" x14ac:dyDescent="0.2">
      <c r="B69" s="26" t="s">
        <v>3669</v>
      </c>
      <c r="C69" s="26">
        <v>2308</v>
      </c>
      <c r="L69" s="525"/>
      <c r="M69" s="530"/>
      <c r="N69" s="531"/>
      <c r="O69" s="531"/>
      <c r="P69" s="532"/>
    </row>
    <row r="70" spans="2:16" ht="17" x14ac:dyDescent="0.2">
      <c r="B70" s="26" t="s">
        <v>3670</v>
      </c>
      <c r="C70" s="26">
        <v>2408</v>
      </c>
      <c r="L70" s="525"/>
      <c r="M70" s="530"/>
      <c r="N70" s="531"/>
      <c r="O70" s="531"/>
      <c r="P70" s="532"/>
    </row>
    <row r="71" spans="2:16" ht="17" x14ac:dyDescent="0.2">
      <c r="B71" s="26" t="s">
        <v>3671</v>
      </c>
      <c r="C71" s="26">
        <v>4668</v>
      </c>
      <c r="L71" s="525"/>
      <c r="M71" s="530"/>
      <c r="N71" s="531"/>
      <c r="O71" s="531"/>
      <c r="P71" s="532"/>
    </row>
    <row r="72" spans="2:16" ht="17" x14ac:dyDescent="0.2">
      <c r="B72" s="238" t="s">
        <v>4130</v>
      </c>
      <c r="C72" s="26"/>
      <c r="L72" s="525"/>
      <c r="M72" s="530"/>
      <c r="N72" s="531"/>
      <c r="O72" s="531"/>
      <c r="P72" s="532"/>
    </row>
    <row r="73" spans="2:16" ht="17" x14ac:dyDescent="0.2">
      <c r="B73" s="239" t="s">
        <v>4133</v>
      </c>
      <c r="C73" s="26"/>
      <c r="L73" s="525"/>
      <c r="M73" s="530"/>
      <c r="N73" s="531"/>
      <c r="O73" s="531"/>
      <c r="P73" s="532"/>
    </row>
    <row r="74" spans="2:16" ht="17" x14ac:dyDescent="0.2">
      <c r="B74" s="200" t="s">
        <v>2198</v>
      </c>
      <c r="C74" s="200" t="s">
        <v>1043</v>
      </c>
      <c r="L74" s="525"/>
      <c r="M74" s="530"/>
      <c r="N74" s="531"/>
      <c r="O74" s="531"/>
      <c r="P74" s="532"/>
    </row>
    <row r="75" spans="2:16" ht="17" x14ac:dyDescent="0.2">
      <c r="B75" s="26" t="s">
        <v>2157</v>
      </c>
      <c r="C75" s="26">
        <v>2</v>
      </c>
      <c r="L75" s="525"/>
      <c r="M75" s="530"/>
      <c r="N75" s="531"/>
      <c r="O75" s="531"/>
      <c r="P75" s="532"/>
    </row>
    <row r="76" spans="2:16" ht="17" x14ac:dyDescent="0.2">
      <c r="B76" s="26" t="s">
        <v>539</v>
      </c>
      <c r="C76" s="26">
        <v>4</v>
      </c>
      <c r="L76" s="525"/>
      <c r="M76" s="530"/>
      <c r="N76" s="531"/>
      <c r="O76" s="531"/>
      <c r="P76" s="532"/>
    </row>
    <row r="77" spans="2:16" ht="17" x14ac:dyDescent="0.2">
      <c r="B77" s="26" t="s">
        <v>92</v>
      </c>
      <c r="C77" s="26">
        <v>6</v>
      </c>
      <c r="L77" s="525"/>
      <c r="M77" s="530"/>
      <c r="N77" s="531"/>
      <c r="O77" s="531"/>
      <c r="P77" s="532"/>
    </row>
    <row r="78" spans="2:16" ht="17" x14ac:dyDescent="0.2">
      <c r="B78" s="26" t="s">
        <v>657</v>
      </c>
      <c r="C78" s="26">
        <v>12</v>
      </c>
      <c r="L78" s="525"/>
      <c r="M78" s="530"/>
      <c r="N78" s="531"/>
      <c r="O78" s="531"/>
      <c r="P78" s="532"/>
    </row>
    <row r="79" spans="2:16" ht="17" x14ac:dyDescent="0.2">
      <c r="B79" s="26" t="s">
        <v>3664</v>
      </c>
      <c r="C79" s="26">
        <v>24</v>
      </c>
      <c r="L79" s="525"/>
      <c r="M79" s="530"/>
      <c r="N79" s="531"/>
      <c r="O79" s="531"/>
      <c r="P79" s="532"/>
    </row>
    <row r="80" spans="2:16" ht="17" x14ac:dyDescent="0.2">
      <c r="B80" s="200" t="s">
        <v>2199</v>
      </c>
      <c r="C80" s="200" t="s">
        <v>1043</v>
      </c>
      <c r="L80" s="525"/>
      <c r="M80" s="530"/>
      <c r="N80" s="531"/>
      <c r="O80" s="531"/>
      <c r="P80" s="532"/>
    </row>
    <row r="81" spans="2:16" ht="17" x14ac:dyDescent="0.2">
      <c r="B81" s="26" t="s">
        <v>2157</v>
      </c>
      <c r="C81" s="26">
        <v>8</v>
      </c>
      <c r="L81" s="526"/>
      <c r="M81" s="533"/>
      <c r="N81" s="534"/>
      <c r="O81" s="534"/>
      <c r="P81" s="535"/>
    </row>
    <row r="82" spans="2:16" ht="17" x14ac:dyDescent="0.2">
      <c r="B82" s="26" t="s">
        <v>539</v>
      </c>
      <c r="C82" s="26">
        <v>16</v>
      </c>
    </row>
    <row r="83" spans="2:16" ht="17" x14ac:dyDescent="0.2">
      <c r="B83" s="26" t="s">
        <v>92</v>
      </c>
      <c r="C83" s="26">
        <v>24</v>
      </c>
    </row>
    <row r="84" spans="2:16" ht="17" x14ac:dyDescent="0.2">
      <c r="B84" s="26" t="s">
        <v>657</v>
      </c>
      <c r="C84" s="26">
        <v>48</v>
      </c>
      <c r="D84" s="3"/>
    </row>
    <row r="85" spans="2:16" ht="17" x14ac:dyDescent="0.2">
      <c r="B85" s="26" t="s">
        <v>3664</v>
      </c>
      <c r="C85" s="26">
        <v>96</v>
      </c>
      <c r="D85" s="2"/>
    </row>
    <row r="86" spans="2:16" ht="17" x14ac:dyDescent="0.2">
      <c r="B86" s="200" t="s">
        <v>2200</v>
      </c>
      <c r="C86" s="200" t="s">
        <v>1043</v>
      </c>
      <c r="D86" s="2"/>
    </row>
    <row r="87" spans="2:16" ht="17" x14ac:dyDescent="0.2">
      <c r="B87" s="26" t="s">
        <v>2157</v>
      </c>
      <c r="C87" s="26">
        <v>300</v>
      </c>
    </row>
    <row r="88" spans="2:16" ht="17" x14ac:dyDescent="0.2">
      <c r="B88" s="26" t="s">
        <v>539</v>
      </c>
      <c r="C88" s="26">
        <v>300</v>
      </c>
    </row>
    <row r="89" spans="2:16" ht="17" x14ac:dyDescent="0.2">
      <c r="B89" s="26" t="s">
        <v>92</v>
      </c>
      <c r="C89" s="26">
        <v>300</v>
      </c>
    </row>
    <row r="90" spans="2:16" ht="17" x14ac:dyDescent="0.2">
      <c r="B90" s="26" t="s">
        <v>657</v>
      </c>
      <c r="C90" s="26">
        <v>300</v>
      </c>
    </row>
    <row r="91" spans="2:16" ht="17" x14ac:dyDescent="0.2">
      <c r="B91" s="26" t="s">
        <v>3664</v>
      </c>
      <c r="C91" s="26">
        <v>400</v>
      </c>
    </row>
    <row r="92" spans="2:16" ht="17" x14ac:dyDescent="0.2">
      <c r="B92" s="200" t="s">
        <v>2201</v>
      </c>
      <c r="C92" s="200" t="s">
        <v>1043</v>
      </c>
    </row>
    <row r="93" spans="2:16" ht="17" x14ac:dyDescent="0.2">
      <c r="B93" s="234" t="s">
        <v>4024</v>
      </c>
      <c r="C93" s="26">
        <v>2</v>
      </c>
    </row>
    <row r="94" spans="2:16" ht="17" x14ac:dyDescent="0.2">
      <c r="B94" s="234" t="s">
        <v>4025</v>
      </c>
      <c r="C94" s="26">
        <v>4</v>
      </c>
    </row>
    <row r="95" spans="2:16" ht="17" x14ac:dyDescent="0.2">
      <c r="B95" s="234" t="s">
        <v>4026</v>
      </c>
      <c r="C95" s="26">
        <v>8</v>
      </c>
    </row>
    <row r="96" spans="2:16" ht="17" x14ac:dyDescent="0.2">
      <c r="B96" s="234" t="s">
        <v>4027</v>
      </c>
      <c r="C96" s="26">
        <v>16</v>
      </c>
    </row>
    <row r="97" spans="2:3" ht="17" x14ac:dyDescent="0.2">
      <c r="B97" s="234" t="s">
        <v>4028</v>
      </c>
      <c r="C97" s="26">
        <v>2</v>
      </c>
    </row>
    <row r="98" spans="2:3" ht="17" x14ac:dyDescent="0.2">
      <c r="B98" s="234" t="s">
        <v>4029</v>
      </c>
      <c r="C98" s="26">
        <v>4</v>
      </c>
    </row>
    <row r="99" spans="2:3" ht="17" x14ac:dyDescent="0.2">
      <c r="B99" s="234" t="s">
        <v>4030</v>
      </c>
      <c r="C99" s="26">
        <v>8</v>
      </c>
    </row>
    <row r="100" spans="2:3" ht="17" x14ac:dyDescent="0.2">
      <c r="B100" s="234" t="s">
        <v>4031</v>
      </c>
      <c r="C100" s="26">
        <v>16</v>
      </c>
    </row>
    <row r="101" spans="2:3" ht="17" x14ac:dyDescent="0.2">
      <c r="B101" s="200" t="s">
        <v>2202</v>
      </c>
      <c r="C101" s="200" t="s">
        <v>1043</v>
      </c>
    </row>
    <row r="102" spans="2:3" ht="17" x14ac:dyDescent="0.2">
      <c r="B102" s="234" t="s">
        <v>4024</v>
      </c>
      <c r="C102" s="26">
        <v>4</v>
      </c>
    </row>
    <row r="103" spans="2:3" ht="17" x14ac:dyDescent="0.2">
      <c r="B103" s="234" t="s">
        <v>4025</v>
      </c>
      <c r="C103" s="26">
        <v>8</v>
      </c>
    </row>
    <row r="104" spans="2:3" ht="17" x14ac:dyDescent="0.2">
      <c r="B104" s="234" t="s">
        <v>4026</v>
      </c>
      <c r="C104" s="26">
        <v>32</v>
      </c>
    </row>
    <row r="105" spans="2:3" ht="17" x14ac:dyDescent="0.2">
      <c r="B105" s="234" t="s">
        <v>4027</v>
      </c>
      <c r="C105" s="26">
        <v>64</v>
      </c>
    </row>
    <row r="106" spans="2:3" ht="17" x14ac:dyDescent="0.2">
      <c r="B106" s="234" t="s">
        <v>4028</v>
      </c>
      <c r="C106" s="26">
        <v>4</v>
      </c>
    </row>
    <row r="107" spans="2:3" ht="17" x14ac:dyDescent="0.2">
      <c r="B107" s="234" t="s">
        <v>4029</v>
      </c>
      <c r="C107" s="26">
        <v>8</v>
      </c>
    </row>
    <row r="108" spans="2:3" ht="17" x14ac:dyDescent="0.2">
      <c r="B108" s="234" t="s">
        <v>4030</v>
      </c>
      <c r="C108" s="26">
        <v>32</v>
      </c>
    </row>
    <row r="109" spans="2:3" ht="17" x14ac:dyDescent="0.2">
      <c r="B109" s="234" t="s">
        <v>4031</v>
      </c>
      <c r="C109" s="26">
        <v>64</v>
      </c>
    </row>
    <row r="110" spans="2:3" ht="17" x14ac:dyDescent="0.2">
      <c r="B110" s="200" t="s">
        <v>2203</v>
      </c>
      <c r="C110" s="200" t="s">
        <v>1043</v>
      </c>
    </row>
    <row r="111" spans="2:3" ht="17" x14ac:dyDescent="0.2">
      <c r="B111" s="234" t="s">
        <v>4024</v>
      </c>
      <c r="C111" s="26">
        <v>200</v>
      </c>
    </row>
    <row r="112" spans="2:3" ht="17" x14ac:dyDescent="0.2">
      <c r="B112" s="234" t="s">
        <v>4025</v>
      </c>
      <c r="C112" s="26">
        <v>200</v>
      </c>
    </row>
    <row r="113" spans="2:3" ht="17" x14ac:dyDescent="0.2">
      <c r="B113" s="234" t="s">
        <v>4026</v>
      </c>
      <c r="C113" s="26">
        <v>200</v>
      </c>
    </row>
    <row r="114" spans="2:3" ht="17" x14ac:dyDescent="0.2">
      <c r="B114" s="234" t="s">
        <v>4027</v>
      </c>
      <c r="C114" s="26">
        <v>200</v>
      </c>
    </row>
    <row r="115" spans="2:3" ht="17" x14ac:dyDescent="0.2">
      <c r="B115" s="234" t="s">
        <v>4028</v>
      </c>
      <c r="C115" s="26">
        <v>200</v>
      </c>
    </row>
    <row r="116" spans="2:3" ht="17" x14ac:dyDescent="0.2">
      <c r="B116" s="234" t="s">
        <v>4029</v>
      </c>
      <c r="C116" s="26">
        <v>200</v>
      </c>
    </row>
    <row r="117" spans="2:3" ht="17" x14ac:dyDescent="0.2">
      <c r="B117" s="234" t="s">
        <v>4030</v>
      </c>
      <c r="C117" s="26">
        <v>200</v>
      </c>
    </row>
    <row r="118" spans="2:3" ht="17" x14ac:dyDescent="0.2">
      <c r="B118" s="234" t="s">
        <v>4031</v>
      </c>
      <c r="C118" s="26">
        <v>200</v>
      </c>
    </row>
    <row r="119" spans="2:3" ht="17" x14ac:dyDescent="0.2">
      <c r="B119" s="233" t="s">
        <v>3877</v>
      </c>
      <c r="C119" s="200" t="s">
        <v>1043</v>
      </c>
    </row>
    <row r="120" spans="2:3" x14ac:dyDescent="0.2">
      <c r="B120" s="8" t="s">
        <v>539</v>
      </c>
      <c r="C120" s="8">
        <v>2</v>
      </c>
    </row>
    <row r="121" spans="2:3" x14ac:dyDescent="0.2">
      <c r="B121" s="8" t="s">
        <v>92</v>
      </c>
      <c r="C121" s="8">
        <v>2</v>
      </c>
    </row>
    <row r="122" spans="2:3" x14ac:dyDescent="0.2">
      <c r="B122" s="8" t="s">
        <v>657</v>
      </c>
      <c r="C122" s="8">
        <v>4</v>
      </c>
    </row>
    <row r="123" spans="2:3" x14ac:dyDescent="0.2">
      <c r="B123" s="8" t="s">
        <v>3664</v>
      </c>
      <c r="C123" s="8">
        <v>4</v>
      </c>
    </row>
    <row r="124" spans="2:3" ht="17" x14ac:dyDescent="0.2">
      <c r="B124" s="233" t="s">
        <v>3878</v>
      </c>
      <c r="C124" s="200" t="s">
        <v>1043</v>
      </c>
    </row>
    <row r="125" spans="2:3" x14ac:dyDescent="0.2">
      <c r="B125" s="8" t="s">
        <v>539</v>
      </c>
      <c r="C125" s="8">
        <v>4</v>
      </c>
    </row>
    <row r="126" spans="2:3" x14ac:dyDescent="0.2">
      <c r="B126" s="8" t="s">
        <v>92</v>
      </c>
      <c r="C126" s="8">
        <v>4</v>
      </c>
    </row>
    <row r="127" spans="2:3" x14ac:dyDescent="0.2">
      <c r="B127" s="8" t="s">
        <v>657</v>
      </c>
      <c r="C127" s="8">
        <v>8</v>
      </c>
    </row>
    <row r="128" spans="2:3" x14ac:dyDescent="0.2">
      <c r="B128" s="8" t="s">
        <v>3664</v>
      </c>
      <c r="C128" s="8">
        <v>8</v>
      </c>
    </row>
    <row r="129" spans="2:3" ht="17" x14ac:dyDescent="0.2">
      <c r="B129" s="233" t="s">
        <v>3879</v>
      </c>
      <c r="C129" s="200" t="s">
        <v>1043</v>
      </c>
    </row>
    <row r="130" spans="2:3" x14ac:dyDescent="0.2">
      <c r="B130" s="8" t="s">
        <v>539</v>
      </c>
      <c r="C130" s="8">
        <v>10</v>
      </c>
    </row>
    <row r="131" spans="2:3" x14ac:dyDescent="0.2">
      <c r="B131" s="8" t="s">
        <v>92</v>
      </c>
      <c r="C131" s="8">
        <v>10</v>
      </c>
    </row>
    <row r="132" spans="2:3" x14ac:dyDescent="0.2">
      <c r="B132" s="8" t="s">
        <v>657</v>
      </c>
      <c r="C132" s="8">
        <v>20</v>
      </c>
    </row>
    <row r="133" spans="2:3" x14ac:dyDescent="0.2">
      <c r="B133" s="8" t="s">
        <v>3664</v>
      </c>
      <c r="C133" s="8">
        <v>20</v>
      </c>
    </row>
    <row r="134" spans="2:3" ht="17" x14ac:dyDescent="0.2">
      <c r="B134" s="233" t="s">
        <v>2207</v>
      </c>
      <c r="C134" s="200" t="s">
        <v>1043</v>
      </c>
    </row>
    <row r="135" spans="2:3" x14ac:dyDescent="0.2">
      <c r="B135" s="8" t="s">
        <v>539</v>
      </c>
      <c r="C135" s="8">
        <v>24</v>
      </c>
    </row>
    <row r="136" spans="2:3" ht="17" customHeight="1" x14ac:dyDescent="0.2">
      <c r="B136" s="8" t="s">
        <v>92</v>
      </c>
      <c r="C136" s="8">
        <v>24</v>
      </c>
    </row>
    <row r="137" spans="2:3" ht="17" customHeight="1" x14ac:dyDescent="0.2">
      <c r="B137" s="8" t="s">
        <v>657</v>
      </c>
      <c r="C137" s="8">
        <v>32</v>
      </c>
    </row>
    <row r="138" spans="2:3" ht="17" x14ac:dyDescent="0.2">
      <c r="B138" s="233" t="s">
        <v>2208</v>
      </c>
      <c r="C138" s="200" t="s">
        <v>1043</v>
      </c>
    </row>
    <row r="139" spans="2:3" x14ac:dyDescent="0.2">
      <c r="B139" s="8" t="s">
        <v>539</v>
      </c>
      <c r="C139" s="8">
        <v>96</v>
      </c>
    </row>
    <row r="140" spans="2:3" x14ac:dyDescent="0.2">
      <c r="B140" s="8" t="s">
        <v>92</v>
      </c>
      <c r="C140" s="8">
        <v>96</v>
      </c>
    </row>
    <row r="141" spans="2:3" x14ac:dyDescent="0.2">
      <c r="B141" s="8" t="s">
        <v>657</v>
      </c>
      <c r="C141" s="8">
        <v>128</v>
      </c>
    </row>
    <row r="142" spans="2:3" ht="17" x14ac:dyDescent="0.2">
      <c r="B142" s="233" t="s">
        <v>2209</v>
      </c>
      <c r="C142" s="200" t="s">
        <v>1043</v>
      </c>
    </row>
    <row r="143" spans="2:3" x14ac:dyDescent="0.2">
      <c r="B143" s="8" t="s">
        <v>539</v>
      </c>
      <c r="C143" s="8">
        <v>717</v>
      </c>
    </row>
    <row r="144" spans="2:3" x14ac:dyDescent="0.2">
      <c r="B144" s="8" t="s">
        <v>92</v>
      </c>
      <c r="C144" s="8">
        <v>334</v>
      </c>
    </row>
    <row r="145" spans="2:3" x14ac:dyDescent="0.2">
      <c r="B145" s="8" t="s">
        <v>657</v>
      </c>
      <c r="C145" s="8">
        <v>430</v>
      </c>
    </row>
    <row r="146" spans="2:3" ht="17" x14ac:dyDescent="0.2">
      <c r="B146" s="233" t="s">
        <v>2210</v>
      </c>
      <c r="C146" s="200" t="s">
        <v>1043</v>
      </c>
    </row>
    <row r="147" spans="2:3" x14ac:dyDescent="0.2">
      <c r="B147" s="8" t="s">
        <v>539</v>
      </c>
      <c r="C147" s="8">
        <v>8</v>
      </c>
    </row>
    <row r="148" spans="2:3" x14ac:dyDescent="0.2">
      <c r="B148" s="8" t="s">
        <v>92</v>
      </c>
      <c r="C148" s="8">
        <v>12</v>
      </c>
    </row>
    <row r="149" spans="2:3" x14ac:dyDescent="0.2">
      <c r="B149" s="8" t="s">
        <v>657</v>
      </c>
      <c r="C149" s="8">
        <v>16</v>
      </c>
    </row>
    <row r="150" spans="2:3" ht="17" x14ac:dyDescent="0.2">
      <c r="B150" s="233" t="s">
        <v>2211</v>
      </c>
      <c r="C150" s="200" t="s">
        <v>1043</v>
      </c>
    </row>
    <row r="151" spans="2:3" x14ac:dyDescent="0.2">
      <c r="B151" s="8" t="s">
        <v>539</v>
      </c>
      <c r="C151" s="8">
        <v>16</v>
      </c>
    </row>
    <row r="152" spans="2:3" x14ac:dyDescent="0.2">
      <c r="B152" s="8" t="s">
        <v>92</v>
      </c>
      <c r="C152" s="8">
        <v>24</v>
      </c>
    </row>
    <row r="153" spans="2:3" x14ac:dyDescent="0.2">
      <c r="B153" s="8" t="s">
        <v>657</v>
      </c>
      <c r="C153" s="8">
        <v>32</v>
      </c>
    </row>
    <row r="154" spans="2:3" ht="17" x14ac:dyDescent="0.2">
      <c r="B154" s="233" t="s">
        <v>2212</v>
      </c>
      <c r="C154" s="200" t="s">
        <v>1043</v>
      </c>
    </row>
    <row r="155" spans="2:3" x14ac:dyDescent="0.2">
      <c r="B155" s="8" t="s">
        <v>539</v>
      </c>
      <c r="C155" s="8">
        <v>575</v>
      </c>
    </row>
    <row r="156" spans="2:3" x14ac:dyDescent="0.2">
      <c r="B156" s="8" t="s">
        <v>92</v>
      </c>
      <c r="C156" s="8">
        <v>575</v>
      </c>
    </row>
    <row r="157" spans="2:3" x14ac:dyDescent="0.2">
      <c r="B157" s="8" t="s">
        <v>657</v>
      </c>
      <c r="C157" s="8">
        <v>575</v>
      </c>
    </row>
    <row r="158" spans="2:3" ht="17" x14ac:dyDescent="0.2">
      <c r="B158" s="233" t="s">
        <v>2213</v>
      </c>
      <c r="C158" s="200" t="s">
        <v>1043</v>
      </c>
    </row>
    <row r="159" spans="2:3" x14ac:dyDescent="0.2">
      <c r="B159" s="8" t="s">
        <v>2204</v>
      </c>
      <c r="C159" s="8">
        <v>2</v>
      </c>
    </row>
    <row r="160" spans="2:3" x14ac:dyDescent="0.2">
      <c r="B160" s="8" t="s">
        <v>539</v>
      </c>
      <c r="C160" s="8">
        <v>4</v>
      </c>
    </row>
    <row r="161" spans="2:3" x14ac:dyDescent="0.2">
      <c r="B161" s="8" t="s">
        <v>92</v>
      </c>
      <c r="C161" s="8">
        <v>8</v>
      </c>
    </row>
    <row r="162" spans="2:3" x14ac:dyDescent="0.2">
      <c r="B162" s="8" t="s">
        <v>657</v>
      </c>
      <c r="C162" s="8">
        <v>16</v>
      </c>
    </row>
    <row r="163" spans="2:3" x14ac:dyDescent="0.2">
      <c r="B163" s="8" t="s">
        <v>2205</v>
      </c>
      <c r="C163" s="8">
        <v>24</v>
      </c>
    </row>
    <row r="164" spans="2:3" ht="17" x14ac:dyDescent="0.2">
      <c r="B164" s="233" t="s">
        <v>2214</v>
      </c>
      <c r="C164" s="200" t="s">
        <v>1043</v>
      </c>
    </row>
    <row r="165" spans="2:3" x14ac:dyDescent="0.2">
      <c r="B165" s="8" t="s">
        <v>2204</v>
      </c>
      <c r="C165" s="8">
        <v>8</v>
      </c>
    </row>
    <row r="166" spans="2:3" x14ac:dyDescent="0.2">
      <c r="B166" s="8" t="s">
        <v>539</v>
      </c>
      <c r="C166" s="8">
        <v>16</v>
      </c>
    </row>
    <row r="167" spans="2:3" x14ac:dyDescent="0.2">
      <c r="B167" s="8" t="s">
        <v>92</v>
      </c>
      <c r="C167" s="8">
        <v>32</v>
      </c>
    </row>
    <row r="168" spans="2:3" x14ac:dyDescent="0.2">
      <c r="B168" s="8" t="s">
        <v>657</v>
      </c>
      <c r="C168" s="8">
        <v>48</v>
      </c>
    </row>
    <row r="169" spans="2:3" x14ac:dyDescent="0.2">
      <c r="B169" s="8" t="s">
        <v>2205</v>
      </c>
      <c r="C169" s="8">
        <v>128</v>
      </c>
    </row>
    <row r="170" spans="2:3" ht="17" x14ac:dyDescent="0.2">
      <c r="B170" s="233" t="s">
        <v>2215</v>
      </c>
      <c r="C170" s="200" t="s">
        <v>1043</v>
      </c>
    </row>
    <row r="171" spans="2:3" x14ac:dyDescent="0.2">
      <c r="B171" s="8" t="s">
        <v>2204</v>
      </c>
      <c r="C171" s="8">
        <v>274</v>
      </c>
    </row>
    <row r="172" spans="2:3" x14ac:dyDescent="0.2">
      <c r="B172" s="8" t="s">
        <v>539</v>
      </c>
      <c r="C172" s="8">
        <v>274</v>
      </c>
    </row>
    <row r="173" spans="2:3" x14ac:dyDescent="0.2">
      <c r="B173" s="8" t="s">
        <v>92</v>
      </c>
      <c r="C173" s="8">
        <v>274</v>
      </c>
    </row>
    <row r="174" spans="2:3" x14ac:dyDescent="0.2">
      <c r="B174" s="8" t="s">
        <v>657</v>
      </c>
      <c r="C174" s="8">
        <v>274</v>
      </c>
    </row>
    <row r="175" spans="2:3" x14ac:dyDescent="0.2">
      <c r="B175" s="8" t="s">
        <v>2205</v>
      </c>
      <c r="C175" s="8">
        <v>274</v>
      </c>
    </row>
    <row r="176" spans="2:3" ht="17" x14ac:dyDescent="0.2">
      <c r="B176" s="233" t="s">
        <v>2216</v>
      </c>
      <c r="C176" s="200" t="s">
        <v>1043</v>
      </c>
    </row>
    <row r="177" spans="2:3" x14ac:dyDescent="0.2">
      <c r="B177" s="8" t="s">
        <v>539</v>
      </c>
      <c r="C177" s="8">
        <v>4</v>
      </c>
    </row>
    <row r="178" spans="2:3" x14ac:dyDescent="0.2">
      <c r="B178" s="8" t="s">
        <v>92</v>
      </c>
      <c r="C178" s="8">
        <v>8</v>
      </c>
    </row>
    <row r="179" spans="2:3" x14ac:dyDescent="0.2">
      <c r="B179" s="8" t="s">
        <v>657</v>
      </c>
      <c r="C179" s="8">
        <v>8</v>
      </c>
    </row>
    <row r="180" spans="2:3" ht="17" x14ac:dyDescent="0.2">
      <c r="B180" s="233" t="s">
        <v>2217</v>
      </c>
      <c r="C180" s="200" t="s">
        <v>1043</v>
      </c>
    </row>
    <row r="181" spans="2:3" x14ac:dyDescent="0.2">
      <c r="B181" s="8" t="s">
        <v>539</v>
      </c>
      <c r="C181" s="8">
        <v>16</v>
      </c>
    </row>
    <row r="182" spans="2:3" x14ac:dyDescent="0.2">
      <c r="B182" s="8" t="s">
        <v>92</v>
      </c>
      <c r="C182" s="8">
        <v>48</v>
      </c>
    </row>
    <row r="183" spans="2:3" x14ac:dyDescent="0.2">
      <c r="B183" s="8" t="s">
        <v>657</v>
      </c>
      <c r="C183" s="8">
        <v>48</v>
      </c>
    </row>
    <row r="184" spans="2:3" ht="17" x14ac:dyDescent="0.2">
      <c r="B184" s="233" t="s">
        <v>2218</v>
      </c>
      <c r="C184" s="200" t="s">
        <v>1043</v>
      </c>
    </row>
    <row r="185" spans="2:3" x14ac:dyDescent="0.2">
      <c r="B185" s="8" t="s">
        <v>539</v>
      </c>
      <c r="C185" s="8">
        <v>264</v>
      </c>
    </row>
    <row r="186" spans="2:3" x14ac:dyDescent="0.2">
      <c r="B186" s="8" t="s">
        <v>92</v>
      </c>
      <c r="C186" s="8">
        <v>264</v>
      </c>
    </row>
    <row r="187" spans="2:3" x14ac:dyDescent="0.2">
      <c r="B187" s="8" t="s">
        <v>657</v>
      </c>
      <c r="C187" s="8">
        <v>264</v>
      </c>
    </row>
    <row r="188" spans="2:3" ht="17" x14ac:dyDescent="0.2">
      <c r="B188" s="233" t="s">
        <v>2219</v>
      </c>
      <c r="C188" s="200" t="s">
        <v>1043</v>
      </c>
    </row>
    <row r="189" spans="2:3" x14ac:dyDescent="0.2">
      <c r="B189" s="8" t="s">
        <v>2220</v>
      </c>
      <c r="C189" s="8">
        <v>2</v>
      </c>
    </row>
    <row r="190" spans="2:3" x14ac:dyDescent="0.2">
      <c r="B190" s="8" t="s">
        <v>525</v>
      </c>
      <c r="C190" s="8">
        <v>4</v>
      </c>
    </row>
    <row r="191" spans="2:3" ht="17" x14ac:dyDescent="0.2">
      <c r="B191" s="233" t="s">
        <v>2221</v>
      </c>
      <c r="C191" s="200" t="s">
        <v>1043</v>
      </c>
    </row>
    <row r="192" spans="2:3" x14ac:dyDescent="0.2">
      <c r="B192" s="8" t="s">
        <v>2220</v>
      </c>
      <c r="C192" s="8">
        <v>8</v>
      </c>
    </row>
    <row r="193" spans="2:3" x14ac:dyDescent="0.2">
      <c r="B193" s="8" t="s">
        <v>525</v>
      </c>
      <c r="C193" s="8">
        <v>8</v>
      </c>
    </row>
    <row r="194" spans="2:3" ht="17" x14ac:dyDescent="0.2">
      <c r="B194" s="233" t="s">
        <v>2222</v>
      </c>
      <c r="C194" s="200" t="s">
        <v>1043</v>
      </c>
    </row>
    <row r="195" spans="2:3" x14ac:dyDescent="0.2">
      <c r="B195" s="8" t="s">
        <v>2220</v>
      </c>
      <c r="C195" s="8">
        <v>33</v>
      </c>
    </row>
    <row r="196" spans="2:3" x14ac:dyDescent="0.2">
      <c r="B196" s="8" t="s">
        <v>525</v>
      </c>
      <c r="C196" s="8">
        <v>33</v>
      </c>
    </row>
    <row r="197" spans="2:3" ht="17" x14ac:dyDescent="0.2">
      <c r="B197" s="233" t="s">
        <v>2223</v>
      </c>
      <c r="C197" s="200" t="s">
        <v>1043</v>
      </c>
    </row>
    <row r="198" spans="2:3" x14ac:dyDescent="0.2">
      <c r="B198" s="8" t="s">
        <v>2220</v>
      </c>
      <c r="C198" s="8">
        <v>2</v>
      </c>
    </row>
    <row r="199" spans="2:3" x14ac:dyDescent="0.2">
      <c r="B199" s="8" t="s">
        <v>525</v>
      </c>
      <c r="C199" s="8">
        <v>8</v>
      </c>
    </row>
    <row r="200" spans="2:3" ht="17" x14ac:dyDescent="0.2">
      <c r="B200" s="233" t="s">
        <v>2224</v>
      </c>
      <c r="C200" s="200" t="s">
        <v>1043</v>
      </c>
    </row>
    <row r="201" spans="2:3" x14ac:dyDescent="0.2">
      <c r="B201" s="8" t="s">
        <v>2220</v>
      </c>
      <c r="C201" s="8">
        <v>8</v>
      </c>
    </row>
    <row r="202" spans="2:3" x14ac:dyDescent="0.2">
      <c r="B202" s="8" t="s">
        <v>525</v>
      </c>
      <c r="C202" s="8">
        <v>24</v>
      </c>
    </row>
    <row r="203" spans="2:3" ht="17" x14ac:dyDescent="0.2">
      <c r="B203" s="233" t="s">
        <v>2225</v>
      </c>
      <c r="C203" s="200" t="s">
        <v>1043</v>
      </c>
    </row>
    <row r="204" spans="2:3" x14ac:dyDescent="0.2">
      <c r="B204" s="8" t="s">
        <v>2220</v>
      </c>
      <c r="C204" s="8">
        <v>20</v>
      </c>
    </row>
    <row r="205" spans="2:3" x14ac:dyDescent="0.2">
      <c r="B205" s="8" t="s">
        <v>525</v>
      </c>
      <c r="C205" s="8">
        <v>800</v>
      </c>
    </row>
    <row r="206" spans="2:3" ht="17" x14ac:dyDescent="0.2">
      <c r="B206" s="233" t="s">
        <v>2226</v>
      </c>
      <c r="C206" s="200" t="s">
        <v>1043</v>
      </c>
    </row>
    <row r="207" spans="2:3" ht="17" x14ac:dyDescent="0.2">
      <c r="B207" s="26" t="s">
        <v>2167</v>
      </c>
      <c r="C207" s="8">
        <v>2</v>
      </c>
    </row>
    <row r="208" spans="2:3" ht="17" x14ac:dyDescent="0.2">
      <c r="B208" s="26" t="s">
        <v>2169</v>
      </c>
      <c r="C208" s="8">
        <v>8</v>
      </c>
    </row>
    <row r="209" spans="2:3" ht="17" x14ac:dyDescent="0.2">
      <c r="B209" s="26" t="s">
        <v>2171</v>
      </c>
      <c r="C209" s="8">
        <v>20</v>
      </c>
    </row>
    <row r="210" spans="2:3" ht="17" x14ac:dyDescent="0.2">
      <c r="B210" s="233" t="s">
        <v>2227</v>
      </c>
      <c r="C210" s="200" t="s">
        <v>1043</v>
      </c>
    </row>
    <row r="211" spans="2:3" ht="17" x14ac:dyDescent="0.2">
      <c r="B211" s="26" t="s">
        <v>539</v>
      </c>
      <c r="C211" s="8">
        <v>4</v>
      </c>
    </row>
    <row r="212" spans="2:3" ht="17" x14ac:dyDescent="0.2">
      <c r="B212" s="26" t="s">
        <v>92</v>
      </c>
      <c r="C212" s="8">
        <v>8</v>
      </c>
    </row>
    <row r="213" spans="2:3" ht="17" x14ac:dyDescent="0.2">
      <c r="B213" s="26" t="s">
        <v>657</v>
      </c>
      <c r="C213" s="8">
        <v>12</v>
      </c>
    </row>
    <row r="214" spans="2:3" ht="17" x14ac:dyDescent="0.2">
      <c r="B214" s="233" t="s">
        <v>2228</v>
      </c>
      <c r="C214" s="200" t="s">
        <v>1043</v>
      </c>
    </row>
    <row r="215" spans="2:3" ht="17" x14ac:dyDescent="0.2">
      <c r="B215" s="26" t="s">
        <v>539</v>
      </c>
      <c r="C215" s="8">
        <v>16</v>
      </c>
    </row>
    <row r="216" spans="2:3" ht="17" x14ac:dyDescent="0.2">
      <c r="B216" s="26" t="s">
        <v>92</v>
      </c>
      <c r="C216" s="8">
        <v>32</v>
      </c>
    </row>
    <row r="217" spans="2:3" ht="17" x14ac:dyDescent="0.2">
      <c r="B217" s="26" t="s">
        <v>657</v>
      </c>
      <c r="C217" s="8">
        <v>48</v>
      </c>
    </row>
    <row r="218" spans="2:3" ht="17" x14ac:dyDescent="0.2">
      <c r="B218" s="233" t="s">
        <v>2229</v>
      </c>
      <c r="C218" s="200" t="s">
        <v>1043</v>
      </c>
    </row>
    <row r="219" spans="2:3" ht="17" x14ac:dyDescent="0.2">
      <c r="B219" s="26" t="s">
        <v>539</v>
      </c>
      <c r="C219" s="8">
        <v>1024</v>
      </c>
    </row>
    <row r="220" spans="2:3" ht="17" x14ac:dyDescent="0.2">
      <c r="B220" s="26" t="s">
        <v>92</v>
      </c>
      <c r="C220" s="8">
        <v>1024</v>
      </c>
    </row>
    <row r="221" spans="2:3" ht="17" x14ac:dyDescent="0.2">
      <c r="B221" s="26" t="s">
        <v>657</v>
      </c>
      <c r="C221" s="8">
        <v>1024</v>
      </c>
    </row>
    <row r="222" spans="2:3" ht="17" x14ac:dyDescent="0.2">
      <c r="B222" s="233" t="s">
        <v>2230</v>
      </c>
      <c r="C222" s="200" t="s">
        <v>1043</v>
      </c>
    </row>
    <row r="223" spans="2:3" ht="17" x14ac:dyDescent="0.2">
      <c r="B223" s="26" t="s">
        <v>539</v>
      </c>
      <c r="C223" s="26">
        <v>2</v>
      </c>
    </row>
    <row r="224" spans="2:3" ht="17" x14ac:dyDescent="0.2">
      <c r="B224" s="26" t="s">
        <v>92</v>
      </c>
      <c r="C224" s="8">
        <v>4</v>
      </c>
    </row>
    <row r="225" spans="2:3" ht="17" x14ac:dyDescent="0.2">
      <c r="B225" s="26" t="s">
        <v>657</v>
      </c>
      <c r="C225" s="8">
        <v>8</v>
      </c>
    </row>
    <row r="226" spans="2:3" ht="17" x14ac:dyDescent="0.2">
      <c r="B226" s="26" t="s">
        <v>2205</v>
      </c>
      <c r="C226" s="8">
        <v>8</v>
      </c>
    </row>
    <row r="227" spans="2:3" ht="17" x14ac:dyDescent="0.2">
      <c r="B227" s="26" t="s">
        <v>2206</v>
      </c>
      <c r="C227" s="8">
        <v>16</v>
      </c>
    </row>
    <row r="228" spans="2:3" ht="17" x14ac:dyDescent="0.2">
      <c r="B228" s="233" t="s">
        <v>2231</v>
      </c>
      <c r="C228" s="200" t="s">
        <v>1043</v>
      </c>
    </row>
    <row r="229" spans="2:3" ht="17" x14ac:dyDescent="0.2">
      <c r="B229" s="26" t="s">
        <v>539</v>
      </c>
      <c r="C229" s="26">
        <v>4</v>
      </c>
    </row>
    <row r="230" spans="2:3" ht="17" x14ac:dyDescent="0.2">
      <c r="B230" s="26" t="s">
        <v>92</v>
      </c>
      <c r="C230" s="8">
        <v>12</v>
      </c>
    </row>
    <row r="231" spans="2:3" ht="17" x14ac:dyDescent="0.2">
      <c r="B231" s="26" t="s">
        <v>657</v>
      </c>
      <c r="C231" s="8">
        <v>16</v>
      </c>
    </row>
    <row r="232" spans="2:3" ht="17" x14ac:dyDescent="0.2">
      <c r="B232" s="26" t="s">
        <v>2205</v>
      </c>
      <c r="C232" s="8">
        <v>24</v>
      </c>
    </row>
    <row r="233" spans="2:3" ht="17" x14ac:dyDescent="0.2">
      <c r="B233" s="26" t="s">
        <v>2206</v>
      </c>
      <c r="C233" s="8">
        <v>48</v>
      </c>
    </row>
    <row r="234" spans="2:3" ht="17" x14ac:dyDescent="0.2">
      <c r="B234" s="233" t="s">
        <v>2232</v>
      </c>
      <c r="C234" s="200" t="s">
        <v>1043</v>
      </c>
    </row>
    <row r="235" spans="2:3" ht="17" x14ac:dyDescent="0.2">
      <c r="B235" s="26" t="s">
        <v>539</v>
      </c>
      <c r="C235" s="8">
        <v>250</v>
      </c>
    </row>
    <row r="236" spans="2:3" ht="17" x14ac:dyDescent="0.2">
      <c r="B236" s="26" t="s">
        <v>92</v>
      </c>
      <c r="C236" s="8">
        <v>250</v>
      </c>
    </row>
    <row r="237" spans="2:3" ht="17" x14ac:dyDescent="0.2">
      <c r="B237" s="26" t="s">
        <v>657</v>
      </c>
      <c r="C237" s="8">
        <v>250</v>
      </c>
    </row>
    <row r="238" spans="2:3" ht="17" x14ac:dyDescent="0.2">
      <c r="B238" s="26" t="s">
        <v>2205</v>
      </c>
      <c r="C238" s="8">
        <v>250</v>
      </c>
    </row>
    <row r="239" spans="2:3" ht="17" x14ac:dyDescent="0.2">
      <c r="B239" s="26" t="s">
        <v>2206</v>
      </c>
      <c r="C239" s="8">
        <v>300</v>
      </c>
    </row>
    <row r="240" spans="2:3" ht="17" x14ac:dyDescent="0.2">
      <c r="B240" s="233" t="s">
        <v>2233</v>
      </c>
      <c r="C240" s="200" t="s">
        <v>1043</v>
      </c>
    </row>
    <row r="241" spans="2:3" ht="17" x14ac:dyDescent="0.2">
      <c r="B241" s="26" t="s">
        <v>2167</v>
      </c>
      <c r="C241" s="184">
        <v>8</v>
      </c>
    </row>
    <row r="242" spans="2:3" ht="17" x14ac:dyDescent="0.2">
      <c r="B242" s="26" t="s">
        <v>2169</v>
      </c>
      <c r="C242" s="237">
        <v>12</v>
      </c>
    </row>
    <row r="243" spans="2:3" ht="17" x14ac:dyDescent="0.2">
      <c r="B243" s="26" t="s">
        <v>2171</v>
      </c>
      <c r="C243" s="237">
        <v>100</v>
      </c>
    </row>
    <row r="244" spans="2:3" ht="17" x14ac:dyDescent="0.2">
      <c r="B244" s="233" t="s">
        <v>2234</v>
      </c>
      <c r="C244" s="200" t="s">
        <v>1043</v>
      </c>
    </row>
    <row r="245" spans="2:3" ht="17" x14ac:dyDescent="0.2">
      <c r="B245" s="238" t="s">
        <v>2167</v>
      </c>
      <c r="C245" s="8">
        <v>4</v>
      </c>
    </row>
    <row r="246" spans="2:3" ht="17" x14ac:dyDescent="0.2">
      <c r="B246" s="239" t="s">
        <v>2169</v>
      </c>
      <c r="C246" s="8">
        <v>12</v>
      </c>
    </row>
    <row r="247" spans="2:3" ht="17" x14ac:dyDescent="0.2">
      <c r="B247" s="239" t="s">
        <v>2171</v>
      </c>
      <c r="C247" s="8">
        <v>65</v>
      </c>
    </row>
    <row r="248" spans="2:3" ht="17" x14ac:dyDescent="0.2">
      <c r="B248" s="233" t="s">
        <v>2235</v>
      </c>
      <c r="C248" s="200" t="s">
        <v>1043</v>
      </c>
    </row>
    <row r="249" spans="2:3" ht="17" x14ac:dyDescent="0.2">
      <c r="B249" s="239" t="s">
        <v>539</v>
      </c>
      <c r="C249" s="8">
        <v>6</v>
      </c>
    </row>
    <row r="250" spans="2:3" ht="17" x14ac:dyDescent="0.2">
      <c r="B250" s="239" t="s">
        <v>657</v>
      </c>
      <c r="C250" s="8">
        <v>16</v>
      </c>
    </row>
    <row r="251" spans="2:3" ht="17" x14ac:dyDescent="0.2">
      <c r="B251" s="239" t="s">
        <v>2150</v>
      </c>
      <c r="C251" s="8">
        <v>16</v>
      </c>
    </row>
    <row r="252" spans="2:3" ht="17" x14ac:dyDescent="0.2">
      <c r="B252" s="233" t="s">
        <v>2236</v>
      </c>
      <c r="C252" s="200" t="s">
        <v>1043</v>
      </c>
    </row>
    <row r="253" spans="2:3" ht="17" x14ac:dyDescent="0.2">
      <c r="B253" s="239" t="s">
        <v>539</v>
      </c>
      <c r="C253" s="8">
        <v>32</v>
      </c>
    </row>
    <row r="254" spans="2:3" ht="17" x14ac:dyDescent="0.2">
      <c r="B254" s="239" t="s">
        <v>657</v>
      </c>
      <c r="C254" s="8">
        <v>48</v>
      </c>
    </row>
    <row r="255" spans="2:3" ht="17" x14ac:dyDescent="0.2">
      <c r="B255" s="239" t="s">
        <v>2150</v>
      </c>
      <c r="C255" s="8">
        <v>64</v>
      </c>
    </row>
    <row r="256" spans="2:3" ht="17" x14ac:dyDescent="0.2">
      <c r="B256" s="233" t="s">
        <v>2237</v>
      </c>
      <c r="C256" s="200" t="s">
        <v>1043</v>
      </c>
    </row>
    <row r="257" spans="2:3" ht="17" x14ac:dyDescent="0.2">
      <c r="B257" s="239" t="s">
        <v>539</v>
      </c>
      <c r="C257" s="8">
        <v>512</v>
      </c>
    </row>
    <row r="258" spans="2:3" ht="17" x14ac:dyDescent="0.2">
      <c r="B258" s="239" t="s">
        <v>657</v>
      </c>
      <c r="C258" s="8">
        <v>1400</v>
      </c>
    </row>
    <row r="259" spans="2:3" ht="17" x14ac:dyDescent="0.2">
      <c r="B259" s="239" t="s">
        <v>2150</v>
      </c>
      <c r="C259" s="8">
        <v>1750</v>
      </c>
    </row>
    <row r="260" spans="2:3" ht="17" x14ac:dyDescent="0.2">
      <c r="B260" s="233" t="s">
        <v>2238</v>
      </c>
      <c r="C260" s="200" t="s">
        <v>1043</v>
      </c>
    </row>
    <row r="261" spans="2:3" ht="17" x14ac:dyDescent="0.2">
      <c r="B261" s="370" t="s">
        <v>2142</v>
      </c>
      <c r="C261" s="200">
        <v>96</v>
      </c>
    </row>
    <row r="262" spans="2:3" ht="17" x14ac:dyDescent="0.2">
      <c r="B262" s="370" t="s">
        <v>178</v>
      </c>
      <c r="C262" s="200"/>
    </row>
    <row r="263" spans="2:3" ht="17" x14ac:dyDescent="0.2">
      <c r="B263" s="370" t="s">
        <v>4180</v>
      </c>
      <c r="C263" s="200"/>
    </row>
    <row r="264" spans="2:3" ht="17" x14ac:dyDescent="0.2">
      <c r="B264" s="239" t="s">
        <v>178</v>
      </c>
      <c r="C264" s="8">
        <v>96</v>
      </c>
    </row>
    <row r="265" spans="2:3" x14ac:dyDescent="0.2">
      <c r="B265" s="239"/>
      <c r="C265" s="8"/>
    </row>
    <row r="266" spans="2:3" x14ac:dyDescent="0.2">
      <c r="B266" s="239"/>
      <c r="C266" s="8"/>
    </row>
    <row r="267" spans="2:3" ht="17" x14ac:dyDescent="0.2">
      <c r="B267" s="233" t="s">
        <v>2239</v>
      </c>
      <c r="C267" s="200" t="s">
        <v>1043</v>
      </c>
    </row>
    <row r="268" spans="2:3" x14ac:dyDescent="0.2">
      <c r="B268" s="239" t="s">
        <v>178</v>
      </c>
      <c r="C268" s="8">
        <v>350</v>
      </c>
    </row>
    <row r="269" spans="2:3" x14ac:dyDescent="0.2">
      <c r="B269" s="239"/>
      <c r="C269" s="8"/>
    </row>
    <row r="270" spans="2:3" x14ac:dyDescent="0.2">
      <c r="B270" s="239"/>
      <c r="C270" s="8"/>
    </row>
    <row r="271" spans="2:3" ht="17" x14ac:dyDescent="0.2">
      <c r="B271" s="233" t="s">
        <v>2240</v>
      </c>
      <c r="C271" s="200" t="s">
        <v>1043</v>
      </c>
    </row>
    <row r="272" spans="2:3" ht="17" x14ac:dyDescent="0.2">
      <c r="B272" s="239" t="s">
        <v>178</v>
      </c>
      <c r="C272" s="8">
        <v>3867</v>
      </c>
    </row>
    <row r="273" spans="2:3" x14ac:dyDescent="0.2">
      <c r="B273" s="239"/>
      <c r="C273" s="8"/>
    </row>
    <row r="274" spans="2:3" x14ac:dyDescent="0.2">
      <c r="B274" s="239"/>
      <c r="C274" s="8"/>
    </row>
    <row r="275" spans="2:3" ht="17" x14ac:dyDescent="0.2">
      <c r="B275" s="233" t="s">
        <v>3410</v>
      </c>
      <c r="C275" s="200" t="s">
        <v>1043</v>
      </c>
    </row>
    <row r="276" spans="2:3" ht="17" x14ac:dyDescent="0.2">
      <c r="B276" s="239"/>
      <c r="C276" s="239" t="s">
        <v>539</v>
      </c>
    </row>
    <row r="277" spans="2:3" ht="17" x14ac:dyDescent="0.2">
      <c r="B277" s="239"/>
      <c r="C277" s="239" t="s">
        <v>92</v>
      </c>
    </row>
    <row r="278" spans="2:3" ht="17" x14ac:dyDescent="0.2">
      <c r="B278" s="239"/>
      <c r="C278" s="239" t="s">
        <v>657</v>
      </c>
    </row>
    <row r="279" spans="2:3" ht="17" x14ac:dyDescent="0.2">
      <c r="B279" s="233" t="s">
        <v>3955</v>
      </c>
      <c r="C279" s="200" t="s">
        <v>1043</v>
      </c>
    </row>
    <row r="280" spans="2:3" ht="17" x14ac:dyDescent="0.2">
      <c r="B280" s="239" t="s">
        <v>2167</v>
      </c>
      <c r="C280" s="239">
        <v>10</v>
      </c>
    </row>
    <row r="281" spans="2:3" ht="17" x14ac:dyDescent="0.2">
      <c r="B281" s="239" t="s">
        <v>2169</v>
      </c>
      <c r="C281" s="239">
        <v>30</v>
      </c>
    </row>
    <row r="282" spans="2:3" ht="17" x14ac:dyDescent="0.2">
      <c r="B282" s="239" t="s">
        <v>728</v>
      </c>
      <c r="C282" s="239">
        <v>725</v>
      </c>
    </row>
    <row r="283" spans="2:3" ht="17" x14ac:dyDescent="0.2">
      <c r="B283" s="233" t="s">
        <v>3868</v>
      </c>
      <c r="C283" s="200" t="s">
        <v>1043</v>
      </c>
    </row>
    <row r="284" spans="2:3" ht="17" x14ac:dyDescent="0.2">
      <c r="B284" s="239" t="s">
        <v>3814</v>
      </c>
      <c r="C284" s="8">
        <v>1</v>
      </c>
    </row>
    <row r="285" spans="2:3" ht="17" x14ac:dyDescent="0.2">
      <c r="B285" s="239" t="s">
        <v>3867</v>
      </c>
      <c r="C285" s="8">
        <v>3</v>
      </c>
    </row>
    <row r="286" spans="2:3" x14ac:dyDescent="0.2">
      <c r="B286" s="239"/>
      <c r="C286" s="8"/>
    </row>
    <row r="287" spans="2:3" x14ac:dyDescent="0.2">
      <c r="B287" s="239"/>
      <c r="C287" s="8"/>
    </row>
    <row r="288" spans="2:3" ht="17" x14ac:dyDescent="0.2">
      <c r="B288" s="233" t="s">
        <v>3707</v>
      </c>
      <c r="C288" s="200" t="s">
        <v>1043</v>
      </c>
    </row>
    <row r="289" spans="2:3" ht="17" x14ac:dyDescent="0.2">
      <c r="B289" s="239" t="s">
        <v>539</v>
      </c>
      <c r="C289" s="8">
        <v>4</v>
      </c>
    </row>
    <row r="290" spans="2:3" ht="17" x14ac:dyDescent="0.2">
      <c r="B290" s="239" t="s">
        <v>3700</v>
      </c>
      <c r="C290" s="8">
        <v>4</v>
      </c>
    </row>
    <row r="291" spans="2:3" ht="17" x14ac:dyDescent="0.2">
      <c r="B291" s="239" t="s">
        <v>92</v>
      </c>
      <c r="C291" s="8">
        <v>4</v>
      </c>
    </row>
    <row r="292" spans="2:3" ht="17" x14ac:dyDescent="0.2">
      <c r="B292" s="239" t="s">
        <v>657</v>
      </c>
      <c r="C292" s="8">
        <v>8</v>
      </c>
    </row>
    <row r="293" spans="2:3" ht="17" x14ac:dyDescent="0.2">
      <c r="B293" s="233" t="s">
        <v>3705</v>
      </c>
      <c r="C293" s="200" t="s">
        <v>1043</v>
      </c>
    </row>
    <row r="294" spans="2:3" ht="17" x14ac:dyDescent="0.2">
      <c r="B294" s="239" t="s">
        <v>539</v>
      </c>
      <c r="C294" s="8">
        <v>10</v>
      </c>
    </row>
    <row r="295" spans="2:3" ht="17" x14ac:dyDescent="0.2">
      <c r="B295" s="239" t="s">
        <v>3700</v>
      </c>
      <c r="C295" s="8">
        <v>10</v>
      </c>
    </row>
    <row r="296" spans="2:3" ht="17" x14ac:dyDescent="0.2">
      <c r="B296" s="239" t="s">
        <v>92</v>
      </c>
      <c r="C296" s="8">
        <v>10</v>
      </c>
    </row>
    <row r="297" spans="2:3" ht="17" x14ac:dyDescent="0.2">
      <c r="B297" s="239" t="s">
        <v>657</v>
      </c>
      <c r="C297" s="8">
        <v>14</v>
      </c>
    </row>
    <row r="298" spans="2:3" ht="17" x14ac:dyDescent="0.2">
      <c r="B298" s="233" t="s">
        <v>3706</v>
      </c>
      <c r="C298" s="200" t="s">
        <v>1043</v>
      </c>
    </row>
    <row r="299" spans="2:3" ht="17" x14ac:dyDescent="0.2">
      <c r="B299" s="239" t="s">
        <v>539</v>
      </c>
      <c r="C299" s="8">
        <v>100</v>
      </c>
    </row>
    <row r="300" spans="2:3" ht="17" x14ac:dyDescent="0.2">
      <c r="B300" s="239" t="s">
        <v>3700</v>
      </c>
      <c r="C300" s="8">
        <v>100</v>
      </c>
    </row>
    <row r="301" spans="2:3" ht="17" x14ac:dyDescent="0.2">
      <c r="B301" s="239" t="s">
        <v>92</v>
      </c>
      <c r="C301" s="8">
        <v>100</v>
      </c>
    </row>
    <row r="302" spans="2:3" ht="17" x14ac:dyDescent="0.2">
      <c r="B302" s="239" t="s">
        <v>657</v>
      </c>
      <c r="C302" s="8">
        <v>100</v>
      </c>
    </row>
    <row r="303" spans="2:3" ht="17" x14ac:dyDescent="0.2">
      <c r="B303" s="233" t="s">
        <v>3701</v>
      </c>
      <c r="C303" s="200" t="s">
        <v>1043</v>
      </c>
    </row>
    <row r="304" spans="2:3" ht="17" x14ac:dyDescent="0.2">
      <c r="B304" s="239" t="s">
        <v>539</v>
      </c>
      <c r="C304" s="8">
        <v>3</v>
      </c>
    </row>
    <row r="305" spans="2:4" ht="17" x14ac:dyDescent="0.2">
      <c r="B305" s="239" t="s">
        <v>92</v>
      </c>
      <c r="C305" s="8">
        <v>3</v>
      </c>
    </row>
    <row r="306" spans="2:4" ht="17" x14ac:dyDescent="0.2">
      <c r="B306" s="239" t="s">
        <v>657</v>
      </c>
      <c r="C306" s="8">
        <v>4</v>
      </c>
    </row>
    <row r="307" spans="2:4" ht="17" x14ac:dyDescent="0.2">
      <c r="B307" s="233" t="s">
        <v>3702</v>
      </c>
      <c r="C307" s="200" t="s">
        <v>1043</v>
      </c>
    </row>
    <row r="308" spans="2:4" ht="17" x14ac:dyDescent="0.2">
      <c r="B308" s="239" t="s">
        <v>539</v>
      </c>
      <c r="C308" s="8">
        <v>12</v>
      </c>
    </row>
    <row r="309" spans="2:4" ht="17" x14ac:dyDescent="0.2">
      <c r="B309" s="239" t="s">
        <v>92</v>
      </c>
      <c r="C309" s="8">
        <v>24</v>
      </c>
    </row>
    <row r="310" spans="2:4" ht="17" x14ac:dyDescent="0.2">
      <c r="B310" s="239" t="s">
        <v>657</v>
      </c>
      <c r="C310" s="8">
        <v>24</v>
      </c>
    </row>
    <row r="311" spans="2:4" ht="17" x14ac:dyDescent="0.2">
      <c r="B311" s="233" t="s">
        <v>3703</v>
      </c>
      <c r="C311" s="200" t="s">
        <v>1043</v>
      </c>
    </row>
    <row r="312" spans="2:4" ht="17" x14ac:dyDescent="0.2">
      <c r="B312" s="239" t="s">
        <v>539</v>
      </c>
      <c r="C312" s="8">
        <v>24</v>
      </c>
    </row>
    <row r="313" spans="2:4" ht="17" x14ac:dyDescent="0.2">
      <c r="B313" s="239" t="s">
        <v>92</v>
      </c>
      <c r="C313" s="8">
        <v>48</v>
      </c>
    </row>
    <row r="314" spans="2:4" ht="17" x14ac:dyDescent="0.2">
      <c r="B314" s="239" t="s">
        <v>657</v>
      </c>
      <c r="C314" s="8">
        <v>48</v>
      </c>
    </row>
    <row r="315" spans="2:4" ht="17" x14ac:dyDescent="0.2">
      <c r="B315" s="233" t="s">
        <v>3704</v>
      </c>
      <c r="C315" s="200" t="s">
        <v>1043</v>
      </c>
    </row>
    <row r="316" spans="2:4" ht="17" x14ac:dyDescent="0.2">
      <c r="B316" s="239" t="s">
        <v>539</v>
      </c>
      <c r="C316" s="8">
        <v>100</v>
      </c>
    </row>
    <row r="317" spans="2:4" ht="17" x14ac:dyDescent="0.2">
      <c r="B317" s="239" t="s">
        <v>92</v>
      </c>
      <c r="C317" s="8">
        <v>100</v>
      </c>
    </row>
    <row r="318" spans="2:4" ht="17" x14ac:dyDescent="0.2">
      <c r="B318" s="239" t="s">
        <v>657</v>
      </c>
      <c r="C318" s="8">
        <v>100</v>
      </c>
    </row>
    <row r="319" spans="2:4" ht="17" x14ac:dyDescent="0.2">
      <c r="B319" s="233" t="s">
        <v>451</v>
      </c>
      <c r="C319" s="233" t="s">
        <v>2241</v>
      </c>
      <c r="D319" s="233" t="s">
        <v>451</v>
      </c>
    </row>
    <row r="320" spans="2:4" x14ac:dyDescent="0.2">
      <c r="B320" s="240">
        <v>32</v>
      </c>
      <c r="C320" s="240" t="s">
        <v>2242</v>
      </c>
      <c r="D320" s="240">
        <v>32</v>
      </c>
    </row>
    <row r="321" spans="2:5" x14ac:dyDescent="0.2">
      <c r="B321" s="240">
        <v>31</v>
      </c>
      <c r="C321" s="240" t="s">
        <v>2243</v>
      </c>
      <c r="D321" s="240">
        <v>31</v>
      </c>
    </row>
    <row r="322" spans="2:5" x14ac:dyDescent="0.2">
      <c r="B322" s="240">
        <v>30</v>
      </c>
      <c r="C322" s="240" t="s">
        <v>2244</v>
      </c>
      <c r="D322" s="240">
        <v>30</v>
      </c>
    </row>
    <row r="323" spans="2:5" x14ac:dyDescent="0.2">
      <c r="B323" s="240">
        <v>29</v>
      </c>
      <c r="C323" s="240" t="s">
        <v>2245</v>
      </c>
      <c r="D323" s="240">
        <v>29</v>
      </c>
    </row>
    <row r="324" spans="2:5" x14ac:dyDescent="0.2">
      <c r="B324" s="240">
        <v>28</v>
      </c>
      <c r="C324" s="240" t="s">
        <v>2246</v>
      </c>
      <c r="D324" s="240">
        <v>28</v>
      </c>
    </row>
    <row r="325" spans="2:5" x14ac:dyDescent="0.2">
      <c r="B325" s="240">
        <v>27</v>
      </c>
      <c r="C325" s="240" t="s">
        <v>2247</v>
      </c>
      <c r="D325" s="240">
        <v>27</v>
      </c>
    </row>
    <row r="326" spans="2:5" x14ac:dyDescent="0.2">
      <c r="B326" s="240">
        <v>26</v>
      </c>
      <c r="C326" s="240" t="s">
        <v>2248</v>
      </c>
      <c r="D326" s="240">
        <v>26</v>
      </c>
    </row>
    <row r="327" spans="2:5" x14ac:dyDescent="0.2">
      <c r="B327" s="240">
        <v>25</v>
      </c>
      <c r="C327" s="240" t="s">
        <v>2249</v>
      </c>
      <c r="D327" s="240">
        <v>25</v>
      </c>
    </row>
    <row r="328" spans="2:5" x14ac:dyDescent="0.2">
      <c r="B328" s="240">
        <v>24</v>
      </c>
      <c r="C328" s="240" t="s">
        <v>126</v>
      </c>
      <c r="D328" s="240">
        <v>24</v>
      </c>
    </row>
    <row r="329" spans="2:5" x14ac:dyDescent="0.2">
      <c r="B329" s="240">
        <v>23</v>
      </c>
      <c r="C329" s="240" t="s">
        <v>2250</v>
      </c>
      <c r="D329" s="240">
        <v>23</v>
      </c>
    </row>
    <row r="330" spans="2:5" x14ac:dyDescent="0.2">
      <c r="B330" s="240">
        <v>22</v>
      </c>
      <c r="C330" s="240" t="s">
        <v>2251</v>
      </c>
      <c r="D330" s="240">
        <v>22</v>
      </c>
    </row>
    <row r="331" spans="2:5" x14ac:dyDescent="0.2">
      <c r="B331" s="240">
        <v>21</v>
      </c>
      <c r="C331" s="240" t="s">
        <v>2252</v>
      </c>
      <c r="D331" s="240">
        <v>21</v>
      </c>
    </row>
    <row r="332" spans="2:5" x14ac:dyDescent="0.2">
      <c r="B332" s="240">
        <v>20</v>
      </c>
      <c r="C332" s="240" t="s">
        <v>2253</v>
      </c>
      <c r="D332" s="240">
        <v>20</v>
      </c>
    </row>
    <row r="333" spans="2:5" x14ac:dyDescent="0.2">
      <c r="B333" s="240">
        <v>19</v>
      </c>
      <c r="C333" s="240" t="s">
        <v>2254</v>
      </c>
      <c r="D333" s="240">
        <v>19</v>
      </c>
      <c r="E333" s="3">
        <v>1</v>
      </c>
    </row>
    <row r="334" spans="2:5" x14ac:dyDescent="0.2">
      <c r="B334" s="240">
        <v>18</v>
      </c>
      <c r="C334" s="240" t="s">
        <v>2255</v>
      </c>
      <c r="D334" s="240">
        <v>18</v>
      </c>
      <c r="E334" s="3">
        <v>2</v>
      </c>
    </row>
    <row r="335" spans="2:5" x14ac:dyDescent="0.2">
      <c r="B335" s="240">
        <v>17</v>
      </c>
      <c r="C335" s="240" t="s">
        <v>2256</v>
      </c>
      <c r="D335" s="240">
        <v>17</v>
      </c>
      <c r="E335" s="3">
        <v>3</v>
      </c>
    </row>
    <row r="336" spans="2:5" x14ac:dyDescent="0.2">
      <c r="B336" s="240">
        <v>16</v>
      </c>
      <c r="C336" s="240" t="s">
        <v>2257</v>
      </c>
      <c r="D336" s="240">
        <v>16</v>
      </c>
      <c r="E336" s="3">
        <v>4</v>
      </c>
    </row>
    <row r="337" spans="2:5" x14ac:dyDescent="0.2">
      <c r="B337" s="240">
        <v>15</v>
      </c>
      <c r="C337" s="240" t="s">
        <v>2258</v>
      </c>
      <c r="D337" s="240">
        <v>15</v>
      </c>
      <c r="E337" s="3">
        <v>5</v>
      </c>
    </row>
    <row r="338" spans="2:5" x14ac:dyDescent="0.2">
      <c r="B338" s="240">
        <v>14</v>
      </c>
      <c r="C338" s="240" t="s">
        <v>2259</v>
      </c>
      <c r="D338" s="240">
        <v>14</v>
      </c>
      <c r="E338" s="3">
        <v>6</v>
      </c>
    </row>
    <row r="339" spans="2:5" x14ac:dyDescent="0.2">
      <c r="B339" s="240">
        <v>13</v>
      </c>
      <c r="C339" s="240" t="s">
        <v>2260</v>
      </c>
      <c r="D339" s="240">
        <v>13</v>
      </c>
      <c r="E339" s="3">
        <v>7</v>
      </c>
    </row>
    <row r="340" spans="2:5" x14ac:dyDescent="0.2">
      <c r="B340" s="240">
        <v>12</v>
      </c>
      <c r="C340" s="240" t="s">
        <v>2261</v>
      </c>
      <c r="D340" s="240">
        <v>12</v>
      </c>
      <c r="E340" s="3">
        <v>8</v>
      </c>
    </row>
    <row r="341" spans="2:5" x14ac:dyDescent="0.2">
      <c r="B341" s="240">
        <v>11</v>
      </c>
      <c r="C341" s="240" t="s">
        <v>2262</v>
      </c>
      <c r="D341" s="240">
        <v>11</v>
      </c>
      <c r="E341" s="3">
        <v>9</v>
      </c>
    </row>
    <row r="342" spans="2:5" x14ac:dyDescent="0.2">
      <c r="B342" s="240">
        <v>10</v>
      </c>
      <c r="C342" s="240" t="s">
        <v>2263</v>
      </c>
      <c r="D342" s="240">
        <v>10</v>
      </c>
      <c r="E342" s="3">
        <v>10</v>
      </c>
    </row>
    <row r="343" spans="2:5" x14ac:dyDescent="0.2">
      <c r="B343" s="240">
        <v>9</v>
      </c>
      <c r="C343" s="240" t="s">
        <v>2264</v>
      </c>
      <c r="D343" s="240">
        <v>9</v>
      </c>
      <c r="E343" s="3">
        <v>11</v>
      </c>
    </row>
    <row r="344" spans="2:5" x14ac:dyDescent="0.2">
      <c r="B344" s="240">
        <v>8</v>
      </c>
      <c r="C344" s="240" t="s">
        <v>2265</v>
      </c>
      <c r="D344" s="240">
        <v>8</v>
      </c>
      <c r="E344" s="3">
        <v>12</v>
      </c>
    </row>
    <row r="345" spans="2:5" x14ac:dyDescent="0.2">
      <c r="B345" s="240">
        <v>7</v>
      </c>
      <c r="C345" s="240" t="s">
        <v>2266</v>
      </c>
      <c r="D345" s="240">
        <v>7</v>
      </c>
      <c r="E345" s="3">
        <v>13</v>
      </c>
    </row>
    <row r="346" spans="2:5" x14ac:dyDescent="0.2">
      <c r="B346" s="240">
        <v>6</v>
      </c>
      <c r="C346" s="240" t="s">
        <v>2267</v>
      </c>
      <c r="D346" s="240">
        <v>6</v>
      </c>
      <c r="E346" s="3">
        <v>14</v>
      </c>
    </row>
    <row r="347" spans="2:5" x14ac:dyDescent="0.2">
      <c r="B347" s="240">
        <v>5</v>
      </c>
      <c r="C347" s="240" t="s">
        <v>2268</v>
      </c>
      <c r="D347" s="240">
        <v>5</v>
      </c>
      <c r="E347" s="3">
        <v>15</v>
      </c>
    </row>
    <row r="348" spans="2:5" x14ac:dyDescent="0.2">
      <c r="B348" s="240">
        <v>4</v>
      </c>
      <c r="C348" s="240" t="s">
        <v>2269</v>
      </c>
      <c r="D348" s="240">
        <v>4</v>
      </c>
      <c r="E348" s="3">
        <v>16</v>
      </c>
    </row>
    <row r="349" spans="2:5" x14ac:dyDescent="0.2">
      <c r="B349" s="240">
        <v>3</v>
      </c>
      <c r="C349" s="240" t="s">
        <v>2270</v>
      </c>
      <c r="D349" s="240">
        <v>3</v>
      </c>
      <c r="E349" s="3">
        <v>17</v>
      </c>
    </row>
    <row r="350" spans="2:5" x14ac:dyDescent="0.2">
      <c r="B350" s="240">
        <v>2</v>
      </c>
      <c r="C350" s="240" t="s">
        <v>2271</v>
      </c>
      <c r="D350" s="240">
        <v>2</v>
      </c>
      <c r="E350" s="3">
        <v>18</v>
      </c>
    </row>
    <row r="351" spans="2:5" x14ac:dyDescent="0.2">
      <c r="B351" s="240">
        <v>1</v>
      </c>
      <c r="C351" s="240" t="s">
        <v>2272</v>
      </c>
      <c r="D351" s="240">
        <v>1</v>
      </c>
      <c r="E351" s="3">
        <v>19</v>
      </c>
    </row>
    <row r="352" spans="2:5" x14ac:dyDescent="0.2">
      <c r="B352" s="240">
        <v>0</v>
      </c>
      <c r="C352" s="240" t="s">
        <v>2273</v>
      </c>
      <c r="D352" s="240">
        <v>0</v>
      </c>
    </row>
    <row r="353" spans="2:3" ht="17" x14ac:dyDescent="0.2">
      <c r="B353" s="233" t="s">
        <v>2274</v>
      </c>
      <c r="C353" s="233" t="s">
        <v>2274</v>
      </c>
    </row>
    <row r="354" spans="2:3" x14ac:dyDescent="0.2">
      <c r="B354" s="8"/>
      <c r="C354" s="8" t="s">
        <v>2275</v>
      </c>
    </row>
    <row r="355" spans="2:3" x14ac:dyDescent="0.2">
      <c r="B355" s="8"/>
      <c r="C355" s="8" t="s">
        <v>2276</v>
      </c>
    </row>
    <row r="356" spans="2:3" x14ac:dyDescent="0.2">
      <c r="B356" s="8"/>
      <c r="C356" s="8" t="s">
        <v>2277</v>
      </c>
    </row>
    <row r="357" spans="2:3" ht="17" x14ac:dyDescent="0.2">
      <c r="B357" s="233"/>
      <c r="C357" s="233" t="s">
        <v>3991</v>
      </c>
    </row>
    <row r="358" spans="2:3" x14ac:dyDescent="0.2">
      <c r="B358" s="8" t="s">
        <v>588</v>
      </c>
    </row>
    <row r="359" spans="2:3" x14ac:dyDescent="0.2">
      <c r="B359" s="8" t="s">
        <v>2278</v>
      </c>
    </row>
    <row r="360" spans="2:3" x14ac:dyDescent="0.2">
      <c r="B360" s="8" t="s">
        <v>2279</v>
      </c>
    </row>
    <row r="361" spans="2:3" x14ac:dyDescent="0.2">
      <c r="B361" s="8" t="s">
        <v>2280</v>
      </c>
    </row>
    <row r="362" spans="2:3" x14ac:dyDescent="0.2">
      <c r="B362" s="8" t="s">
        <v>2281</v>
      </c>
    </row>
    <row r="363" spans="2:3" x14ac:dyDescent="0.2">
      <c r="B363" s="8" t="s">
        <v>2282</v>
      </c>
    </row>
    <row r="364" spans="2:3" x14ac:dyDescent="0.2">
      <c r="B364" s="8" t="s">
        <v>2283</v>
      </c>
    </row>
    <row r="365" spans="2:3" x14ac:dyDescent="0.2">
      <c r="B365" s="8" t="s">
        <v>2284</v>
      </c>
    </row>
    <row r="366" spans="2:3" x14ac:dyDescent="0.2">
      <c r="B366" s="8" t="s">
        <v>2285</v>
      </c>
    </row>
    <row r="367" spans="2:3" x14ac:dyDescent="0.2">
      <c r="B367" s="8" t="s">
        <v>2286</v>
      </c>
    </row>
    <row r="368" spans="2:3" x14ac:dyDescent="0.2">
      <c r="B368" s="8" t="s">
        <v>2287</v>
      </c>
    </row>
    <row r="369" spans="2:2" x14ac:dyDescent="0.2">
      <c r="B369" s="8" t="s">
        <v>2288</v>
      </c>
    </row>
    <row r="370" spans="2:2" x14ac:dyDescent="0.2">
      <c r="B370" s="8" t="s">
        <v>2289</v>
      </c>
    </row>
    <row r="371" spans="2:2" x14ac:dyDescent="0.2">
      <c r="B371" s="8" t="s">
        <v>2290</v>
      </c>
    </row>
    <row r="372" spans="2:2" x14ac:dyDescent="0.2">
      <c r="B372" s="8" t="s">
        <v>2291</v>
      </c>
    </row>
    <row r="373" spans="2:2" x14ac:dyDescent="0.2">
      <c r="B373" s="8" t="s">
        <v>2292</v>
      </c>
    </row>
    <row r="374" spans="2:2" x14ac:dyDescent="0.2">
      <c r="B374" s="8" t="s">
        <v>2293</v>
      </c>
    </row>
    <row r="375" spans="2:2" x14ac:dyDescent="0.2">
      <c r="B375" s="8" t="s">
        <v>2294</v>
      </c>
    </row>
    <row r="376" spans="2:2" x14ac:dyDescent="0.2">
      <c r="B376" s="8" t="s">
        <v>2295</v>
      </c>
    </row>
    <row r="377" spans="2:2" x14ac:dyDescent="0.2">
      <c r="B377" s="8" t="s">
        <v>2296</v>
      </c>
    </row>
    <row r="378" spans="2:2" x14ac:dyDescent="0.2">
      <c r="B378" s="8" t="s">
        <v>2297</v>
      </c>
    </row>
    <row r="379" spans="2:2" x14ac:dyDescent="0.2">
      <c r="B379" s="8" t="s">
        <v>2298</v>
      </c>
    </row>
    <row r="380" spans="2:2" x14ac:dyDescent="0.2">
      <c r="B380" s="8" t="s">
        <v>2299</v>
      </c>
    </row>
    <row r="381" spans="2:2" x14ac:dyDescent="0.2">
      <c r="B381" s="8" t="s">
        <v>2300</v>
      </c>
    </row>
    <row r="382" spans="2:2" ht="17" x14ac:dyDescent="0.2">
      <c r="B382" s="233" t="s">
        <v>2301</v>
      </c>
    </row>
    <row r="383" spans="2:2" x14ac:dyDescent="0.2">
      <c r="B383" s="8" t="s">
        <v>665</v>
      </c>
    </row>
    <row r="384" spans="2:2" x14ac:dyDescent="0.2">
      <c r="B384" s="8" t="s">
        <v>2302</v>
      </c>
    </row>
    <row r="385" spans="2:3" ht="17" x14ac:dyDescent="0.2">
      <c r="B385" s="233" t="s">
        <v>2303</v>
      </c>
    </row>
    <row r="386" spans="2:3" x14ac:dyDescent="0.2">
      <c r="B386" s="8" t="s">
        <v>665</v>
      </c>
      <c r="C386" s="8" t="s">
        <v>665</v>
      </c>
    </row>
    <row r="387" spans="2:3" x14ac:dyDescent="0.2">
      <c r="B387" s="8" t="s">
        <v>2302</v>
      </c>
      <c r="C387" s="8" t="s">
        <v>2302</v>
      </c>
    </row>
    <row r="388" spans="2:3" x14ac:dyDescent="0.2">
      <c r="B388" s="8" t="s">
        <v>2304</v>
      </c>
      <c r="C388" s="8" t="s">
        <v>2305</v>
      </c>
    </row>
    <row r="389" spans="2:3" x14ac:dyDescent="0.2">
      <c r="B389" s="8" t="s">
        <v>2306</v>
      </c>
      <c r="C389" s="8" t="s">
        <v>2304</v>
      </c>
    </row>
    <row r="390" spans="2:3" x14ac:dyDescent="0.2">
      <c r="B390" s="8" t="s">
        <v>2307</v>
      </c>
      <c r="C390" s="8" t="s">
        <v>2306</v>
      </c>
    </row>
    <row r="391" spans="2:3" x14ac:dyDescent="0.2">
      <c r="B391" s="8"/>
      <c r="C391" s="8" t="s">
        <v>2307</v>
      </c>
    </row>
    <row r="392" spans="2:3" ht="17" x14ac:dyDescent="0.2">
      <c r="B392" s="233" t="s">
        <v>2308</v>
      </c>
    </row>
    <row r="393" spans="2:3" x14ac:dyDescent="0.2">
      <c r="B393" s="8" t="s">
        <v>2309</v>
      </c>
    </row>
    <row r="394" spans="2:3" x14ac:dyDescent="0.2">
      <c r="B394" s="8" t="s">
        <v>2310</v>
      </c>
    </row>
    <row r="395" spans="2:3" ht="17" x14ac:dyDescent="0.2">
      <c r="B395" s="233" t="s">
        <v>2311</v>
      </c>
    </row>
    <row r="396" spans="2:3" x14ac:dyDescent="0.2">
      <c r="B396" s="8" t="s">
        <v>2309</v>
      </c>
    </row>
    <row r="397" spans="2:3" ht="17" x14ac:dyDescent="0.2">
      <c r="B397" s="233" t="s">
        <v>2312</v>
      </c>
    </row>
    <row r="398" spans="2:3" x14ac:dyDescent="0.2">
      <c r="B398" s="8" t="s">
        <v>2313</v>
      </c>
    </row>
    <row r="399" spans="2:3" x14ac:dyDescent="0.2">
      <c r="B399" s="8" t="s">
        <v>2314</v>
      </c>
    </row>
    <row r="400" spans="2:3" x14ac:dyDescent="0.2">
      <c r="B400" s="8" t="s">
        <v>2315</v>
      </c>
    </row>
    <row r="401" spans="2:5" x14ac:dyDescent="0.2">
      <c r="B401" s="8" t="s">
        <v>2316</v>
      </c>
    </row>
    <row r="402" spans="2:5" x14ac:dyDescent="0.2">
      <c r="B402" s="8" t="s">
        <v>2317</v>
      </c>
      <c r="E402" s="2"/>
    </row>
    <row r="403" spans="2:5" x14ac:dyDescent="0.2">
      <c r="B403" s="8" t="s">
        <v>2318</v>
      </c>
      <c r="E403" s="2"/>
    </row>
    <row r="404" spans="2:5" x14ac:dyDescent="0.2">
      <c r="B404" s="8" t="s">
        <v>2319</v>
      </c>
      <c r="D404" s="3"/>
      <c r="E404" s="2"/>
    </row>
    <row r="405" spans="2:5" x14ac:dyDescent="0.2">
      <c r="B405" s="8" t="s">
        <v>2320</v>
      </c>
      <c r="D405" s="3"/>
      <c r="E405" s="2"/>
    </row>
    <row r="406" spans="2:5" x14ac:dyDescent="0.2">
      <c r="B406" s="8" t="s">
        <v>2321</v>
      </c>
      <c r="D406" s="3"/>
      <c r="E406" s="2"/>
    </row>
    <row r="407" spans="2:5" x14ac:dyDescent="0.2">
      <c r="B407" s="8" t="s">
        <v>2322</v>
      </c>
      <c r="D407" s="3"/>
      <c r="E407" s="2"/>
    </row>
    <row r="408" spans="2:5" x14ac:dyDescent="0.2">
      <c r="B408" s="8" t="s">
        <v>2323</v>
      </c>
      <c r="D408" s="3"/>
      <c r="E408" s="2"/>
    </row>
    <row r="409" spans="2:5" x14ac:dyDescent="0.2">
      <c r="B409" s="8" t="s">
        <v>2324</v>
      </c>
      <c r="D409" s="3"/>
      <c r="E409" s="2"/>
    </row>
    <row r="410" spans="2:5" x14ac:dyDescent="0.2">
      <c r="B410" s="8" t="s">
        <v>2325</v>
      </c>
      <c r="D410" s="3"/>
      <c r="E410" s="2"/>
    </row>
    <row r="411" spans="2:5" x14ac:dyDescent="0.2">
      <c r="B411" s="8" t="s">
        <v>2326</v>
      </c>
      <c r="D411" s="3"/>
      <c r="E411" s="2"/>
    </row>
    <row r="412" spans="2:5" x14ac:dyDescent="0.2">
      <c r="B412" s="8" t="s">
        <v>2327</v>
      </c>
      <c r="D412" s="3"/>
      <c r="E412" s="2"/>
    </row>
    <row r="413" spans="2:5" x14ac:dyDescent="0.2">
      <c r="B413" s="8" t="s">
        <v>2328</v>
      </c>
      <c r="D413" s="3"/>
      <c r="E413" s="2"/>
    </row>
    <row r="414" spans="2:5" x14ac:dyDescent="0.2">
      <c r="B414" s="8" t="s">
        <v>2329</v>
      </c>
      <c r="D414" s="3"/>
      <c r="E414" s="2"/>
    </row>
    <row r="415" spans="2:5" x14ac:dyDescent="0.2">
      <c r="B415" s="8" t="s">
        <v>2330</v>
      </c>
      <c r="D415" s="3"/>
      <c r="E415" s="2"/>
    </row>
    <row r="416" spans="2:5" x14ac:dyDescent="0.2">
      <c r="B416" s="8" t="s">
        <v>2331</v>
      </c>
      <c r="D416" s="3"/>
      <c r="E416" s="2"/>
    </row>
    <row r="417" spans="2:5" x14ac:dyDescent="0.2">
      <c r="B417" s="8" t="s">
        <v>2332</v>
      </c>
      <c r="D417" s="3"/>
      <c r="E417" s="2"/>
    </row>
    <row r="418" spans="2:5" x14ac:dyDescent="0.2">
      <c r="B418" s="8" t="s">
        <v>2333</v>
      </c>
      <c r="D418" s="3"/>
      <c r="E418" s="2"/>
    </row>
    <row r="419" spans="2:5" x14ac:dyDescent="0.2">
      <c r="B419" s="8" t="s">
        <v>2334</v>
      </c>
      <c r="D419" s="3"/>
      <c r="E419" s="2"/>
    </row>
    <row r="420" spans="2:5" x14ac:dyDescent="0.2">
      <c r="B420" s="8" t="s">
        <v>2335</v>
      </c>
      <c r="D420" s="3"/>
      <c r="E420" s="2"/>
    </row>
    <row r="421" spans="2:5" x14ac:dyDescent="0.2">
      <c r="B421" s="8" t="s">
        <v>2336</v>
      </c>
      <c r="D421" s="3"/>
      <c r="E421" s="2"/>
    </row>
    <row r="422" spans="2:5" x14ac:dyDescent="0.2">
      <c r="B422" s="8" t="s">
        <v>2337</v>
      </c>
      <c r="D422" s="3"/>
      <c r="E422" s="2"/>
    </row>
    <row r="423" spans="2:5" x14ac:dyDescent="0.2">
      <c r="B423" s="8" t="s">
        <v>2338</v>
      </c>
      <c r="D423" s="3"/>
      <c r="E423" s="2"/>
    </row>
    <row r="424" spans="2:5" x14ac:dyDescent="0.2">
      <c r="B424" s="8" t="s">
        <v>2339</v>
      </c>
      <c r="D424" s="3"/>
      <c r="E424" s="2"/>
    </row>
    <row r="425" spans="2:5" x14ac:dyDescent="0.2">
      <c r="B425" s="8" t="s">
        <v>2340</v>
      </c>
      <c r="D425" s="3"/>
      <c r="E425" s="2"/>
    </row>
    <row r="426" spans="2:5" ht="17" x14ac:dyDescent="0.2">
      <c r="B426" s="233" t="s">
        <v>2341</v>
      </c>
      <c r="C426" s="3"/>
      <c r="D426" s="3"/>
      <c r="E426" s="2"/>
    </row>
    <row r="427" spans="2:5" x14ac:dyDescent="0.2">
      <c r="B427" s="8">
        <v>1</v>
      </c>
      <c r="C427" s="3"/>
      <c r="D427" s="3"/>
      <c r="E427" s="2"/>
    </row>
    <row r="428" spans="2:5" x14ac:dyDescent="0.2">
      <c r="B428" s="8">
        <v>2</v>
      </c>
      <c r="C428" s="3"/>
      <c r="D428" s="3"/>
      <c r="E428" s="2"/>
    </row>
    <row r="429" spans="2:5" x14ac:dyDescent="0.2">
      <c r="B429" s="8">
        <v>3</v>
      </c>
      <c r="C429" s="3"/>
      <c r="D429" s="3"/>
      <c r="E429" s="2"/>
    </row>
    <row r="430" spans="2:5" x14ac:dyDescent="0.2">
      <c r="B430" s="241" t="s">
        <v>2342</v>
      </c>
      <c r="C430" s="3"/>
      <c r="D430" s="3"/>
      <c r="E430" s="2"/>
    </row>
    <row r="431" spans="2:5" ht="17" x14ac:dyDescent="0.2">
      <c r="B431" s="242" t="s">
        <v>2343</v>
      </c>
      <c r="C431" s="3"/>
      <c r="D431" s="3"/>
      <c r="E431" s="2"/>
    </row>
    <row r="432" spans="2:5" x14ac:dyDescent="0.2">
      <c r="B432" s="241" t="s">
        <v>2344</v>
      </c>
      <c r="C432" s="3"/>
      <c r="D432" s="3"/>
      <c r="E432" s="2"/>
    </row>
    <row r="433" spans="2:5" x14ac:dyDescent="0.2">
      <c r="B433" s="241" t="s">
        <v>2345</v>
      </c>
      <c r="D433" s="3"/>
      <c r="E433" s="2"/>
    </row>
    <row r="434" spans="2:5" x14ac:dyDescent="0.2">
      <c r="B434" s="241" t="s">
        <v>2346</v>
      </c>
      <c r="D434" s="3"/>
      <c r="E434" s="2"/>
    </row>
    <row r="435" spans="2:5" ht="17" x14ac:dyDescent="0.2">
      <c r="B435" s="233" t="s">
        <v>2347</v>
      </c>
      <c r="E435" s="2"/>
    </row>
    <row r="436" spans="2:5" x14ac:dyDescent="0.2">
      <c r="B436" s="8" t="s">
        <v>178</v>
      </c>
      <c r="E436" s="2"/>
    </row>
    <row r="437" spans="2:5" x14ac:dyDescent="0.2">
      <c r="B437" s="8" t="s">
        <v>13</v>
      </c>
      <c r="E437" s="2"/>
    </row>
    <row r="438" spans="2:5" ht="17" x14ac:dyDescent="0.2">
      <c r="B438" s="233" t="s">
        <v>3563</v>
      </c>
      <c r="E438" s="2"/>
    </row>
    <row r="439" spans="2:5" x14ac:dyDescent="0.2">
      <c r="B439" s="8" t="s">
        <v>3566</v>
      </c>
      <c r="E439" s="2"/>
    </row>
    <row r="440" spans="2:5" x14ac:dyDescent="0.2">
      <c r="B440" s="8" t="s">
        <v>3568</v>
      </c>
      <c r="E440" s="2"/>
    </row>
    <row r="441" spans="2:5" x14ac:dyDescent="0.2">
      <c r="B441" s="8" t="s">
        <v>3569</v>
      </c>
      <c r="E441" s="2"/>
    </row>
    <row r="442" spans="2:5" x14ac:dyDescent="0.2">
      <c r="B442" s="8" t="s">
        <v>3570</v>
      </c>
      <c r="E442" s="2"/>
    </row>
    <row r="443" spans="2:5" x14ac:dyDescent="0.2">
      <c r="B443" s="8" t="s">
        <v>3571</v>
      </c>
      <c r="E443" s="2"/>
    </row>
    <row r="444" spans="2:5" x14ac:dyDescent="0.2">
      <c r="B444" s="8" t="s">
        <v>3572</v>
      </c>
    </row>
    <row r="445" spans="2:5" x14ac:dyDescent="0.2">
      <c r="B445" s="8" t="s">
        <v>3573</v>
      </c>
    </row>
    <row r="446" spans="2:5" x14ac:dyDescent="0.2">
      <c r="B446" s="8" t="s">
        <v>3574</v>
      </c>
    </row>
    <row r="447" spans="2:5" x14ac:dyDescent="0.2">
      <c r="B447" s="8" t="s">
        <v>3575</v>
      </c>
    </row>
    <row r="448" spans="2:5" x14ac:dyDescent="0.2">
      <c r="B448" s="8" t="s">
        <v>3576</v>
      </c>
    </row>
    <row r="449" spans="2:4" x14ac:dyDescent="0.2">
      <c r="B449" s="8" t="s">
        <v>3577</v>
      </c>
    </row>
    <row r="450" spans="2:4" x14ac:dyDescent="0.2">
      <c r="B450" s="8" t="s">
        <v>3586</v>
      </c>
    </row>
    <row r="451" spans="2:4" x14ac:dyDescent="0.2">
      <c r="B451" s="8" t="s">
        <v>3578</v>
      </c>
    </row>
    <row r="452" spans="2:4" x14ac:dyDescent="0.2">
      <c r="B452" s="8" t="s">
        <v>3579</v>
      </c>
    </row>
    <row r="453" spans="2:4" x14ac:dyDescent="0.2">
      <c r="B453" s="8" t="s">
        <v>3580</v>
      </c>
    </row>
    <row r="454" spans="2:4" x14ac:dyDescent="0.2">
      <c r="B454" s="8" t="s">
        <v>3581</v>
      </c>
    </row>
    <row r="455" spans="2:4" x14ac:dyDescent="0.2">
      <c r="B455" s="8" t="s">
        <v>3582</v>
      </c>
    </row>
    <row r="456" spans="2:4" x14ac:dyDescent="0.2">
      <c r="B456" s="8" t="s">
        <v>3587</v>
      </c>
    </row>
    <row r="457" spans="2:4" x14ac:dyDescent="0.2">
      <c r="B457" s="8" t="s">
        <v>3567</v>
      </c>
    </row>
    <row r="458" spans="2:4" x14ac:dyDescent="0.2">
      <c r="B458" s="8" t="s">
        <v>3583</v>
      </c>
    </row>
    <row r="461" spans="2:4" ht="17" x14ac:dyDescent="0.2">
      <c r="B461" s="233" t="s">
        <v>2161</v>
      </c>
      <c r="C461" s="536" t="s">
        <v>2162</v>
      </c>
      <c r="D461" s="536"/>
    </row>
    <row r="462" spans="2:4" x14ac:dyDescent="0.2">
      <c r="B462" s="8" t="s">
        <v>2141</v>
      </c>
      <c r="C462" s="488" t="s">
        <v>2163</v>
      </c>
      <c r="D462" s="537"/>
    </row>
    <row r="463" spans="2:4" x14ac:dyDescent="0.2">
      <c r="B463" s="8" t="s">
        <v>539</v>
      </c>
      <c r="C463" s="488" t="s">
        <v>2165</v>
      </c>
      <c r="D463" s="537"/>
    </row>
    <row r="464" spans="2:4" x14ac:dyDescent="0.2">
      <c r="B464" s="8" t="s">
        <v>92</v>
      </c>
      <c r="C464" s="488" t="s">
        <v>2166</v>
      </c>
      <c r="D464" s="537"/>
    </row>
    <row r="465" spans="2:4" x14ac:dyDescent="0.2">
      <c r="B465" s="8" t="s">
        <v>657</v>
      </c>
      <c r="C465" s="488" t="s">
        <v>2168</v>
      </c>
      <c r="D465" s="537"/>
    </row>
    <row r="466" spans="2:4" x14ac:dyDescent="0.2">
      <c r="B466" s="8" t="s">
        <v>3664</v>
      </c>
      <c r="C466" s="488" t="s">
        <v>2170</v>
      </c>
      <c r="D466" s="537"/>
    </row>
    <row r="467" spans="2:4" x14ac:dyDescent="0.2">
      <c r="D467" s="2"/>
    </row>
    <row r="468" spans="2:4" ht="17" x14ac:dyDescent="0.2">
      <c r="B468" s="233" t="s">
        <v>2173</v>
      </c>
      <c r="C468" s="539" t="s">
        <v>2162</v>
      </c>
      <c r="D468" s="539"/>
    </row>
    <row r="469" spans="2:4" x14ac:dyDescent="0.2">
      <c r="B469" s="8" t="s">
        <v>2157</v>
      </c>
      <c r="C469" s="8" t="s">
        <v>2174</v>
      </c>
      <c r="D469" s="8"/>
    </row>
    <row r="470" spans="2:4" x14ac:dyDescent="0.2">
      <c r="B470" s="8" t="s">
        <v>539</v>
      </c>
      <c r="C470" s="454" t="s">
        <v>2175</v>
      </c>
      <c r="D470" s="456"/>
    </row>
    <row r="471" spans="2:4" x14ac:dyDescent="0.2">
      <c r="B471" s="8" t="s">
        <v>92</v>
      </c>
      <c r="C471" s="8" t="s">
        <v>2176</v>
      </c>
      <c r="D471" s="8"/>
    </row>
    <row r="472" spans="2:4" x14ac:dyDescent="0.2">
      <c r="B472" s="8" t="s">
        <v>657</v>
      </c>
      <c r="C472" s="8" t="s">
        <v>2177</v>
      </c>
      <c r="D472" s="8"/>
    </row>
    <row r="473" spans="2:4" x14ac:dyDescent="0.2">
      <c r="B473" s="8" t="s">
        <v>3664</v>
      </c>
      <c r="C473" s="8" t="s">
        <v>2178</v>
      </c>
      <c r="D473" s="8"/>
    </row>
    <row r="474" spans="2:4" x14ac:dyDescent="0.2">
      <c r="B474" s="3"/>
      <c r="D474" s="2"/>
    </row>
    <row r="475" spans="2:4" x14ac:dyDescent="0.2">
      <c r="B475" s="3"/>
      <c r="D475" s="2"/>
    </row>
    <row r="476" spans="2:4" x14ac:dyDescent="0.2">
      <c r="B476" s="3"/>
      <c r="D476" s="2"/>
    </row>
    <row r="477" spans="2:4" x14ac:dyDescent="0.2">
      <c r="B477" s="3"/>
      <c r="D477" s="2"/>
    </row>
    <row r="478" spans="2:4" ht="17" x14ac:dyDescent="0.2">
      <c r="B478" s="233" t="s">
        <v>2180</v>
      </c>
      <c r="C478" s="233" t="s">
        <v>2181</v>
      </c>
      <c r="D478" s="233" t="s">
        <v>2182</v>
      </c>
    </row>
    <row r="479" spans="2:4" x14ac:dyDescent="0.2">
      <c r="B479" s="8" t="s">
        <v>2183</v>
      </c>
      <c r="C479" s="8" t="s">
        <v>745</v>
      </c>
      <c r="D479" s="8" t="s">
        <v>745</v>
      </c>
    </row>
    <row r="480" spans="2:4" x14ac:dyDescent="0.2">
      <c r="B480" s="8" t="s">
        <v>2185</v>
      </c>
      <c r="C480" s="8" t="s">
        <v>2186</v>
      </c>
      <c r="D480" s="8" t="s">
        <v>2186</v>
      </c>
    </row>
    <row r="481" spans="2:4" x14ac:dyDescent="0.2">
      <c r="B481" s="8"/>
      <c r="C481" s="8" t="s">
        <v>2188</v>
      </c>
      <c r="D481" s="8" t="s">
        <v>2189</v>
      </c>
    </row>
    <row r="482" spans="2:4" x14ac:dyDescent="0.2">
      <c r="B482" s="8"/>
      <c r="C482" s="8" t="s">
        <v>2191</v>
      </c>
      <c r="D482" s="8"/>
    </row>
    <row r="483" spans="2:4" x14ac:dyDescent="0.2">
      <c r="B483" s="8"/>
      <c r="C483" s="8" t="s">
        <v>2189</v>
      </c>
      <c r="D483" s="8"/>
    </row>
    <row r="485" spans="2:4" ht="17" x14ac:dyDescent="0.2">
      <c r="B485" s="233" t="s">
        <v>4116</v>
      </c>
    </row>
    <row r="486" spans="2:4" x14ac:dyDescent="0.2">
      <c r="B486" s="184">
        <f>SUM(
PRODUCT((IF(AND(sizing_w01_chosen="Included",OR(sizing_w01_gm_chosen="Active GM",sizing_w01_gm_chosen="Standby GM")),VLOOKUP(sizing_w01_nsxt_gm_appliance_size,table_nsxt_manager_cpu,2,FALSE),0)),3),
PRODUCT((IF(AND(sizing_w02_chosen="Included",OR(sizing_w02_gm_chosen="Active GM",sizing_w02_gm_chosen="Standby GM")),VLOOKUP(sizing_w02_nsxt_gm_appliance_size,table_nsxt_manager_cpu,2,FALSE),0)),3),
PRODUCT((IF(AND(sizing_w03_chosen="Included",OR(sizing_w03_gm_chosen="Active GM",sizing_w03_gm_chosen="Standby GM")),VLOOKUP(sizing_w03_nsxt_gm_appliance_size,table_nsxt_manager_cpu,2,FALSE),0)),3),
PRODUCT((IF(AND(sizing_w04_chosen="Included",OR(sizing_w04_gm_chosen="Active GM",sizing_w04_gm_chosen="Standby GM")),VLOOKUP(sizing_w04_nsxt_gm_appliance_size,table_nsxt_manager_cpu,2,FALSE),0)),3),
PRODUCT((IF(AND(sizing_w05_chosen="Included",OR(sizing_w05_gm_chosen="Active GM",sizing_w05_gm_chosen="Standby GM")),VLOOKUP(sizing_w05_nsxt_gm_appliance_size,table_nsxt_manager_cpu,2,FALSE),0)),3),
PRODUCT((IF(AND(sizing_w06_chosen="Included",OR(sizing_w06_gm_chosen="Active GM",sizing_w06_gm_chosen="Standby GM")),VLOOKUP(sizing_w06_nsxt_gm_appliance_size,table_nsxt_manager_cpu,2,FALSE),0)),3),
PRODUCT((IF(AND(sizing_w07_chosen="Included",OR(sizing_w07_gm_chosen="Active GM",sizing_w07_gm_chosen="Standby GM")),VLOOKUP(sizing_w07_nsxt_gm_appliance_size,table_nsxt_manager_cpu,2,FALSE),0)),3),
PRODUCT((IF(AND(sizing_w08_chosen="Included",OR(sizing_w08_gm_chosen="Active GM",sizing_w08_gm_chosen="Standby GM")),VLOOKUP(sizing_w08_nsxt_gm_appliance_size,table_nsxt_manager_cpu,2,FALSE),0)),3),
PRODUCT((IF(AND(sizing_w09_chosen="Included",OR(sizing_w09_gm_chosen="Active GM",sizing_w09_gm_chosen="Standby GM")),VLOOKUP(sizing_w09_nsxt_gm_appliance_size,table_nsxt_manager_cpu,2,FALSE),0)),3),
PRODUCT((IF(AND(sizing_w10_chosen="Included",OR(sizing_w10_gm_chosen="Active GM",sizing_w10_gm_chosen="Standby GM")),VLOOKUP(sizing_w10_nsxt_gm_appliance_size,table_nsxt_manager_cpu,2,FALSE),0)),3),
PRODUCT((IF(AND(sizing_w11_chosen="Included",OR(sizing_w11_gm_chosen="Active GM",sizing_w11_gm_chosen="Standby GM")),VLOOKUP(sizing_w11_nsxt_gm_appliance_size,table_nsxt_manager_cpu,2,FALSE),0)),3),
PRODUCT((IF(AND(sizing_w12_chosen="Included",OR(sizing_w12_gm_chosen="Active GM",sizing_w12_gm_chosen="Standby GM")),VLOOKUP(sizing_w12_nsxt_gm_appliance_size,table_nsxt_manager_cpu,2,FALSE),0)),3),
PRODUCT((IF(AND(sizing_w13_chosen="Included",OR(sizing_w13_gm_chosen="Active GM",sizing_w13_gm_chosen="Standby GM")),VLOOKUP(sizing_w13_nsxt_gm_appliance_size,table_nsxt_manager_cpu,2,FALSE),0)),3),
PRODUCT((IF(AND(sizing_w14_chosen="Included",OR(sizing_w14_gm_chosen="Active GM",sizing_w14_gm_chosen="Standby GM")),VLOOKUP(sizing_w14_nsxt_gm_appliance_size,table_nsxt_manager_cpu,2,FALSE),0)),3),
PRODUCT((IF(AND(sizing_w15_chosen="Included",OR(sizing_w15_gm_chosen="Active GM",sizing_w15_gm_chosen="Standby GM")),VLOOKUP(sizing_w15_nsxt_gm_appliance_size,table_nsxt_manager_cpu,2,FALSE),0)),3),
PRODUCT((IF(AND(sizing_w16_chosen="Included",OR(sizing_w16_gm_chosen="Active GM",sizing_w16_gm_chosen="Standby GM")),VLOOKUP(sizing_w16_nsxt_gm_appliance_size,table_nsxt_manager_cpu,2,FALSE),0)),3),
PRODUCT((IF(AND(sizing_w17_chosen="Included",OR(sizing_w17_gm_chosen="Active GM",sizing_w17_gm_chosen="Standby GM")),VLOOKUP(sizing_w17_nsxt_gm_appliance_size,table_nsxt_manager_cpu,2,FALSE),0)),3),
PRODUCT((IF(AND(sizing_w18_chosen="Included",OR(sizing_w18_gm_chosen="Active GM",sizing_w18_gm_chosen="Standby GM")),VLOOKUP(sizing_w18_nsxt_gm_appliance_size,table_nsxt_manager_cpu,2,FALSE),0)),3),
PRODUCT((IF(AND(sizing_w19_chosen="Included",OR(sizing_w19_gm_chosen="Active GM",sizing_w19_gm_chosen="Standby GM")),VLOOKUP(sizing_w19_nsxt_gm_appliance_size,table_nsxt_manager_cpu,2,FALSE),0)),3),
PRODUCT((IF(AND(sizing_w20_chosen="Included",OR(sizing_w20_gm_chosen="Active GM",sizing_w20_gm_chosen="Standby GM")),VLOOKUP(sizing_w20_nsxt_gm_appliance_size,table_nsxt_manager_cpu,2,FALSE),0)),3),
PRODUCT((IF(AND(sizing_w21_chosen="Included",OR(sizing_w21_gm_chosen="Active GM",sizing_w21_gm_chosen="Standby GM")),VLOOKUP(sizing_w21_nsxt_gm_appliance_size,table_nsxt_manager_cpu,2,FALSE),0)),3),
PRODUCT((IF(AND(sizing_w22_chosen="Included",OR(sizing_w22_gm_chosen="Active GM",sizing_w22_gm_chosen="Standby GM")),VLOOKUP(sizing_w22_nsxt_gm_appliance_size,table_nsxt_manager_cpu,2,FALSE),0)),3),
PRODUCT((IF(AND(sizing_w23_chosen="Included",OR(sizing_w23_gm_chosen="Active GM",sizing_w23_gm_chosen="Standby GM")),VLOOKUP(sizing_w23_nsxt_gm_appliance_size,table_nsxt_manager_cpu,2,FALSE),0)),3),
PRODUCT((IF(AND(sizing_w24_chosen="Included",OR(sizing_w24_gm_chosen="Active GM",sizing_w24_gm_chosen="Standby GM")),VLOOKUP(sizing_w24_nsxt_gm_appliance_size,table_nsxt_manager_cpu,2,FALSE),0)),3),
PRODUCT((IF(AND(sizing_w25_chosen="Included",OR(sizing_w25_gm_chosen="Active GM",sizing_w25_gm_chosen="Standby GM")),VLOOKUP(sizing_w25_nsxt_gm_appliance_size,table_nsxt_manager_cpu,2,FALSE),0)),3),
PRODUCT((IF(AND(sizing_w26_chosen="Included",OR(sizing_w26_gm_chosen="Active GM",sizing_w26_gm_chosen="Standby GM")),VLOOKUP(sizing_w26_nsxt_gm_appliance_size,table_nsxt_manager_cpu,2,FALSE),0)),3),
PRODUCT((IF(AND(sizing_w27_chosen="Included",OR(sizing_w27_gm_chosen="Active GM",sizing_w27_gm_chosen="Standby GM")),VLOOKUP(sizing_w27_nsxt_gm_appliance_size,table_nsxt_manager_cpu,2,FALSE),0)),3),
PRODUCT((IF(AND(sizing_w28_chosen="Included",OR(sizing_w28_gm_chosen="Active GM",sizing_w28_gm_chosen="Standby GM")),VLOOKUP(sizing_w28_nsxt_gm_appliance_size,table_nsxt_manager_cpu,2,FALSE),0)),3),
PRODUCT((IF(AND(sizing_w29_chosen="Included",OR(sizing_w29_gm_chosen="Active GM",sizing_w29_gm_chosen="Standby GM")),VLOOKUP(sizing_w29_nsxt_gm_appliance_size,table_nsxt_manager_cpu,2,FALSE),0)),3),
PRODUCT((IF(AND(sizing_w30_chosen="Included",OR(sizing_w30_gm_chosen="Active GM",sizing_w30_gm_chosen="Standby GM")),VLOOKUP(sizing_w30_nsxt_gm_appliance_size,table_nsxt_manager_cpu,2,FALSE),0)),3),
PRODUCT((IF(AND(sizing_w31_chosen="Included",OR(sizing_w31_gm_chosen="Active GM",sizing_w31_gm_chosen="Standby GM")),VLOOKUP(sizing_w31_nsxt_gm_appliance_size,table_nsxt_manager_cpu,2,FALSE),0)),3),
PRODUCT((IF(AND(sizing_w32_chosen="Included",OR(sizing_w32_gm_chosen="Active GM",sizing_w32_gm_chosen="Standby GM")),VLOOKUP(sizing_w32_nsxt_gm_appliance_size,table_nsxt_manager_cpu,2,FALSE),0)),3),
PRODUCT((IF(AND(sizing_w33_chosen="Included",OR(sizing_w33_gm_chosen="Active GM",sizing_w33_gm_chosen="Standby GM")),VLOOKUP(sizing_w33_nsxt_gm_appliance_size,table_nsxt_manager_cpu,2,FALSE),0)),3),
PRODUCT((IF(AND(sizing_w34_chosen="Included",OR(sizing_w34_gm_chosen="Active GM",sizing_w34_gm_chosen="Standby GM")),VLOOKUP(sizing_w34_nsxt_gm_appliance_size,table_nsxt_manager_cpu,2,FALSE),0)),3),
PRODUCT((IF(AND(sizing_w35_chosen="Included",OR(sizing_w35_gm_chosen="Active GM",sizing_w35_gm_chosen="Standby GM")),VLOOKUP(sizing_w35_nsxt_gm_appliance_size,table_nsxt_manager_cpu,2,FALSE),0)),3),
)</f>
        <v>0</v>
      </c>
    </row>
    <row r="487" spans="2:4" x14ac:dyDescent="0.2">
      <c r="B487" s="184">
        <f>SUM(
PRODUCT((IF(AND(sizing_w01_chosen="Included",OR(sizing_w01_gm_chosen="Active GM",sizing_w01_gm_chosen="Standby GM")),VLOOKUP(sizing_w01_nsxt_gm_appliance_size,table_nsxt_manager_ram,2,FALSE),0)),3),
PRODUCT((IF(AND(sizing_w02_chosen="Included",OR(sizing_w02_gm_chosen="Active GM",sizing_w02_gm_chosen="Standby GM")),VLOOKUP(sizing_w02_nsxt_gm_appliance_size,table_nsxt_manager_ram,2,FALSE),0)),3),
PRODUCT((IF(AND(sizing_w03_chosen="Included",OR(sizing_w03_gm_chosen="Active GM",sizing_w03_gm_chosen="Standby GM")),VLOOKUP(sizing_w03_nsxt_gm_appliance_size,table_nsxt_manager_ram,2,FALSE),0)),3),
PRODUCT((IF(AND(sizing_w04_chosen="Included",OR(sizing_w04_gm_chosen="Active GM",sizing_w04_gm_chosen="Standby GM")),VLOOKUP(sizing_w04_nsxt_gm_appliance_size,table_nsxt_manager_ram,2,FALSE),0)),3),
PRODUCT((IF(AND(sizing_w05_chosen="Included",OR(sizing_w05_gm_chosen="Active GM",sizing_w05_gm_chosen="Standby GM")),VLOOKUP(sizing_w05_nsxt_gm_appliance_size,table_nsxt_manager_ram,2,FALSE),0)),3),
PRODUCT((IF(AND(sizing_w06_chosen="Included",OR(sizing_w06_gm_chosen="Active GM",sizing_w06_gm_chosen="Standby GM")),VLOOKUP(sizing_w06_nsxt_gm_appliance_size,table_nsxt_manager_ram,2,FALSE),0)),3),
PRODUCT((IF(AND(sizing_w07_chosen="Included",OR(sizing_w07_gm_chosen="Active GM",sizing_w07_gm_chosen="Standby GM")),VLOOKUP(sizing_w07_nsxt_gm_appliance_size,table_nsxt_manager_ram,2,FALSE),0)),3),
PRODUCT((IF(AND(sizing_w08_chosen="Included",OR(sizing_w08_gm_chosen="Active GM",sizing_w08_gm_chosen="Standby GM")),VLOOKUP(sizing_w08_nsxt_gm_appliance_size,table_nsxt_manager_ram,2,FALSE),0)),3),
PRODUCT((IF(AND(sizing_w09_chosen="Included",OR(sizing_w09_gm_chosen="Active GM",sizing_w09_gm_chosen="Standby GM")),VLOOKUP(sizing_w09_nsxt_gm_appliance_size,table_nsxt_manager_ram,2,FALSE),0)),3),
PRODUCT((IF(AND(sizing_w10_chosen="Included",OR(sizing_w10_gm_chosen="Active GM",sizing_w10_gm_chosen="Standby GM")),VLOOKUP(sizing_w10_nsxt_gm_appliance_size,table_nsxt_manager_ram,2,FALSE),0)),3),
PRODUCT((IF(AND(sizing_w11_chosen="Included",OR(sizing_w11_gm_chosen="Active GM",sizing_w11_gm_chosen="Standby GM")),VLOOKUP(sizing_w11_nsxt_gm_appliance_size,table_nsxt_manager_ram,2,FALSE),0)),3),
PRODUCT((IF(AND(sizing_w12_chosen="Included",OR(sizing_w12_gm_chosen="Active GM",sizing_w12_gm_chosen="Standby GM")),VLOOKUP(sizing_w12_nsxt_gm_appliance_size,table_nsxt_manager_ram,2,FALSE),0)),3),
PRODUCT((IF(AND(sizing_w13_chosen="Included",OR(sizing_w13_gm_chosen="Active GM",sizing_w13_gm_chosen="Standby GM")),VLOOKUP(sizing_w13_nsxt_gm_appliance_size,table_nsxt_manager_ram,2,FALSE),0)),3),
PRODUCT((IF(AND(sizing_w14_chosen="Included",OR(sizing_w14_gm_chosen="Active GM",sizing_w14_gm_chosen="Standby GM")),VLOOKUP(sizing_w14_nsxt_gm_appliance_size,table_nsxt_manager_ram,2,FALSE),0)),3),
PRODUCT((IF(AND(sizing_w15_chosen="Included",OR(sizing_w15_gm_chosen="Active GM",sizing_w15_gm_chosen="Standby GM")),VLOOKUP(sizing_w15_nsxt_gm_appliance_size,table_nsxt_manager_ram,2,FALSE),0)),3),
PRODUCT((IF(AND(sizing_w16_chosen="Included",OR(sizing_w16_gm_chosen="Active GM",sizing_w16_gm_chosen="Standby GM")),VLOOKUP(sizing_w16_nsxt_gm_appliance_size,table_nsxt_manager_ram,2,FALSE),0)),3),
PRODUCT((IF(AND(sizing_w17_chosen="Included",OR(sizing_w17_gm_chosen="Active GM",sizing_w17_gm_chosen="Standby GM")),VLOOKUP(sizing_w17_nsxt_gm_appliance_size,table_nsxt_manager_ram,2,FALSE),0)),3),
PRODUCT((IF(AND(sizing_w18_chosen="Included",OR(sizing_w18_gm_chosen="Active GM",sizing_w18_gm_chosen="Standby GM")),VLOOKUP(sizing_w18_nsxt_gm_appliance_size,table_nsxt_manager_ram,2,FALSE),0)),3),
PRODUCT((IF(AND(sizing_w19_chosen="Included",OR(sizing_w19_gm_chosen="Active GM",sizing_w19_gm_chosen="Standby GM")),VLOOKUP(sizing_w19_nsxt_gm_appliance_size,table_nsxt_manager_ram,2,FALSE),0)),3),
PRODUCT((IF(AND(sizing_w20_chosen="Included",OR(sizing_w20_gm_chosen="Active GM",sizing_w20_gm_chosen="Standby GM")),VLOOKUP(sizing_w20_nsxt_gm_appliance_size,table_nsxt_manager_ram,2,FALSE),0)),3),
PRODUCT((IF(AND(sizing_w21_chosen="Included",OR(sizing_w21_gm_chosen="Active GM",sizing_w21_gm_chosen="Standby GM")),VLOOKUP(sizing_w21_nsxt_gm_appliance_size,table_nsxt_manager_ram,2,FALSE),0)),3),
PRODUCT((IF(AND(sizing_w22_chosen="Included",OR(sizing_w22_gm_chosen="Active GM",sizing_w22_gm_chosen="Standby GM")),VLOOKUP(sizing_w22_nsxt_gm_appliance_size,table_nsxt_manager_ram,2,FALSE),0)),3),
PRODUCT((IF(AND(sizing_w23_chosen="Included",OR(sizing_w23_gm_chosen="Active GM",sizing_w23_gm_chosen="Standby GM")),VLOOKUP(sizing_w23_nsxt_gm_appliance_size,table_nsxt_manager_ram,2,FALSE),0)),3),
PRODUCT((IF(AND(sizing_w24_chosen="Included",OR(sizing_w24_gm_chosen="Active GM",sizing_w24_gm_chosen="Standby GM")),VLOOKUP(sizing_w24_nsxt_gm_appliance_size,table_nsxt_manager_ram,2,FALSE),0)),3),
PRODUCT((IF(AND(sizing_w25_chosen="Included",OR(sizing_w25_gm_chosen="Active GM",sizing_w25_gm_chosen="Standby GM")),VLOOKUP(sizing_w25_nsxt_gm_appliance_size,table_nsxt_manager_ram,2,FALSE),0)),3),
PRODUCT((IF(AND(sizing_w26_chosen="Included",OR(sizing_w26_gm_chosen="Active GM",sizing_w26_gm_chosen="Standby GM")),VLOOKUP(sizing_w26_nsxt_gm_appliance_size,table_nsxt_manager_ram,2,FALSE),0)),3),
PRODUCT((IF(AND(sizing_w27_chosen="Included",OR(sizing_w27_gm_chosen="Active GM",sizing_w27_gm_chosen="Standby GM")),VLOOKUP(sizing_w27_nsxt_gm_appliance_size,table_nsxt_manager_ram,2,FALSE),0)),3),
PRODUCT((IF(AND(sizing_w28_chosen="Included",OR(sizing_w28_gm_chosen="Active GM",sizing_w28_gm_chosen="Standby GM")),VLOOKUP(sizing_w28_nsxt_gm_appliance_size,table_nsxt_manager_ram,2,FALSE),0)),3),
PRODUCT((IF(AND(sizing_w29_chosen="Included",OR(sizing_w29_gm_chosen="Active GM",sizing_w29_gm_chosen="Standby GM")),VLOOKUP(sizing_w29_nsxt_gm_appliance_size,table_nsxt_manager_ram,2,FALSE),0)),3),
PRODUCT((IF(AND(sizing_w30_chosen="Included",OR(sizing_w30_gm_chosen="Active GM",sizing_w30_gm_chosen="Standby GM")),VLOOKUP(sizing_w30_nsxt_gm_appliance_size,table_nsxt_manager_ram,2,FALSE),0)),3),
PRODUCT((IF(AND(sizing_w31_chosen="Included",OR(sizing_w31_gm_chosen="Active GM",sizing_w31_gm_chosen="Standby GM")),VLOOKUP(sizing_w31_nsxt_gm_appliance_size,table_nsxt_manager_ram,2,FALSE),0)),3),
PRODUCT((IF(AND(sizing_w32_chosen="Included",OR(sizing_w32_gm_chosen="Active GM",sizing_w32_gm_chosen="Standby GM")),VLOOKUP(sizing_w32_nsxt_gm_appliance_size,table_nsxt_manager_ram,2,FALSE),0)),3),
PRODUCT((IF(AND(sizing_w33_chosen="Included",OR(sizing_w33_gm_chosen="Active GM",sizing_w33_gm_chosen="Standby GM")),VLOOKUP(sizing_w33_nsxt_gm_appliance_size,table_nsxt_manager_ram,2,FALSE),0)),3),
PRODUCT((IF(AND(sizing_w34_chosen="Included",OR(sizing_w34_gm_chosen="Active GM",sizing_w34_gm_chosen="Standby GM")),VLOOKUP(sizing_w34_nsxt_gm_appliance_size,table_nsxt_manager_ram,2,FALSE),0)),3),
PRODUCT((IF(AND(sizing_w35_chosen="Included",OR(sizing_w35_gm_chosen="Active GM",sizing_w35_gm_chosen="Standby GM")),VLOOKUP(sizing_w35_nsxt_gm_appliance_size,table_nsxt_manager_ram,2,FALSE),0)),3)
)</f>
        <v>0</v>
      </c>
    </row>
    <row r="488" spans="2:4" x14ac:dyDescent="0.2">
      <c r="B488" s="238">
        <f>SUM(
PRODUCT((IF(AND(sizing_w01_chosen="Included",OR(sizing_w01_gm_chosen="Active GM",sizing_w01_gm_chosen="Standby GM")),VLOOKUP(sizing_w01_nsxt_gm_appliance_size,table_nsxt_manager_disk_gb,2,FALSE),0)),3),
PRODUCT((IF(AND(sizing_w02_chosen="Included",OR(sizing_w02_gm_chosen="Active GM",sizing_w02_gm_chosen="Standby GM")),VLOOKUP(sizing_w02_nsxt_gm_appliance_size,table_nsxt_manager_disk_gb,2,FALSE),0)),3),
PRODUCT((IF(AND(sizing_w03_chosen="Included",OR(sizing_w03_gm_chosen="Active GM",sizing_w03_gm_chosen="Standby GM")),VLOOKUP(sizing_w03_nsxt_gm_appliance_size,table_nsxt_manager_disk_gb,2,FALSE),0)),3),
PRODUCT((IF(AND(sizing_w04_chosen="Included",OR(sizing_w04_gm_chosen="Active GM",sizing_w04_gm_chosen="Standby GM")),VLOOKUP(sizing_w04_nsxt_gm_appliance_size,table_nsxt_manager_disk_gb,2,FALSE),0)),3),
PRODUCT((IF(AND(sizing_w05_chosen="Included",OR(sizing_w05_gm_chosen="Active GM",sizing_w05_gm_chosen="Standby GM")),VLOOKUP(sizing_w05_nsxt_gm_appliance_size,table_nsxt_manager_disk_gb,2,FALSE),0)),3),
PRODUCT((IF(AND(sizing_w06_chosen="Included",OR(sizing_w06_gm_chosen="Active GM",sizing_w06_gm_chosen="Standby GM")),VLOOKUP(sizing_w06_nsxt_gm_appliance_size,table_nsxt_manager_disk_gb,2,FALSE),0)),3),
PRODUCT((IF(AND(sizing_w07_chosen="Included",OR(sizing_w07_gm_chosen="Active GM",sizing_w07_gm_chosen="Standby GM")),VLOOKUP(sizing_w07_nsxt_gm_appliance_size,table_nsxt_manager_disk_gb,2,FALSE),0)),3),
PRODUCT((IF(AND(sizing_w08_chosen="Included",OR(sizing_w08_gm_chosen="Active GM",sizing_w08_gm_chosen="Standby GM")),VLOOKUP(sizing_w08_nsxt_gm_appliance_size,table_nsxt_manager_disk_gb,2,FALSE),0)),3),
PRODUCT((IF(AND(sizing_w09_chosen="Included",OR(sizing_w09_gm_chosen="Active GM",sizing_w09_gm_chosen="Standby GM")),VLOOKUP(sizing_w09_nsxt_gm_appliance_size,table_nsxt_manager_disk_gb,2,FALSE),0)),3),
PRODUCT((IF(AND(sizing_w10_chosen="Included",OR(sizing_w10_gm_chosen="Active GM",sizing_w10_gm_chosen="Standby GM")),VLOOKUP(sizing_w10_nsxt_gm_appliance_size,table_nsxt_manager_disk_gb,2,FALSE),0)),3),
PRODUCT((IF(AND(sizing_w11_chosen="Included",OR(sizing_w11_gm_chosen="Active GM",sizing_w11_gm_chosen="Standby GM")),VLOOKUP(sizing_w11_nsxt_gm_appliance_size,table_nsxt_manager_disk_gb,2,FALSE),0)),3),
PRODUCT((IF(AND(sizing_w12_chosen="Included",OR(sizing_w12_gm_chosen="Active GM",sizing_w12_gm_chosen="Standby GM")),VLOOKUP(sizing_w12_nsxt_gm_appliance_size,table_nsxt_manager_disk_gb,2,FALSE),0)),3),
PRODUCT((IF(AND(sizing_w13_chosen="Included",OR(sizing_w13_gm_chosen="Active GM",sizing_w13_gm_chosen="Standby GM")),VLOOKUP(sizing_w13_nsxt_gm_appliance_size,table_nsxt_manager_disk_gb,2,FALSE),0)),3),
PRODUCT((IF(AND(sizing_w14_chosen="Included",OR(sizing_w14_gm_chosen="Active GM",sizing_w14_gm_chosen="Standby GM")),VLOOKUP(sizing_w14_nsxt_gm_appliance_size,table_nsxt_manager_disk_gb,2,FALSE),0)),3),
PRODUCT((IF(AND(sizing_w15_chosen="Included",OR(sizing_w15_gm_chosen="Active GM",sizing_w15_gm_chosen="Standby GM")),VLOOKUP(sizing_w15_nsxt_gm_appliance_size,table_nsxt_manager_disk_gb,2,FALSE),0)),3),
PRODUCT((IF(AND(sizing_w16_chosen="Included",OR(sizing_w16_gm_chosen="Active GM",sizing_w16_gm_chosen="Standby GM")),VLOOKUP(sizing_w16_nsxt_gm_appliance_size,table_nsxt_manager_disk_gb,2,FALSE),0)),3),
PRODUCT((IF(AND(sizing_w17_chosen="Included",OR(sizing_w17_gm_chosen="Active GM",sizing_w17_gm_chosen="Standby GM")),VLOOKUP(sizing_w17_nsxt_gm_appliance_size,table_nsxt_manager_disk_gb,2,FALSE),0)),3),
PRODUCT((IF(AND(sizing_w18_chosen="Included",OR(sizing_w18_gm_chosen="Active GM",sizing_w18_gm_chosen="Standby GM")),VLOOKUP(sizing_w18_nsxt_gm_appliance_size,table_nsxt_manager_disk_gb,2,FALSE),0)),3),
PRODUCT((IF(AND(sizing_w19_chosen="Included",OR(sizing_w19_gm_chosen="Active GM",sizing_w19_gm_chosen="Standby GM")),VLOOKUP(sizing_w19_nsxt_gm_appliance_size,table_nsxt_manager_disk_gb,2,FALSE),0)),3),
PRODUCT((IF(AND(sizing_w20_chosen="Included",OR(sizing_w20_gm_chosen="Active GM",sizing_w20_gm_chosen="Standby GM")),VLOOKUP(sizing_w20_nsxt_gm_appliance_size,table_nsxt_manager_disk_gb,2,FALSE),0)),3),
PRODUCT((IF(AND(sizing_w21_chosen="Included",OR(sizing_w21_gm_chosen="Active GM",sizing_w21_gm_chosen="Standby GM")),VLOOKUP(sizing_w21_nsxt_gm_appliance_size,table_nsxt_manager_disk_gb,2,FALSE),0)),3),
PRODUCT((IF(AND(sizing_w22_chosen="Included",OR(sizing_w22_gm_chosen="Active GM",sizing_w22_gm_chosen="Standby GM")),VLOOKUP(sizing_w22_nsxt_gm_appliance_size,table_nsxt_manager_disk_gb,2,FALSE),0)),3),
PRODUCT((IF(AND(sizing_w23_chosen="Included",OR(sizing_w23_gm_chosen="Active GM",sizing_w23_gm_chosen="Standby GM")),VLOOKUP(sizing_w23_nsxt_gm_appliance_size,table_nsxt_manager_disk_gb,2,FALSE),0)),3),
PRODUCT((IF(AND(sizing_w24_chosen="Included",OR(sizing_w24_gm_chosen="Active GM",sizing_w24_gm_chosen="Standby GM")),VLOOKUP(sizing_w24_nsxt_gm_appliance_size,table_nsxt_manager_disk_gb,2,FALSE),0)),3),
PRODUCT((IF(AND(sizing_w25_chosen="Included",OR(sizing_w25_gm_chosen="Active GM",sizing_w25_gm_chosen="Standby GM")),VLOOKUP(sizing_w25_nsxt_gm_appliance_size,table_nsxt_manager_disk_gb,2,FALSE),0)),3),
PRODUCT((IF(AND(sizing_w26_chosen="Included",OR(sizing_w26_gm_chosen="Active GM",sizing_w26_gm_chosen="Standby GM")),VLOOKUP(sizing_w26_nsxt_gm_appliance_size,table_nsxt_manager_disk_gb,2,FALSE),0)),3),
PRODUCT((IF(AND(sizing_w27_chosen="Included",OR(sizing_w27_gm_chosen="Active GM",sizing_w27_gm_chosen="Standby GM")),VLOOKUP(sizing_w27_nsxt_gm_appliance_size,table_nsxt_manager_disk_gb,2,FALSE),0)),3),
PRODUCT((IF(AND(sizing_w28_chosen="Included",OR(sizing_w28_gm_chosen="Active GM",sizing_w28_gm_chosen="Standby GM")),VLOOKUP(sizing_w28_nsxt_gm_appliance_size,table_nsxt_manager_disk_gb,2,FALSE),0)),3),
PRODUCT((IF(AND(sizing_w29_chosen="Included",OR(sizing_w29_gm_chosen="Active GM",sizing_w29_gm_chosen="Standby GM")),VLOOKUP(sizing_w29_nsxt_gm_appliance_size,table_nsxt_manager_disk_gb,2,FALSE),0)),3),
PRODUCT((IF(AND(sizing_w30_chosen="Included",OR(sizing_w30_gm_chosen="Active GM",sizing_w30_gm_chosen="Standby GM")),VLOOKUP(sizing_w30_nsxt_gm_appliance_size,table_nsxt_manager_disk_gb,2,FALSE),0)),3),
PRODUCT((IF(AND(sizing_w31_chosen="Included",OR(sizing_w31_gm_chosen="Active GM",sizing_w31_gm_chosen="Standby GM")),VLOOKUP(sizing_w31_nsxt_gm_appliance_size,table_nsxt_manager_disk_gb,2,FALSE),0)),3),
PRODUCT((IF(AND(sizing_w32_chosen="Included",OR(sizing_w32_gm_chosen="Active GM",sizing_w32_gm_chosen="Standby GM")),VLOOKUP(sizing_w32_nsxt_gm_appliance_size,table_nsxt_manager_disk_gb,2,FALSE),0)),3),
PRODUCT((IF(AND(sizing_w33_chosen="Included",OR(sizing_w33_gm_chosen="Active GM",sizing_w33_gm_chosen="Standby GM")),VLOOKUP(sizing_w33_nsxt_gm_appliance_size,table_nsxt_manager_disk_gb,2,FALSE),0)),3),
PRODUCT((IF(AND(sizing_w34_chosen="Included",OR(sizing_w34_gm_chosen="Active GM",sizing_w34_gm_chosen="Standby GM")),VLOOKUP(sizing_w34_nsxt_gm_appliance_size,table_nsxt_manager_disk_gb,2,FALSE),0)),3),
PRODUCT((IF(AND(sizing_w35_chosen="Included",OR(sizing_w35_gm_chosen="Active GM",sizing_w35_gm_chosen="Standby GM")),VLOOKUP(sizing_w35_nsxt_gm_appliance_size,table_nsxt_manager_disk_gb,2,FALSE),0)),3))</f>
        <v>0</v>
      </c>
    </row>
    <row r="489" spans="2:4" x14ac:dyDescent="0.2">
      <c r="B489" s="2">
        <f>SUM(IF(AND(sizing_w01_chosen="Included",OR(sizing_w01_gm_chosen="Active GM",sizing_w01_gm_chosen="Standby GM")),3,0),
(IF(AND(sizing_w02_chosen="Included",OR(sizing_w02_gm_chosen="Active GM",sizing_w02_gm_chosen="Standby GM")),3,0)),
(IF(AND(sizing_w03_chosen="Included",OR(sizing_w03_gm_chosen="Active GM",sizing_w03_gm_chosen="Standby GM")),3,0)),
(IF(AND(sizing_w04_chosen="Included",OR(sizing_w04_gm_chosen="Active GM",sizing_w04_gm_chosen="Standby GM")),3,0)),
(IF(AND(sizing_w05_chosen="Included",OR(sizing_w05_gm_chosen="Active GM",sizing_w05_gm_chosen="Standby GM")),3,0)),
(IF(AND(sizing_w06_chosen="Included",OR(sizing_w06_gm_chosen="Active GM",sizing_w06_gm_chosen="Standby GM")),3,0)),
(IF(AND(sizing_w07_chosen="Included",OR(sizing_w07_gm_chosen="Active GM",sizing_w07_gm_chosen="Standby GM")),3,0)),
(IF(AND(sizing_w08_chosen="Included",OR(sizing_w08_gm_chosen="Active GM",sizing_w08_gm_chosen="Standby GM")),3,0)),
(IF(AND(sizing_w09_chosen="Included",OR(sizing_w09_gm_chosen="Active GM",sizing_w09_gm_chosen="Standby GM")),3,0)),
(IF(AND(sizing_w10_chosen="Included",OR(sizing_w10_gm_chosen="Active GM",sizing_w10_gm_chosen="Standby GM")),3,0)),
(IF(AND(sizing_w11_chosen="Included",OR(sizing_w11_gm_chosen="Active GM",sizing_w11_gm_chosen="Standby GM")),3,0)),
(IF(AND(sizing_w12_chosen="Included",OR(sizing_w12_gm_chosen="Active GM",sizing_w12_gm_chosen="Standby GM")),3,0)),
(IF(AND(sizing_w13_chosen="Included",OR(sizing_w13_gm_chosen="Active GM",sizing_w13_gm_chosen="Standby GM")),3,0)),
(IF(AND(sizing_w14_chosen="Included",OR(sizing_w14_gm_chosen="Active GM",sizing_w14_gm_chosen="Standby GM")),3,0)),
(IF(AND(sizing_w15_chosen="Included",OR(sizing_w15_gm_chosen="Active GM",sizing_w15_gm_chosen="Standby GM")),3,0)),
(IF(AND(sizing_w16_chosen="Included",OR(sizing_w16_gm_chosen="Active GM",sizing_w16_gm_chosen="Standby GM")),3,0)),
(IF(AND(sizing_w17_chosen="Included",OR(sizing_w17_gm_chosen="Active GM",sizing_w17_gm_chosen="Standby GM")),3,0)),
(IF(AND(sizing_w18_chosen="Included",OR(sizing_w18_gm_chosen="Active GM",sizing_w18_gm_chosen="Standby GM")),3,0)),
(IF(AND(sizing_w19_chosen="Included",OR(sizing_w19_gm_chosen="Active GM",sizing_w19_gm_chosen="Standby GM")),3,0)),
(IF(AND(sizing_w20_chosen="Included",OR(sizing_w20_gm_chosen="Active GM",sizing_w20_gm_chosen="Standby GM")),3,0)),
(IF(AND(sizing_w21_chosen="Included",OR(sizing_w21_gm_chosen="Active GM",sizing_w21_gm_chosen="Standby GM")),3,0)),
(IF(AND(sizing_w22_chosen="Included",OR(sizing_w22_gm_chosen="Active GM",sizing_w22_gm_chosen="Standby GM")),3,0)),
(IF(AND(sizing_w23_chosen="Included",OR(sizing_w23_gm_chosen="Active GM",sizing_w23_gm_chosen="Standby GM")),3,0)),
(IF(AND(sizing_w24_chosen="Included",OR(sizing_w24_gm_chosen="Active GM",sizing_w24_gm_chosen="Standby GM")),3,0)),
(IF(AND(sizing_w25_chosen="Included",OR(sizing_w25_gm_chosen="Active GM",sizing_w25_gm_chosen="Standby GM")),3,0)),
(IF(AND(sizing_w26_chosen="Included",OR(sizing_w26_gm_chosen="Active GM",sizing_w26_gm_chosen="Standby GM")),3,0)),
(IF(AND(sizing_w27_chosen="Included",OR(sizing_w27_gm_chosen="Active GM",sizing_w27_gm_chosen="Standby GM")),3,0)),
(IF(AND(sizing_w28_chosen="Included",OR(sizing_w28_gm_chosen="Active GM",sizing_w28_gm_chosen="Standby GM")),3,0)),
(IF(AND(sizing_w29_chosen="Included",OR(sizing_w29_gm_chosen="Active GM",sizing_w29_gm_chosen="Standby GM")),3,0)),
(IF(AND(sizing_w30_chosen="Included",OR(sizing_w30_gm_chosen="Active GM",sizing_w30_gm_chosen="Standby GM")),3,0)),
(IF(AND(sizing_w31_chosen="Included",OR(sizing_w31_gm_chosen="Active GM",sizing_w31_gm_chosen="Standby GM")),3,0)),
(IF(AND(sizing_w32_chosen="Included",OR(sizing_w32_gm_chosen="Active GM",sizing_w32_gm_chosen="Standby GM")),3,0)),
(IF(AND(sizing_w33_chosen="Included",OR(sizing_w33_gm_chosen="Active GM",sizing_w33_gm_chosen="Standby GM")),3,0)),
(IF(AND(sizing_w34_chosen="Included",OR(sizing_w34_gm_chosen="Active GM",sizing_w34_gm_chosen="Standby GM")),3,0)),
(IF(AND(sizing_w35_chosen="Included",OR(sizing_w35_gm_chosen="Active GM",sizing_w35_gm_chosen="Standby GM")),3,0)))</f>
        <v>0</v>
      </c>
    </row>
    <row r="506" ht="20" customHeight="1" x14ac:dyDescent="0.2"/>
    <row r="507" ht="20" customHeight="1" x14ac:dyDescent="0.2"/>
    <row r="508" ht="20" customHeight="1" x14ac:dyDescent="0.2"/>
    <row r="509" ht="20" customHeight="1" x14ac:dyDescent="0.2"/>
    <row r="510" ht="20" customHeight="1" x14ac:dyDescent="0.2"/>
    <row r="511" ht="20" customHeight="1" x14ac:dyDescent="0.2"/>
    <row r="512" ht="20" customHeight="1" x14ac:dyDescent="0.2"/>
    <row r="513" ht="20" customHeight="1" x14ac:dyDescent="0.2"/>
    <row r="514" ht="20" customHeight="1" x14ac:dyDescent="0.2"/>
    <row r="515" ht="20" customHeight="1" x14ac:dyDescent="0.2"/>
    <row r="516" ht="20" customHeight="1" x14ac:dyDescent="0.2"/>
    <row r="517" ht="20" customHeight="1" x14ac:dyDescent="0.2"/>
    <row r="518" ht="20" customHeight="1" x14ac:dyDescent="0.2"/>
  </sheetData>
  <mergeCells count="16">
    <mergeCell ref="C470:D470"/>
    <mergeCell ref="B6:C6"/>
    <mergeCell ref="B2:U2"/>
    <mergeCell ref="B3:U3"/>
    <mergeCell ref="B31:C31"/>
    <mergeCell ref="L6:P6"/>
    <mergeCell ref="L7:L81"/>
    <mergeCell ref="M7:P81"/>
    <mergeCell ref="C461:D461"/>
    <mergeCell ref="C462:D462"/>
    <mergeCell ref="C463:D463"/>
    <mergeCell ref="C464:D464"/>
    <mergeCell ref="C465:D465"/>
    <mergeCell ref="F25:G25"/>
    <mergeCell ref="C468:D468"/>
    <mergeCell ref="C466:D466"/>
  </mergeCells>
  <phoneticPr fontId="9" type="noConversion"/>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85C4C-85BC-E74D-8F4E-FE2BE7A461EE}">
  <sheetPr codeName="Sheet9">
    <tabColor theme="9" tint="0.39997558519241921"/>
  </sheetPr>
  <dimension ref="A1:W1148"/>
  <sheetViews>
    <sheetView showGridLines="0" zoomScaleNormal="100" workbookViewId="0">
      <pane ySplit="4" topLeftCell="A5" activePane="bottomLeft" state="frozen"/>
      <selection pane="bottomLeft"/>
    </sheetView>
  </sheetViews>
  <sheetFormatPr baseColWidth="10" defaultColWidth="11" defaultRowHeight="16" x14ac:dyDescent="0.2"/>
  <cols>
    <col min="1" max="1" width="2.83203125" style="7" customWidth="1"/>
    <col min="2" max="2" width="1.83203125" style="7" customWidth="1"/>
    <col min="3" max="3" width="2.33203125" style="7" customWidth="1"/>
    <col min="4" max="4" width="1.83203125" style="7" customWidth="1"/>
    <col min="5" max="5" width="25.83203125" style="2" customWidth="1"/>
    <col min="6" max="6" width="1.83203125" style="2" customWidth="1"/>
    <col min="7" max="7" width="2.83203125" style="2" customWidth="1"/>
    <col min="8" max="8" width="1.83203125" style="2" customWidth="1"/>
    <col min="9" max="9" width="2.83203125" style="2" customWidth="1"/>
    <col min="10" max="10" width="75.33203125" style="9" bestFit="1" customWidth="1"/>
    <col min="11" max="11" width="80.83203125" style="2" customWidth="1"/>
    <col min="12" max="12" width="80.83203125" style="9" customWidth="1"/>
    <col min="13" max="13" width="104.6640625" style="2" customWidth="1"/>
    <col min="14" max="14" width="10.83203125" style="9" customWidth="1"/>
    <col min="15" max="17" width="11" style="9" customWidth="1"/>
    <col min="18" max="16384" width="11" style="9"/>
  </cols>
  <sheetData>
    <row r="1" spans="1:23" s="2" customFormat="1" ht="16" customHeight="1" x14ac:dyDescent="0.2">
      <c r="A1" s="52"/>
      <c r="B1" s="7"/>
      <c r="C1" s="7"/>
      <c r="D1" s="7"/>
      <c r="E1" s="7"/>
      <c r="F1" s="7"/>
      <c r="G1" s="7"/>
      <c r="H1" s="7"/>
      <c r="I1" s="7"/>
      <c r="N1" s="9"/>
      <c r="O1" s="9"/>
      <c r="P1" s="9"/>
      <c r="Q1" s="9"/>
      <c r="R1" s="9"/>
    </row>
    <row r="2" spans="1:23" s="2" customFormat="1" ht="54" customHeight="1" x14ac:dyDescent="0.2">
      <c r="A2" s="7"/>
      <c r="B2" s="540" t="s">
        <v>3385</v>
      </c>
      <c r="C2" s="540"/>
      <c r="D2" s="540"/>
      <c r="E2" s="540"/>
      <c r="F2" s="540"/>
      <c r="G2" s="540"/>
      <c r="H2" s="540"/>
      <c r="I2" s="540"/>
      <c r="J2" s="540"/>
      <c r="K2" s="540"/>
      <c r="L2" s="540"/>
      <c r="M2" s="541"/>
      <c r="N2" s="9"/>
      <c r="O2" s="9"/>
      <c r="P2" s="9"/>
      <c r="Q2" s="9"/>
      <c r="R2" s="9"/>
    </row>
    <row r="3" spans="1:23" s="2" customFormat="1" ht="20" customHeight="1" x14ac:dyDescent="0.2">
      <c r="A3" s="7"/>
      <c r="B3" s="542" t="s">
        <v>3386</v>
      </c>
      <c r="C3" s="542"/>
      <c r="D3" s="542"/>
      <c r="E3" s="542"/>
      <c r="F3" s="542"/>
      <c r="G3" s="542"/>
      <c r="H3" s="542"/>
      <c r="I3" s="542"/>
      <c r="J3" s="542"/>
      <c r="K3" s="542"/>
      <c r="L3" s="542"/>
      <c r="M3" s="543"/>
      <c r="N3" s="9"/>
      <c r="O3" s="9"/>
      <c r="P3" s="9"/>
      <c r="Q3" s="9"/>
      <c r="R3" s="9"/>
    </row>
    <row r="4" spans="1:23" s="2" customFormat="1" x14ac:dyDescent="0.2">
      <c r="A4" s="7"/>
      <c r="B4" s="7"/>
      <c r="C4" s="7"/>
      <c r="D4" s="7"/>
      <c r="E4" s="7"/>
      <c r="F4" s="7"/>
      <c r="G4" s="7"/>
      <c r="H4" s="7"/>
      <c r="I4" s="53"/>
      <c r="L4" s="11"/>
      <c r="M4" s="3"/>
      <c r="N4" s="3"/>
    </row>
    <row r="5" spans="1:23" ht="16" customHeight="1" x14ac:dyDescent="0.2">
      <c r="E5" s="7"/>
      <c r="F5" s="7"/>
      <c r="G5" s="7"/>
      <c r="H5" s="7"/>
      <c r="I5" s="7"/>
    </row>
    <row r="6" spans="1:23" ht="34" customHeight="1" x14ac:dyDescent="0.2">
      <c r="B6" s="9"/>
      <c r="C6" s="9"/>
      <c r="D6" s="9"/>
      <c r="E6" s="9"/>
      <c r="F6" s="9"/>
      <c r="G6" s="9"/>
      <c r="H6" s="9"/>
      <c r="I6" s="9"/>
      <c r="J6" s="427" t="s">
        <v>3387</v>
      </c>
      <c r="K6" s="428"/>
      <c r="L6" s="428"/>
      <c r="M6" s="429"/>
      <c r="N6" s="57"/>
      <c r="O6" s="57"/>
      <c r="P6" s="57"/>
      <c r="Q6" s="57"/>
      <c r="R6" s="57"/>
    </row>
    <row r="7" spans="1:23" ht="20" customHeight="1" x14ac:dyDescent="0.2">
      <c r="B7" s="9"/>
      <c r="C7" s="9"/>
      <c r="D7" s="9"/>
      <c r="E7" s="9"/>
      <c r="F7" s="9"/>
      <c r="G7" s="9"/>
      <c r="H7" s="9"/>
      <c r="I7" s="9"/>
      <c r="J7" s="424" t="s">
        <v>3388</v>
      </c>
      <c r="K7" s="425"/>
      <c r="L7" s="425"/>
      <c r="M7" s="426"/>
      <c r="N7" s="61"/>
      <c r="O7" s="61"/>
      <c r="P7" s="61"/>
      <c r="Q7" s="61"/>
      <c r="R7" s="61"/>
      <c r="S7" s="61"/>
      <c r="T7" s="61"/>
      <c r="U7" s="61"/>
      <c r="V7" s="61"/>
      <c r="W7" s="61"/>
    </row>
    <row r="8" spans="1:23" ht="20" customHeight="1" x14ac:dyDescent="0.2">
      <c r="J8" s="62" t="s">
        <v>18</v>
      </c>
      <c r="K8" s="63" t="s">
        <v>19</v>
      </c>
      <c r="L8" s="63" t="s">
        <v>20</v>
      </c>
      <c r="M8" s="63" t="s">
        <v>21</v>
      </c>
      <c r="N8" s="61"/>
      <c r="O8" s="61"/>
      <c r="P8" s="61"/>
      <c r="Q8" s="61"/>
      <c r="R8" s="61"/>
      <c r="S8" s="61"/>
      <c r="T8" s="61"/>
      <c r="U8" s="61"/>
      <c r="V8" s="61"/>
      <c r="W8" s="61"/>
    </row>
    <row r="9" spans="1:23" ht="20" customHeight="1" x14ac:dyDescent="0.2">
      <c r="J9" s="64" t="s">
        <v>3389</v>
      </c>
      <c r="K9" s="65" t="s">
        <v>3390</v>
      </c>
      <c r="L9" s="66" t="s">
        <v>3390</v>
      </c>
      <c r="M9" s="8"/>
      <c r="N9" s="61"/>
      <c r="O9" s="61"/>
      <c r="P9" s="61"/>
      <c r="Q9" s="61"/>
      <c r="R9" s="61"/>
      <c r="S9" s="61"/>
      <c r="T9" s="61"/>
      <c r="U9" s="61"/>
      <c r="V9" s="61"/>
      <c r="W9" s="61"/>
    </row>
    <row r="10" spans="1:23" ht="20" customHeight="1" x14ac:dyDescent="0.2">
      <c r="J10" s="67" t="s">
        <v>3391</v>
      </c>
      <c r="K10" s="65" t="s">
        <v>3392</v>
      </c>
      <c r="L10" s="68"/>
      <c r="M10" s="8" t="str">
        <f>IF(mgmt_offline_depot_chosen="Online", "Input is masked out and only required if using offline depot","")</f>
        <v>Input is masked out and only required if using offline depot</v>
      </c>
    </row>
    <row r="11" spans="1:23" ht="20" customHeight="1" x14ac:dyDescent="0.2">
      <c r="J11" s="67" t="s">
        <v>3393</v>
      </c>
      <c r="K11" s="65">
        <v>443</v>
      </c>
      <c r="L11" s="68"/>
      <c r="M11" s="8"/>
    </row>
    <row r="12" spans="1:23" ht="20" customHeight="1" x14ac:dyDescent="0.2">
      <c r="J12" s="67" t="s">
        <v>3811</v>
      </c>
      <c r="K12" s="65" t="s">
        <v>3394</v>
      </c>
      <c r="L12" s="68"/>
      <c r="M12" s="8"/>
    </row>
    <row r="13" spans="1:23" ht="20" customHeight="1" x14ac:dyDescent="0.2">
      <c r="J13" s="67" t="s">
        <v>3812</v>
      </c>
      <c r="K13" s="65" t="s">
        <v>4119</v>
      </c>
      <c r="L13" s="68"/>
      <c r="M13" s="8"/>
    </row>
    <row r="14" spans="1:23" ht="20" customHeight="1" thickBot="1" x14ac:dyDescent="0.25">
      <c r="B14" s="69"/>
      <c r="C14" s="69"/>
      <c r="D14" s="69"/>
      <c r="E14" s="69"/>
      <c r="F14" s="69"/>
      <c r="G14" s="69"/>
      <c r="H14" s="69"/>
      <c r="J14" s="67" t="s">
        <v>3395</v>
      </c>
      <c r="K14" s="65" t="s">
        <v>142</v>
      </c>
      <c r="L14" s="68" t="s">
        <v>142</v>
      </c>
      <c r="M14" s="8"/>
    </row>
    <row r="15" spans="1:23" ht="20" customHeight="1" thickTop="1" x14ac:dyDescent="0.2">
      <c r="A15" s="70"/>
      <c r="B15" s="25"/>
      <c r="C15" s="71" t="s">
        <v>3396</v>
      </c>
      <c r="D15" s="25"/>
      <c r="E15" s="25"/>
      <c r="F15" s="25"/>
      <c r="G15" s="25"/>
      <c r="H15" s="72"/>
      <c r="I15" s="53"/>
      <c r="J15" s="67" t="s">
        <v>1054</v>
      </c>
      <c r="K15" s="65" t="s">
        <v>3397</v>
      </c>
      <c r="L15" s="68" t="s">
        <v>3397</v>
      </c>
      <c r="M15" s="8" t="str">
        <f>IF(mgmt_internet_proxy_chosen="Unselected", "Input is masked out and only required if using Proxy Server for depot connectivity","")</f>
        <v>Input is masked out and only required if using Proxy Server for depot connectivity</v>
      </c>
    </row>
    <row r="16" spans="1:23" ht="20" customHeight="1" thickBot="1" x14ac:dyDescent="0.25">
      <c r="A16" s="70"/>
      <c r="B16" s="71"/>
      <c r="C16" s="73"/>
      <c r="D16" s="74"/>
      <c r="E16" s="74"/>
      <c r="F16" s="74"/>
      <c r="G16" s="74"/>
      <c r="H16" s="75"/>
      <c r="I16" s="53"/>
      <c r="J16" s="67" t="s">
        <v>3813</v>
      </c>
      <c r="K16" s="65" t="s">
        <v>3398</v>
      </c>
      <c r="L16" s="68"/>
      <c r="M16" s="8"/>
    </row>
    <row r="17" spans="1:13" ht="20" customHeight="1" thickTop="1" thickBot="1" x14ac:dyDescent="0.25">
      <c r="A17" s="70"/>
      <c r="B17" s="76"/>
      <c r="C17" s="396" t="s">
        <v>1118</v>
      </c>
      <c r="E17" s="395"/>
      <c r="F17" s="77"/>
      <c r="G17" s="78"/>
      <c r="H17" s="75"/>
      <c r="I17" s="53"/>
      <c r="J17" s="67" t="s">
        <v>1059</v>
      </c>
      <c r="K17" s="65">
        <v>443</v>
      </c>
      <c r="L17" s="68"/>
      <c r="M17" s="8"/>
    </row>
    <row r="18" spans="1:13" ht="20" customHeight="1" thickTop="1" thickBot="1" x14ac:dyDescent="0.25">
      <c r="A18" s="70"/>
      <c r="B18" s="76"/>
      <c r="C18" s="396" t="s">
        <v>3399</v>
      </c>
      <c r="D18" s="77"/>
      <c r="E18" s="77"/>
      <c r="F18" s="77"/>
      <c r="G18" s="78"/>
      <c r="H18" s="75"/>
      <c r="I18" s="53"/>
      <c r="J18" s="67" t="s">
        <v>3400</v>
      </c>
      <c r="K18" s="65" t="s">
        <v>142</v>
      </c>
      <c r="L18" s="66" t="s">
        <v>142</v>
      </c>
      <c r="M18" s="333"/>
    </row>
    <row r="19" spans="1:13" ht="20" customHeight="1" thickTop="1" thickBot="1" x14ac:dyDescent="0.25">
      <c r="A19" s="70"/>
      <c r="B19" s="25"/>
      <c r="C19" s="79"/>
      <c r="D19" s="79"/>
      <c r="E19" s="79"/>
      <c r="F19" s="79"/>
      <c r="G19" s="79"/>
      <c r="H19" s="75"/>
      <c r="I19" s="53"/>
      <c r="J19" s="67" t="s">
        <v>28</v>
      </c>
      <c r="K19" s="65" t="s">
        <v>3401</v>
      </c>
      <c r="L19" s="66"/>
      <c r="M19" s="333" t="str">
        <f>IF(mgmt_internet_proxy_auth_chosen="Unselected", "Input is masked out and only required if using Proxy Server that required authentication","")</f>
        <v>Input is masked out and only required if using Proxy Server that required authentication</v>
      </c>
    </row>
    <row r="20" spans="1:13" ht="20" customHeight="1" thickTop="1" x14ac:dyDescent="0.2">
      <c r="A20" s="70"/>
      <c r="B20" s="25"/>
      <c r="C20" s="299" t="str">
        <f>CONCATENATE(mgmt_domain_deployment_type_chosen, " Instance")</f>
        <v>VMware Cloud Foundation Instance</v>
      </c>
      <c r="D20" s="71"/>
      <c r="E20" s="71"/>
      <c r="F20" s="25"/>
      <c r="G20" s="81"/>
      <c r="H20" s="75"/>
      <c r="I20" s="53"/>
      <c r="J20" s="67" t="s">
        <v>30</v>
      </c>
      <c r="K20" s="65" t="s">
        <v>139</v>
      </c>
      <c r="L20" s="66"/>
      <c r="M20" s="333"/>
    </row>
    <row r="21" spans="1:13" ht="20" customHeight="1" thickBot="1" x14ac:dyDescent="0.25">
      <c r="A21" s="70"/>
      <c r="B21" s="25"/>
      <c r="C21" s="82"/>
      <c r="D21" s="83"/>
      <c r="E21" s="83"/>
      <c r="F21" s="83"/>
      <c r="G21" s="81"/>
      <c r="H21" s="75"/>
      <c r="I21" s="53"/>
    </row>
    <row r="22" spans="1:13" ht="34" customHeight="1" thickTop="1" thickBot="1" x14ac:dyDescent="0.25">
      <c r="A22" s="70"/>
      <c r="B22" s="25"/>
      <c r="C22" s="82"/>
      <c r="D22" s="84"/>
      <c r="E22" s="71"/>
      <c r="F22" s="85"/>
      <c r="G22" s="81"/>
      <c r="H22" s="75"/>
      <c r="I22" s="7"/>
      <c r="J22" s="427" t="s">
        <v>3402</v>
      </c>
      <c r="K22" s="428"/>
      <c r="L22" s="428"/>
      <c r="M22" s="429"/>
    </row>
    <row r="23" spans="1:13" ht="20" customHeight="1" thickTop="1" thickBot="1" x14ac:dyDescent="0.25">
      <c r="A23" s="70"/>
      <c r="B23" s="25"/>
      <c r="C23" s="82"/>
      <c r="D23" s="84"/>
      <c r="E23" s="397" t="s">
        <v>3876</v>
      </c>
      <c r="F23" s="85"/>
      <c r="G23" s="81"/>
      <c r="H23" s="75"/>
      <c r="I23" s="7"/>
      <c r="J23" s="547"/>
      <c r="K23" s="548"/>
      <c r="L23" s="548"/>
      <c r="M23" s="549"/>
    </row>
    <row r="24" spans="1:13" ht="20" customHeight="1" thickTop="1" thickBot="1" x14ac:dyDescent="0.25">
      <c r="A24" s="70"/>
      <c r="B24" s="25"/>
      <c r="C24" s="82"/>
      <c r="D24" s="86"/>
      <c r="E24" s="397" t="s">
        <v>713</v>
      </c>
      <c r="F24" s="85"/>
      <c r="G24" s="81"/>
      <c r="H24" s="75"/>
      <c r="I24" s="7"/>
      <c r="J24" s="63" t="s">
        <v>18</v>
      </c>
      <c r="K24" s="63" t="s">
        <v>19</v>
      </c>
      <c r="L24" s="63" t="s">
        <v>20</v>
      </c>
      <c r="M24" s="63" t="s">
        <v>21</v>
      </c>
    </row>
    <row r="25" spans="1:13" ht="20" customHeight="1" thickTop="1" thickBot="1" x14ac:dyDescent="0.25">
      <c r="A25" s="70"/>
      <c r="B25" s="25"/>
      <c r="C25" s="82"/>
      <c r="D25" s="86"/>
      <c r="E25" s="397" t="s">
        <v>680</v>
      </c>
      <c r="F25" s="85"/>
      <c r="G25" s="81"/>
      <c r="H25" s="75"/>
      <c r="I25" s="7"/>
      <c r="J25" s="4" t="s">
        <v>3403</v>
      </c>
      <c r="K25" s="65" t="s">
        <v>3286</v>
      </c>
      <c r="L25" s="8" t="str">
        <f>mgmt_domain_deployment_type_chosen</f>
        <v>VMware Cloud Foundation</v>
      </c>
      <c r="M25" s="8"/>
    </row>
    <row r="26" spans="1:13" ht="20" customHeight="1" thickTop="1" thickBot="1" x14ac:dyDescent="0.25">
      <c r="A26" s="70"/>
      <c r="B26" s="25"/>
      <c r="C26" s="82"/>
      <c r="D26" s="86"/>
      <c r="E26" s="398" t="s">
        <v>1420</v>
      </c>
      <c r="F26" s="85"/>
      <c r="G26" s="81"/>
      <c r="H26" s="75"/>
      <c r="I26" s="7"/>
      <c r="J26" s="4" t="s">
        <v>1081</v>
      </c>
      <c r="K26" s="65" t="s">
        <v>2148</v>
      </c>
      <c r="L26" s="8" t="str">
        <f>IF(vcf_granular_option_chosen="Deploy a new VCF fleet","Deploy a new VCF fleet",IF(vcf_granular_option_chosen="Deploy a VCF Instance in an existing VCF fleet","Deploy a VCF Instance in an existing VCF fleet",IF(vcf_granular_option_chosen="Deploy deferred components","Deploy deferred components","")))</f>
        <v>Deploy a new VCF fleet</v>
      </c>
      <c r="M26" s="400" t="s">
        <v>3404</v>
      </c>
    </row>
    <row r="27" spans="1:13" ht="20" customHeight="1" thickTop="1" thickBot="1" x14ac:dyDescent="0.25">
      <c r="A27" s="70"/>
      <c r="B27" s="25"/>
      <c r="C27" s="82"/>
      <c r="D27" s="86"/>
      <c r="E27" s="399" t="s">
        <v>95</v>
      </c>
      <c r="F27" s="85"/>
      <c r="G27" s="81"/>
      <c r="H27" s="75"/>
      <c r="I27" s="7"/>
      <c r="J27" s="90"/>
      <c r="M27" s="356"/>
    </row>
    <row r="28" spans="1:13" ht="34" customHeight="1" thickTop="1" thickBot="1" x14ac:dyDescent="0.25">
      <c r="A28" s="70"/>
      <c r="B28" s="25"/>
      <c r="C28" s="82"/>
      <c r="D28" s="88"/>
      <c r="E28" s="83"/>
      <c r="F28" s="89"/>
      <c r="G28" s="81"/>
      <c r="H28" s="75"/>
      <c r="I28" s="7"/>
      <c r="J28" s="427" t="s">
        <v>3405</v>
      </c>
      <c r="K28" s="428"/>
      <c r="L28" s="428"/>
      <c r="M28" s="429"/>
    </row>
    <row r="29" spans="1:13" ht="20" customHeight="1" thickTop="1" thickBot="1" x14ac:dyDescent="0.25">
      <c r="A29" s="70"/>
      <c r="B29" s="25"/>
      <c r="C29" s="91"/>
      <c r="D29" s="79"/>
      <c r="E29" s="79"/>
      <c r="F29" s="79"/>
      <c r="G29" s="92"/>
      <c r="H29" s="75"/>
      <c r="I29" s="7"/>
      <c r="J29" s="424" t="s">
        <v>3406</v>
      </c>
      <c r="K29" s="425"/>
      <c r="L29" s="425"/>
      <c r="M29" s="426"/>
    </row>
    <row r="30" spans="1:13" ht="20" customHeight="1" thickTop="1" thickBot="1" x14ac:dyDescent="0.25">
      <c r="A30" s="70"/>
      <c r="B30" s="74"/>
      <c r="C30" s="74"/>
      <c r="D30" s="74"/>
      <c r="E30" s="74"/>
      <c r="F30" s="74"/>
      <c r="G30" s="74"/>
      <c r="H30" s="93"/>
      <c r="I30" s="7"/>
      <c r="J30" s="63" t="s">
        <v>18</v>
      </c>
      <c r="K30" s="63" t="s">
        <v>19</v>
      </c>
      <c r="L30" s="63" t="s">
        <v>20</v>
      </c>
      <c r="M30" s="63" t="s">
        <v>21</v>
      </c>
    </row>
    <row r="31" spans="1:13" ht="20" customHeight="1" thickTop="1" x14ac:dyDescent="0.2">
      <c r="E31" s="94"/>
      <c r="F31" s="94"/>
      <c r="G31" s="94"/>
      <c r="H31" s="94"/>
      <c r="I31" s="7"/>
      <c r="J31" s="4" t="s">
        <v>3684</v>
      </c>
      <c r="K31" s="65" t="s">
        <v>142</v>
      </c>
      <c r="L31" s="66" t="s">
        <v>142</v>
      </c>
      <c r="M31" s="229" t="str">
        <f>IF(mgmt_domain_deployment_type_chosen="VMware vSphere Foundation","An existing VCF Operations instance cannot be used. If you want to use an existing VCF Operations instance, convert your vCenter to VMware vSphere Foundation deployment using the VCF Operations UI.","Use an existing VCF Operations instance as the management component in the VCF fleet.")</f>
        <v>Use an existing VCF Operations instance as the management component in the VCF fleet.</v>
      </c>
    </row>
    <row r="32" spans="1:13" ht="20" customHeight="1" x14ac:dyDescent="0.2">
      <c r="E32" s="94"/>
      <c r="F32" s="94"/>
      <c r="G32" s="94"/>
      <c r="H32" s="94"/>
      <c r="I32" s="7"/>
      <c r="J32" s="95" t="s">
        <v>3683</v>
      </c>
      <c r="K32" s="65" t="s">
        <v>142</v>
      </c>
      <c r="L32" s="66" t="s">
        <v>142</v>
      </c>
      <c r="M32" s="229" t="s">
        <v>3407</v>
      </c>
    </row>
    <row r="33" spans="1:13" ht="20" customHeight="1" x14ac:dyDescent="0.2">
      <c r="I33" s="7"/>
      <c r="J33" s="4" t="s">
        <v>3937</v>
      </c>
      <c r="K33" s="65" t="s">
        <v>142</v>
      </c>
      <c r="L33" s="96" t="s">
        <v>142</v>
      </c>
      <c r="M33" s="229" t="str">
        <f>IF(mgmt_domain_existing_vcenter_chosen="Selected","Use the NSX Manager connected to this vCenter as the management domain NSX Manager.","Input is masked out and only required if you are importing a vCenter with an NSX Manager registered to it")</f>
        <v>Input is masked out and only required if you are importing a vCenter with an NSX Manager registered to it</v>
      </c>
    </row>
    <row r="34" spans="1:13" ht="20" customHeight="1" x14ac:dyDescent="0.2">
      <c r="I34" s="7"/>
      <c r="J34" s="4" t="s">
        <v>3938</v>
      </c>
      <c r="K34" s="65" t="s">
        <v>142</v>
      </c>
      <c r="L34" s="66" t="s">
        <v>142</v>
      </c>
      <c r="M34" s="8" t="s">
        <v>3939</v>
      </c>
    </row>
    <row r="35" spans="1:13" ht="20" customHeight="1" x14ac:dyDescent="0.2">
      <c r="I35" s="7"/>
      <c r="J35" s="97"/>
      <c r="K35" s="102"/>
      <c r="L35" s="98"/>
      <c r="M35" s="102"/>
    </row>
    <row r="36" spans="1:13" ht="34" customHeight="1" x14ac:dyDescent="0.2">
      <c r="I36" s="7"/>
      <c r="J36" s="427" t="s">
        <v>3692</v>
      </c>
      <c r="K36" s="428"/>
      <c r="L36" s="428"/>
      <c r="M36" s="429"/>
    </row>
    <row r="37" spans="1:13" ht="20" customHeight="1" x14ac:dyDescent="0.2">
      <c r="I37" s="7"/>
      <c r="J37" s="424" t="s">
        <v>3678</v>
      </c>
      <c r="K37" s="425"/>
      <c r="L37" s="425"/>
      <c r="M37" s="426"/>
    </row>
    <row r="38" spans="1:13" ht="20" customHeight="1" x14ac:dyDescent="0.2">
      <c r="I38" s="7"/>
      <c r="J38" s="63" t="s">
        <v>18</v>
      </c>
      <c r="K38" s="63" t="s">
        <v>19</v>
      </c>
      <c r="L38" s="63" t="s">
        <v>20</v>
      </c>
      <c r="M38" s="63" t="s">
        <v>21</v>
      </c>
    </row>
    <row r="39" spans="1:13" ht="20" customHeight="1" x14ac:dyDescent="0.2">
      <c r="I39" s="7"/>
      <c r="J39" s="4" t="s">
        <v>3410</v>
      </c>
      <c r="K39" s="65" t="s">
        <v>3411</v>
      </c>
      <c r="L39" s="66" t="s">
        <v>3870</v>
      </c>
      <c r="M39" s="229" t="s">
        <v>3412</v>
      </c>
    </row>
    <row r="40" spans="1:13" ht="20" customHeight="1" x14ac:dyDescent="0.2">
      <c r="I40" s="7"/>
      <c r="J40" s="4" t="s">
        <v>3679</v>
      </c>
      <c r="K40" s="65" t="s">
        <v>92</v>
      </c>
      <c r="L40" s="66" t="s">
        <v>92</v>
      </c>
      <c r="M40" s="8" t="str">
        <f>IF(mgmt_domain_vcf_operations_ha_mode_chosen="Simple","Simple is chosen size is set to small and cannot be changed using VCF Installer UI","")</f>
        <v/>
      </c>
    </row>
    <row r="41" spans="1:13" ht="20" customHeight="1" x14ac:dyDescent="0.2">
      <c r="I41" s="7"/>
      <c r="J41" s="97"/>
      <c r="K41" s="102"/>
      <c r="L41" s="98"/>
      <c r="M41" s="102"/>
    </row>
    <row r="42" spans="1:13" ht="34" customHeight="1" x14ac:dyDescent="0.2">
      <c r="I42" s="7"/>
      <c r="J42" s="427" t="s">
        <v>3677</v>
      </c>
      <c r="K42" s="428"/>
      <c r="L42" s="428"/>
      <c r="M42" s="429"/>
    </row>
    <row r="43" spans="1:13" ht="20" customHeight="1" x14ac:dyDescent="0.2">
      <c r="I43" s="7"/>
      <c r="J43" s="544" t="s">
        <v>3688</v>
      </c>
      <c r="K43" s="545"/>
      <c r="L43" s="545"/>
      <c r="M43" s="546"/>
    </row>
    <row r="44" spans="1:13" ht="20" customHeight="1" x14ac:dyDescent="0.2">
      <c r="I44" s="7"/>
      <c r="J44" s="63" t="s">
        <v>18</v>
      </c>
      <c r="K44" s="63" t="s">
        <v>19</v>
      </c>
      <c r="L44" s="63" t="s">
        <v>20</v>
      </c>
      <c r="M44" s="63" t="s">
        <v>21</v>
      </c>
    </row>
    <row r="45" spans="1:13" s="112" customFormat="1" ht="20" customHeight="1" x14ac:dyDescent="0.2">
      <c r="A45" s="7"/>
      <c r="B45" s="7"/>
      <c r="C45" s="7"/>
      <c r="D45" s="7"/>
      <c r="E45" s="2"/>
      <c r="F45" s="7"/>
      <c r="G45" s="7"/>
      <c r="H45" s="7"/>
      <c r="I45" s="7"/>
      <c r="J45" s="4" t="s">
        <v>3689</v>
      </c>
      <c r="K45" s="65" t="s">
        <v>3690</v>
      </c>
      <c r="L45" s="66" t="s">
        <v>3690</v>
      </c>
      <c r="M45" s="43"/>
    </row>
    <row r="46" spans="1:13" s="112" customFormat="1" ht="20" customHeight="1" x14ac:dyDescent="0.2">
      <c r="A46" s="7"/>
      <c r="B46" s="7"/>
      <c r="C46" s="7"/>
      <c r="D46" s="7"/>
      <c r="E46" s="2"/>
      <c r="F46" s="7"/>
      <c r="G46" s="7"/>
      <c r="H46" s="7"/>
      <c r="I46" s="7"/>
      <c r="J46" s="4" t="s">
        <v>3709</v>
      </c>
      <c r="K46" s="65" t="s">
        <v>3732</v>
      </c>
      <c r="L46" s="66" t="s">
        <v>3690</v>
      </c>
      <c r="M46" s="43"/>
    </row>
    <row r="47" spans="1:13" ht="20" customHeight="1" x14ac:dyDescent="0.2">
      <c r="J47" s="4" t="s">
        <v>3871</v>
      </c>
      <c r="K47" s="65" t="s">
        <v>142</v>
      </c>
      <c r="L47" s="66" t="s">
        <v>142</v>
      </c>
      <c r="M47" s="229" t="str">
        <f>IF(mgmt_domain_ops_automation_later_chosen="Selected","Use Deploy Fleet Management Day-N sheet to capture inputs","Select to perform deployment of VCF Operations and VCF Automation post Management Domain Creation")</f>
        <v>Select to perform deployment of VCF Operations and VCF Automation post Management Domain Creation</v>
      </c>
    </row>
    <row r="48" spans="1:13" ht="20" customHeight="1" x14ac:dyDescent="0.2">
      <c r="I48" s="7"/>
      <c r="J48" s="544" t="s">
        <v>3711</v>
      </c>
      <c r="K48" s="545"/>
      <c r="L48" s="545"/>
      <c r="M48" s="546"/>
    </row>
    <row r="49" spans="5:13" ht="20" customHeight="1" x14ac:dyDescent="0.2">
      <c r="I49" s="7"/>
      <c r="J49" s="40" t="s">
        <v>3816</v>
      </c>
      <c r="K49" s="65" t="s">
        <v>142</v>
      </c>
      <c r="L49" s="66" t="s">
        <v>142</v>
      </c>
      <c r="M49" s="8" t="s">
        <v>3817</v>
      </c>
    </row>
    <row r="50" spans="5:13" ht="20" customHeight="1" x14ac:dyDescent="0.2">
      <c r="I50" s="7"/>
      <c r="J50" s="40" t="s">
        <v>3712</v>
      </c>
      <c r="K50" s="65" t="s">
        <v>3713</v>
      </c>
      <c r="L50" s="66" t="s">
        <v>3713</v>
      </c>
      <c r="M50" s="8"/>
    </row>
    <row r="51" spans="5:13" ht="20" customHeight="1" x14ac:dyDescent="0.2">
      <c r="I51" s="7"/>
      <c r="J51" s="40" t="s">
        <v>3714</v>
      </c>
      <c r="K51" s="65" t="s">
        <v>3713</v>
      </c>
      <c r="L51" s="66" t="s">
        <v>3713</v>
      </c>
      <c r="M51" s="8"/>
    </row>
    <row r="52" spans="5:13" ht="20" customHeight="1" x14ac:dyDescent="0.2">
      <c r="I52" s="7"/>
      <c r="J52" s="544" t="s">
        <v>3710</v>
      </c>
      <c r="K52" s="545"/>
      <c r="L52" s="545"/>
      <c r="M52" s="546"/>
    </row>
    <row r="53" spans="5:13" ht="20" customHeight="1" x14ac:dyDescent="0.2">
      <c r="I53" s="7"/>
      <c r="J53" s="40" t="s">
        <v>3715</v>
      </c>
      <c r="K53" s="65" t="s">
        <v>3680</v>
      </c>
      <c r="L53" s="66" t="s">
        <v>3827</v>
      </c>
      <c r="M53" s="8" t="str">
        <f>IF(mgmt_nsx_overlay_transit_gateway_chosen="Centralized connectivity","Centralized connectivity will be configured after VCF Bringup is complete by a secondary workflow","Distributed connectivity (via VCF installer) does not deploy VNAs required for supervisor services. Consider using Centralized connectivity to skip creating an external connection and instead deploy DTGW day 2 with VNAs for a more complete solution.")</f>
        <v>Centralized connectivity will be configured after VCF Bringup is complete by a secondary workflow</v>
      </c>
    </row>
    <row r="54" spans="5:13" ht="20" customHeight="1" x14ac:dyDescent="0.2">
      <c r="I54" s="7"/>
      <c r="K54" s="9"/>
      <c r="M54" s="9"/>
    </row>
    <row r="55" spans="5:13" ht="34" customHeight="1" x14ac:dyDescent="0.2">
      <c r="I55" s="7"/>
      <c r="J55" s="427" t="s">
        <v>3681</v>
      </c>
      <c r="K55" s="428"/>
      <c r="L55" s="428"/>
      <c r="M55" s="429"/>
    </row>
    <row r="56" spans="5:13" ht="20" customHeight="1" x14ac:dyDescent="0.2">
      <c r="I56" s="7"/>
      <c r="J56" s="424" t="s">
        <v>3940</v>
      </c>
      <c r="K56" s="425"/>
      <c r="L56" s="425"/>
      <c r="M56" s="426"/>
    </row>
    <row r="57" spans="5:13" ht="20" customHeight="1" x14ac:dyDescent="0.2">
      <c r="I57" s="7"/>
      <c r="J57" s="63" t="s">
        <v>18</v>
      </c>
      <c r="K57" s="63" t="s">
        <v>19</v>
      </c>
      <c r="L57" s="63" t="s">
        <v>20</v>
      </c>
      <c r="M57" s="63" t="s">
        <v>21</v>
      </c>
    </row>
    <row r="58" spans="5:13" ht="20" customHeight="1" x14ac:dyDescent="0.2">
      <c r="E58" s="7"/>
      <c r="F58" s="7"/>
      <c r="G58" s="7"/>
      <c r="H58" s="7"/>
      <c r="I58" s="7"/>
      <c r="J58" s="4" t="s">
        <v>3682</v>
      </c>
      <c r="K58" s="65" t="s">
        <v>665</v>
      </c>
      <c r="L58" s="66" t="s">
        <v>665</v>
      </c>
      <c r="M58" s="8" t="str">
        <f>IF(mgmt_domain_existing_vcenter_chosen="Selected","Inputs are masked out as you have opted to import an existing vCenter Server","")</f>
        <v/>
      </c>
    </row>
    <row r="59" spans="5:13" ht="20" customHeight="1" x14ac:dyDescent="0.2">
      <c r="E59" s="7"/>
      <c r="F59" s="7"/>
      <c r="G59" s="7"/>
      <c r="H59" s="7"/>
      <c r="I59" s="7"/>
      <c r="J59" s="95" t="s">
        <v>3717</v>
      </c>
      <c r="K59" s="65" t="s">
        <v>142</v>
      </c>
      <c r="L59" s="107" t="s">
        <v>142</v>
      </c>
      <c r="M59" s="8" t="str">
        <f>IF(mgmt_principal_storage_chosen&lt;&gt;"vSAN-ESA","Input is masked out as it only applied if configuring vSAN-ESA","vSan Data-in-Transit encryption, encrypts all vSAN storage traffic between the vSAN Hosts")</f>
        <v>vSan Data-in-Transit encryption, encrypts all vSAN storage traffic between the vSAN Hosts</v>
      </c>
    </row>
    <row r="60" spans="5:13" ht="20" customHeight="1" x14ac:dyDescent="0.2">
      <c r="E60" s="7"/>
      <c r="F60" s="7"/>
      <c r="G60" s="7"/>
      <c r="H60" s="7"/>
      <c r="I60" s="7"/>
      <c r="J60" s="95" t="s">
        <v>3426</v>
      </c>
      <c r="K60" s="65">
        <v>1</v>
      </c>
      <c r="L60" s="107" t="s">
        <v>735</v>
      </c>
      <c r="M60" s="8" t="str">
        <f>IF(mgmt_principal_storage_chosen&lt;&gt;"vSAN-OSA","Input is masked out and only required if configuring vSAN-OSA","")</f>
        <v>Input is masked out and only required if configuring vSAN-OSA</v>
      </c>
    </row>
    <row r="61" spans="5:13" ht="20" customHeight="1" x14ac:dyDescent="0.2">
      <c r="E61" s="7"/>
      <c r="F61" s="7"/>
      <c r="G61" s="7"/>
      <c r="H61" s="7"/>
      <c r="I61" s="7"/>
      <c r="J61" s="95" t="s">
        <v>3716</v>
      </c>
      <c r="K61" s="65" t="s">
        <v>142</v>
      </c>
      <c r="L61" s="107" t="s">
        <v>142</v>
      </c>
      <c r="M61" s="8" t="str">
        <f>IF(mgmt_principal_storage_chosen&lt;&gt;"vSAN-OSA","Input is masked out and only required if configuring vSAN-OSA","")</f>
        <v>Input is masked out and only required if configuring vSAN-OSA</v>
      </c>
    </row>
    <row r="62" spans="5:13" ht="20" customHeight="1" x14ac:dyDescent="0.2">
      <c r="I62" s="7"/>
      <c r="J62" s="97"/>
      <c r="K62" s="102"/>
      <c r="L62" s="98"/>
      <c r="M62" s="102"/>
    </row>
    <row r="63" spans="5:13" ht="34" customHeight="1" x14ac:dyDescent="0.2">
      <c r="J63" s="427" t="s">
        <v>708</v>
      </c>
      <c r="K63" s="428"/>
      <c r="L63" s="428"/>
      <c r="M63" s="429"/>
    </row>
    <row r="64" spans="5:13" ht="20" customHeight="1" x14ac:dyDescent="0.2">
      <c r="J64" s="424" t="s">
        <v>670</v>
      </c>
      <c r="K64" s="425"/>
      <c r="L64" s="425"/>
      <c r="M64" s="426"/>
    </row>
    <row r="65" spans="5:13" ht="20" customHeight="1" x14ac:dyDescent="0.2">
      <c r="J65" s="63" t="s">
        <v>18</v>
      </c>
      <c r="K65" s="63" t="s">
        <v>19</v>
      </c>
      <c r="L65" s="63" t="s">
        <v>20</v>
      </c>
      <c r="M65" s="63" t="s">
        <v>21</v>
      </c>
    </row>
    <row r="66" spans="5:13" ht="20" customHeight="1" x14ac:dyDescent="0.2">
      <c r="J66" s="4" t="s">
        <v>189</v>
      </c>
      <c r="K66" s="65" t="str">
        <f>vcf_version_chosen</f>
        <v>9.1.0.0</v>
      </c>
      <c r="L66" s="99" t="str">
        <f>vcf_version_chosen</f>
        <v>9.1.0.0</v>
      </c>
      <c r="M66" s="400" t="s">
        <v>3404</v>
      </c>
    </row>
    <row r="67" spans="5:13" ht="20" customHeight="1" x14ac:dyDescent="0.2">
      <c r="J67" s="4" t="s">
        <v>1704</v>
      </c>
      <c r="K67" s="100" t="str">
        <f>IF(mgmt_domain_chosen="First Instance","San Francisco","Los Angeles")</f>
        <v>San Francisco</v>
      </c>
      <c r="L67" s="101"/>
      <c r="M67" s="8" t="s">
        <v>3408</v>
      </c>
    </row>
    <row r="68" spans="5:13" ht="20" customHeight="1" x14ac:dyDescent="0.2">
      <c r="J68" s="4" t="s">
        <v>3409</v>
      </c>
      <c r="K68" s="65" t="str">
        <f>CONCATENATE(this_instance,"-m01")</f>
        <v>sfo-m01</v>
      </c>
      <c r="L68" s="66"/>
      <c r="M68" s="8"/>
    </row>
    <row r="69" spans="5:13" ht="20" customHeight="1" x14ac:dyDescent="0.2">
      <c r="J69" s="4" t="s">
        <v>1102</v>
      </c>
      <c r="K69" s="65" t="s">
        <v>156</v>
      </c>
      <c r="L69" s="66" t="s">
        <v>156</v>
      </c>
      <c r="M69" s="8" t="s">
        <v>4117</v>
      </c>
    </row>
    <row r="70" spans="5:13" ht="20" customHeight="1" x14ac:dyDescent="0.2">
      <c r="J70" s="424" t="s">
        <v>1087</v>
      </c>
      <c r="K70" s="425"/>
      <c r="L70" s="425"/>
      <c r="M70" s="426"/>
    </row>
    <row r="71" spans="5:13" ht="20" customHeight="1" x14ac:dyDescent="0.2">
      <c r="J71" s="4" t="s">
        <v>3746</v>
      </c>
      <c r="K71" s="65" t="s">
        <v>1393</v>
      </c>
      <c r="L71" s="66"/>
      <c r="M71" s="8" t="str">
        <f>IF(mgmt_domain_existing_vcenter_chosen="Selected","Inputs are masked out as you are importing a vCenter. DNS inputs will be captured from vCenter during import","")</f>
        <v/>
      </c>
    </row>
    <row r="72" spans="5:13" ht="20" customHeight="1" x14ac:dyDescent="0.2">
      <c r="J72" s="4" t="s">
        <v>1089</v>
      </c>
      <c r="K72" s="65" t="str">
        <f>IF(mgmt_dpg_reuse_result="Included",CONCATENATE(prefix_mgmt_az1_cidr,"10.4"),CONCATENATE(prefix_mgmt_az1_cidr,"11.4"))</f>
        <v>10.11.10.4</v>
      </c>
      <c r="L72" s="66"/>
      <c r="M72" s="8" t="s">
        <v>3744</v>
      </c>
    </row>
    <row r="73" spans="5:13" ht="20" customHeight="1" x14ac:dyDescent="0.2">
      <c r="J73" s="4" t="s">
        <v>1090</v>
      </c>
      <c r="K73" s="65" t="str">
        <f>IF(mgmt_dpg_reuse_result="Included",CONCATENATE(prefix_mgmt_az1_cidr,"10.5"),CONCATENATE(prefix_mgmt_az1_cidr,"11.5"))</f>
        <v>10.11.10.5</v>
      </c>
      <c r="L73" s="66"/>
      <c r="M73" s="8"/>
    </row>
    <row r="74" spans="5:13" ht="20" customHeight="1" x14ac:dyDescent="0.2">
      <c r="E74" s="94"/>
      <c r="F74" s="94"/>
      <c r="G74" s="94"/>
      <c r="H74" s="94"/>
      <c r="J74" s="424" t="s">
        <v>1100</v>
      </c>
      <c r="K74" s="425"/>
      <c r="L74" s="425"/>
      <c r="M74" s="426"/>
    </row>
    <row r="75" spans="5:13" ht="20" customHeight="1" x14ac:dyDescent="0.2">
      <c r="E75" s="94"/>
      <c r="F75" s="94"/>
      <c r="G75" s="94"/>
      <c r="H75" s="94"/>
      <c r="J75" s="4" t="s">
        <v>1089</v>
      </c>
      <c r="K75" s="65" t="str">
        <f>CONCATENATE("ntp0.",this_instance,".rainpole.io")</f>
        <v>ntp0.sfo.rainpole.io</v>
      </c>
      <c r="L75" s="66"/>
      <c r="M75" s="8" t="s">
        <v>3745</v>
      </c>
    </row>
    <row r="76" spans="5:13" ht="20" customHeight="1" x14ac:dyDescent="0.2">
      <c r="E76" s="94"/>
      <c r="F76" s="94"/>
      <c r="G76" s="94"/>
      <c r="H76" s="94"/>
      <c r="I76" s="7"/>
      <c r="J76" s="4" t="s">
        <v>1090</v>
      </c>
      <c r="K76" s="65" t="str">
        <f>CONCATENATE("ntp1.",this_instance,".rainpole.io")</f>
        <v>ntp1.sfo.rainpole.io</v>
      </c>
      <c r="L76" s="66"/>
      <c r="M76" s="8" t="str">
        <f>IF(mgmt_domain_existing_vcenter_chosen="Selected","Inputs are masked out as you are importing a vCenter. NTP inputs will be captured from vCenter during import","")</f>
        <v/>
      </c>
    </row>
    <row r="77" spans="5:13" ht="20" customHeight="1" x14ac:dyDescent="0.2">
      <c r="E77" s="7"/>
      <c r="F77" s="7"/>
      <c r="G77" s="7"/>
      <c r="H77" s="7"/>
      <c r="I77" s="7"/>
      <c r="J77" s="97"/>
      <c r="K77" s="102"/>
      <c r="L77" s="102"/>
      <c r="M77" s="102"/>
    </row>
    <row r="78" spans="5:13" ht="34" customHeight="1" x14ac:dyDescent="0.2">
      <c r="E78" s="7"/>
      <c r="F78" s="7"/>
      <c r="G78" s="7"/>
      <c r="H78" s="7"/>
      <c r="I78" s="7"/>
      <c r="J78" s="427" t="s">
        <v>3430</v>
      </c>
      <c r="K78" s="428"/>
      <c r="L78" s="428"/>
      <c r="M78" s="429"/>
    </row>
    <row r="79" spans="5:13" ht="20" customHeight="1" x14ac:dyDescent="0.2">
      <c r="E79" s="7"/>
      <c r="F79" s="7"/>
      <c r="G79" s="7"/>
      <c r="H79" s="7"/>
      <c r="I79" s="7"/>
      <c r="J79" s="424" t="s">
        <v>3431</v>
      </c>
      <c r="K79" s="425"/>
      <c r="L79" s="425"/>
      <c r="M79" s="426"/>
    </row>
    <row r="80" spans="5:13" ht="20" customHeight="1" x14ac:dyDescent="0.2">
      <c r="E80" s="7"/>
      <c r="F80" s="7"/>
      <c r="G80" s="7"/>
      <c r="H80" s="7"/>
      <c r="I80" s="7"/>
      <c r="J80" s="63" t="s">
        <v>18</v>
      </c>
      <c r="K80" s="63" t="s">
        <v>19</v>
      </c>
      <c r="L80" s="63" t="s">
        <v>20</v>
      </c>
      <c r="M80" s="63" t="s">
        <v>21</v>
      </c>
    </row>
    <row r="81" spans="5:13" ht="20" customHeight="1" x14ac:dyDescent="0.2">
      <c r="E81" s="7"/>
      <c r="F81" s="7"/>
      <c r="G81" s="7"/>
      <c r="H81" s="7"/>
      <c r="I81" s="7"/>
      <c r="J81" s="4" t="s">
        <v>2048</v>
      </c>
      <c r="K81" s="65" t="s">
        <v>31</v>
      </c>
      <c r="L81" s="66"/>
      <c r="M81" s="8" t="str">
        <f>IF(mgmt_domain_existing_vcenter_chosen="Selected","Inputs are masked out as you have opted to import an existing vCenter Server","")</f>
        <v/>
      </c>
    </row>
    <row r="82" spans="5:13" ht="20" customHeight="1" x14ac:dyDescent="0.2">
      <c r="E82" s="7"/>
      <c r="F82" s="7"/>
      <c r="G82" s="7"/>
      <c r="H82" s="7"/>
      <c r="I82" s="7"/>
      <c r="J82" s="4" t="s">
        <v>3432</v>
      </c>
      <c r="K82" s="65" t="str">
        <f>CONCATENATE(this_instance,"01-m01-r01-esx01",".",sample_child_dns_zone)</f>
        <v>sfo01-m01-r01-esx01.sfo.rainpole.io</v>
      </c>
      <c r="L82" s="66"/>
      <c r="M82" s="8"/>
    </row>
    <row r="83" spans="5:13" ht="20" customHeight="1" x14ac:dyDescent="0.2">
      <c r="E83" s="7"/>
      <c r="F83" s="7"/>
      <c r="G83" s="7"/>
      <c r="H83" s="7"/>
      <c r="I83" s="7"/>
      <c r="J83" s="4" t="s">
        <v>3433</v>
      </c>
      <c r="K83" s="65" t="str">
        <f>CONCATENATE(this_instance,"01-m01-r01-esx02",".",sample_child_dns_zone)</f>
        <v>sfo01-m01-r01-esx02.sfo.rainpole.io</v>
      </c>
      <c r="L83" s="66"/>
      <c r="M83" s="8"/>
    </row>
    <row r="84" spans="5:13" ht="20" customHeight="1" x14ac:dyDescent="0.2">
      <c r="E84" s="7"/>
      <c r="F84" s="7"/>
      <c r="G84" s="7"/>
      <c r="H84" s="7"/>
      <c r="I84" s="7"/>
      <c r="J84" s="4" t="s">
        <v>3434</v>
      </c>
      <c r="K84" s="65" t="str">
        <f>CONCATENATE(this_instance,"01-m01-r01-esx03",".",sample_child_dns_zone)</f>
        <v>sfo01-m01-r01-esx03.sfo.rainpole.io</v>
      </c>
      <c r="L84" s="66"/>
      <c r="M84" s="8"/>
    </row>
    <row r="85" spans="5:13" ht="20" customHeight="1" x14ac:dyDescent="0.2">
      <c r="E85" s="7"/>
      <c r="F85" s="7"/>
      <c r="G85" s="7"/>
      <c r="H85" s="7"/>
      <c r="I85" s="7"/>
      <c r="J85" s="4" t="s">
        <v>3435</v>
      </c>
      <c r="K85" s="65" t="str">
        <f>CONCATENATE(this_instance,"01-m01-r01-esx04",".",sample_child_dns_zone)</f>
        <v>sfo01-m01-r01-esx04.sfo.rainpole.io</v>
      </c>
      <c r="L85" s="66"/>
      <c r="M85" s="8"/>
    </row>
    <row r="86" spans="5:13" ht="20" customHeight="1" x14ac:dyDescent="0.2">
      <c r="E86" s="7"/>
      <c r="F86" s="7"/>
      <c r="G86" s="7"/>
      <c r="H86" s="7"/>
      <c r="I86" s="7"/>
      <c r="J86" s="4" t="s">
        <v>3436</v>
      </c>
      <c r="K86" s="109" t="str">
        <f>CONCATENATE(this_instance,"01-m01-r01-esx05",".",sample_child_dns_zone)</f>
        <v>sfo01-m01-r01-esx05.sfo.rainpole.io</v>
      </c>
      <c r="L86" s="66"/>
      <c r="M86" s="8"/>
    </row>
    <row r="87" spans="5:13" ht="20" customHeight="1" x14ac:dyDescent="0.2">
      <c r="E87" s="7"/>
      <c r="F87" s="7"/>
      <c r="G87" s="7"/>
      <c r="H87" s="7"/>
      <c r="I87" s="7"/>
      <c r="J87" s="4" t="s">
        <v>3437</v>
      </c>
      <c r="K87" s="109" t="str">
        <f>CONCATENATE(this_instance,"01-m01-r01-esx06",".",sample_child_dns_zone)</f>
        <v>sfo01-m01-r01-esx06.sfo.rainpole.io</v>
      </c>
      <c r="L87" s="66"/>
      <c r="M87" s="8"/>
    </row>
    <row r="88" spans="5:13" ht="20" customHeight="1" x14ac:dyDescent="0.2">
      <c r="E88" s="7"/>
      <c r="F88" s="7"/>
      <c r="G88" s="7"/>
      <c r="H88" s="7"/>
      <c r="I88" s="7"/>
      <c r="J88" s="4" t="s">
        <v>3438</v>
      </c>
      <c r="K88" s="109" t="str">
        <f>CONCATENATE(this_instance,"01-m01-r01-esx07",".",sample_child_dns_zone)</f>
        <v>sfo01-m01-r01-esx07.sfo.rainpole.io</v>
      </c>
      <c r="L88" s="66"/>
      <c r="M88" s="8"/>
    </row>
    <row r="89" spans="5:13" ht="20" customHeight="1" x14ac:dyDescent="0.2">
      <c r="E89" s="7"/>
      <c r="F89" s="7"/>
      <c r="G89" s="7"/>
      <c r="H89" s="7"/>
      <c r="I89" s="7"/>
      <c r="J89" s="4" t="s">
        <v>3439</v>
      </c>
      <c r="K89" s="109" t="str">
        <f>CONCATENATE(this_instance,"01-m01-r01-esx08",".",sample_child_dns_zone)</f>
        <v>sfo01-m01-r01-esx08.sfo.rainpole.io</v>
      </c>
      <c r="L89" s="66"/>
      <c r="M89" s="8"/>
    </row>
    <row r="90" spans="5:13" ht="20" customHeight="1" x14ac:dyDescent="0.2">
      <c r="E90" s="7"/>
      <c r="F90" s="7"/>
      <c r="G90" s="7"/>
      <c r="H90" s="7"/>
      <c r="I90" s="7"/>
      <c r="J90" s="4" t="s">
        <v>3440</v>
      </c>
      <c r="K90" s="109" t="str">
        <f>CONCATENATE(this_instance,"01-m01-r01-esx09",".",sample_child_dns_zone)</f>
        <v>sfo01-m01-r01-esx09.sfo.rainpole.io</v>
      </c>
      <c r="L90" s="66"/>
      <c r="M90" s="8"/>
    </row>
    <row r="91" spans="5:13" ht="20" customHeight="1" x14ac:dyDescent="0.2">
      <c r="E91" s="7"/>
      <c r="F91" s="7"/>
      <c r="G91" s="7"/>
      <c r="H91" s="7"/>
      <c r="I91" s="7"/>
      <c r="J91" s="4" t="s">
        <v>3441</v>
      </c>
      <c r="K91" s="109" t="str">
        <f>CONCATENATE(this_instance,"01-m01-r01-esx10",".",sample_child_dns_zone)</f>
        <v>sfo01-m01-r01-esx10.sfo.rainpole.io</v>
      </c>
      <c r="L91" s="66"/>
      <c r="M91" s="8"/>
    </row>
    <row r="92" spans="5:13" ht="20" customHeight="1" x14ac:dyDescent="0.2">
      <c r="E92" s="7"/>
      <c r="F92" s="7"/>
      <c r="G92" s="7"/>
      <c r="H92" s="7"/>
      <c r="I92" s="7"/>
      <c r="J92" s="4" t="s">
        <v>3442</v>
      </c>
      <c r="K92" s="109" t="str">
        <f>CONCATENATE(this_instance,"01-m01-r01-esx11",".",sample_child_dns_zone)</f>
        <v>sfo01-m01-r01-esx11.sfo.rainpole.io</v>
      </c>
      <c r="L92" s="66"/>
      <c r="M92" s="8"/>
    </row>
    <row r="93" spans="5:13" ht="20" customHeight="1" x14ac:dyDescent="0.2">
      <c r="E93" s="7"/>
      <c r="F93" s="7"/>
      <c r="G93" s="7"/>
      <c r="H93" s="7"/>
      <c r="I93" s="7"/>
      <c r="J93" s="4" t="s">
        <v>3443</v>
      </c>
      <c r="K93" s="109" t="str">
        <f>CONCATENATE(this_instance,"01-m01-r01-esx12",".",sample_child_dns_zone)</f>
        <v>sfo01-m01-r01-esx12.sfo.rainpole.io</v>
      </c>
      <c r="L93" s="66"/>
      <c r="M93" s="8"/>
    </row>
    <row r="94" spans="5:13" ht="20" customHeight="1" x14ac:dyDescent="0.2">
      <c r="E94" s="7"/>
      <c r="F94" s="7"/>
      <c r="G94" s="7"/>
      <c r="H94" s="7"/>
      <c r="I94" s="7"/>
      <c r="J94" s="4" t="s">
        <v>3444</v>
      </c>
      <c r="K94" s="109" t="str">
        <f>CONCATENATE(this_instance,"01-m01-r01-esx13",".",sample_child_dns_zone)</f>
        <v>sfo01-m01-r01-esx13.sfo.rainpole.io</v>
      </c>
      <c r="L94" s="66"/>
      <c r="M94" s="8"/>
    </row>
    <row r="95" spans="5:13" ht="20" customHeight="1" x14ac:dyDescent="0.2">
      <c r="E95" s="7"/>
      <c r="F95" s="7"/>
      <c r="G95" s="7"/>
      <c r="H95" s="7"/>
      <c r="I95" s="7"/>
      <c r="J95" s="4" t="s">
        <v>3445</v>
      </c>
      <c r="K95" s="109" t="str">
        <f>CONCATENATE(this_instance,"01-m01-r01-esx14",".",sample_child_dns_zone)</f>
        <v>sfo01-m01-r01-esx14.sfo.rainpole.io</v>
      </c>
      <c r="L95" s="66"/>
      <c r="M95" s="8"/>
    </row>
    <row r="96" spans="5:13" ht="20" customHeight="1" x14ac:dyDescent="0.2">
      <c r="E96" s="7"/>
      <c r="F96" s="7"/>
      <c r="G96" s="7"/>
      <c r="H96" s="7"/>
      <c r="I96" s="7"/>
      <c r="J96" s="4" t="s">
        <v>3446</v>
      </c>
      <c r="K96" s="109" t="str">
        <f>CONCATENATE(this_instance,"01-m01-r01-esx15",".",sample_child_dns_zone)</f>
        <v>sfo01-m01-r01-esx15.sfo.rainpole.io</v>
      </c>
      <c r="L96" s="66"/>
      <c r="M96" s="8"/>
    </row>
    <row r="97" spans="5:13" ht="20" customHeight="1" x14ac:dyDescent="0.2">
      <c r="E97" s="7"/>
      <c r="F97" s="7"/>
      <c r="G97" s="7"/>
      <c r="H97" s="7"/>
      <c r="I97" s="7"/>
      <c r="J97" s="4" t="s">
        <v>3447</v>
      </c>
      <c r="K97" s="109" t="str">
        <f>CONCATENATE(this_instance,"01-m01-r01-esx16",".",sample_child_dns_zone)</f>
        <v>sfo01-m01-r01-esx16.sfo.rainpole.io</v>
      </c>
      <c r="L97" s="66"/>
      <c r="M97" s="8"/>
    </row>
    <row r="98" spans="5:13" ht="20" customHeight="1" x14ac:dyDescent="0.2">
      <c r="E98" s="7"/>
      <c r="F98" s="7"/>
      <c r="G98" s="7"/>
      <c r="H98" s="7"/>
      <c r="I98" s="7"/>
      <c r="J98" s="97"/>
      <c r="K98" s="102"/>
      <c r="L98" s="390"/>
      <c r="M98" s="102"/>
    </row>
    <row r="99" spans="5:13" ht="34" customHeight="1" x14ac:dyDescent="0.2">
      <c r="E99" s="7"/>
      <c r="F99" s="7"/>
      <c r="G99" s="7"/>
      <c r="H99" s="7"/>
      <c r="I99" s="7"/>
      <c r="J99" s="427" t="s">
        <v>3448</v>
      </c>
      <c r="K99" s="428"/>
      <c r="L99" s="428"/>
      <c r="M99" s="429"/>
    </row>
    <row r="100" spans="5:13" ht="20" customHeight="1" x14ac:dyDescent="0.2">
      <c r="E100" s="7"/>
      <c r="F100" s="7"/>
      <c r="G100" s="7"/>
      <c r="H100" s="7"/>
      <c r="I100" s="7"/>
      <c r="J100" s="424" t="s">
        <v>206</v>
      </c>
      <c r="K100" s="425"/>
      <c r="L100" s="425"/>
      <c r="M100" s="426"/>
    </row>
    <row r="101" spans="5:13" ht="20" customHeight="1" x14ac:dyDescent="0.2">
      <c r="E101" s="7"/>
      <c r="F101" s="7"/>
      <c r="G101" s="7"/>
      <c r="H101" s="7"/>
      <c r="I101" s="7"/>
      <c r="J101" s="63" t="s">
        <v>18</v>
      </c>
      <c r="K101" s="63" t="s">
        <v>19</v>
      </c>
      <c r="L101" s="63" t="s">
        <v>20</v>
      </c>
      <c r="M101" s="63" t="s">
        <v>21</v>
      </c>
    </row>
    <row r="102" spans="5:13" ht="20" customHeight="1" x14ac:dyDescent="0.2">
      <c r="E102" s="7"/>
      <c r="F102" s="7"/>
      <c r="G102" s="7"/>
      <c r="H102" s="7"/>
      <c r="I102" s="7"/>
      <c r="J102" s="4" t="s">
        <v>85</v>
      </c>
      <c r="K102" s="105" t="str">
        <f>CONCATENATE(prefix_mgmt_az1_vlan,"11")</f>
        <v>1111</v>
      </c>
      <c r="L102" s="66"/>
      <c r="M102" s="8" t="str">
        <f>IF(mgmt_domain_existing_vcenter_chosen="Selected","Inputs are masked out as you have opted to import an existing vCenter Server","")</f>
        <v/>
      </c>
    </row>
    <row r="103" spans="5:13" ht="20" customHeight="1" x14ac:dyDescent="0.2">
      <c r="E103" s="7"/>
      <c r="F103" s="7"/>
      <c r="G103" s="7"/>
      <c r="H103" s="7"/>
      <c r="I103" s="7"/>
      <c r="J103" s="4" t="s">
        <v>157</v>
      </c>
      <c r="K103" s="103">
        <v>1500</v>
      </c>
      <c r="L103" s="66"/>
      <c r="M103" s="8"/>
    </row>
    <row r="104" spans="5:13" ht="20" customHeight="1" x14ac:dyDescent="0.2">
      <c r="E104" s="7"/>
      <c r="F104" s="7"/>
      <c r="G104" s="7"/>
      <c r="H104" s="7"/>
      <c r="I104" s="7"/>
      <c r="J104" s="4" t="s">
        <v>3719</v>
      </c>
      <c r="K104" s="103" t="str">
        <f>CONCATENATE(prefix_mgmt_az1_cidr,"11.1/24")</f>
        <v>10.11.11.1/24</v>
      </c>
      <c r="L104" s="66"/>
      <c r="M104" s="8" t="str">
        <f>IF(AND(mgmt_stretched_cluster_result="Included",mgmt_dpg_reuse_result="Excluded"),"Stretched L2","")</f>
        <v/>
      </c>
    </row>
    <row r="105" spans="5:13" ht="20" customHeight="1" x14ac:dyDescent="0.2">
      <c r="E105" s="7"/>
      <c r="F105" s="7"/>
      <c r="G105" s="7"/>
      <c r="H105" s="7"/>
      <c r="I105" s="7"/>
      <c r="J105" s="4" t="s">
        <v>3720</v>
      </c>
      <c r="K105" s="103" t="str">
        <f>CONCATENATE(prefix_mgmt_ipv6_cidr,sample_mgmt_az1_mgmt_vlan,"::","1","/64")</f>
        <v>2001:db8:0:1111::1/64</v>
      </c>
      <c r="L105" s="66"/>
      <c r="M105" s="8" t="str">
        <f>IF(mgmt_dual_stack_networking_chosen="Unselected","The input is masked out and only required if you are using dual stack networking","")</f>
        <v>The input is masked out and only required if you are using dual stack networking</v>
      </c>
    </row>
    <row r="106" spans="5:13" ht="20" customHeight="1" x14ac:dyDescent="0.2">
      <c r="E106" s="7"/>
      <c r="F106" s="7"/>
      <c r="G106" s="7"/>
      <c r="H106" s="7"/>
      <c r="I106" s="7"/>
      <c r="J106" s="424" t="s">
        <v>810</v>
      </c>
      <c r="K106" s="425"/>
      <c r="L106" s="425"/>
      <c r="M106" s="426"/>
    </row>
    <row r="107" spans="5:13" ht="20" customHeight="1" x14ac:dyDescent="0.2">
      <c r="E107" s="7"/>
      <c r="F107" s="7"/>
      <c r="G107" s="7"/>
      <c r="H107" s="7"/>
      <c r="I107" s="7"/>
      <c r="J107" s="4" t="s">
        <v>85</v>
      </c>
      <c r="K107" s="109" t="str">
        <f>IF(mgmt_dpg_reuse_result="Excluded",(CONCATENATE(prefix_mgmt_az1_vlan,"11")),(CONCATENATE(prefix_mgmt_az1_vlan,"10")))</f>
        <v>1110</v>
      </c>
      <c r="L107" s="68"/>
      <c r="M107" s="8"/>
    </row>
    <row r="108" spans="5:13" ht="20" customHeight="1" x14ac:dyDescent="0.2">
      <c r="E108" s="7"/>
      <c r="F108" s="7"/>
      <c r="G108" s="7"/>
      <c r="H108" s="7"/>
      <c r="I108" s="7"/>
      <c r="J108" s="4" t="s">
        <v>157</v>
      </c>
      <c r="K108" s="103">
        <v>1500</v>
      </c>
      <c r="L108" s="68"/>
      <c r="M108" s="8"/>
    </row>
    <row r="109" spans="5:13" ht="20" customHeight="1" x14ac:dyDescent="0.2">
      <c r="E109" s="7"/>
      <c r="F109" s="7"/>
      <c r="G109" s="7"/>
      <c r="H109" s="7"/>
      <c r="I109" s="7"/>
      <c r="J109" s="4" t="s">
        <v>3719</v>
      </c>
      <c r="K109" s="103" t="str">
        <f>IF(mgmt_dpg_reuse_result="Excluded",CONCATENATE(prefix_mgmt_az1_cidr,"11.1/24"),CONCATENATE(prefix_mgmt_az1_cidr,"10.1/24"))</f>
        <v>10.11.10.1/24</v>
      </c>
      <c r="L109" s="68"/>
      <c r="M109" s="8"/>
    </row>
    <row r="110" spans="5:13" ht="20" customHeight="1" x14ac:dyDescent="0.2">
      <c r="E110" s="7"/>
      <c r="F110" s="7"/>
      <c r="G110" s="7"/>
      <c r="H110" s="7"/>
      <c r="I110" s="7"/>
      <c r="J110" s="4" t="s">
        <v>3720</v>
      </c>
      <c r="K110" s="103" t="str">
        <f>CONCATENATE(prefix_mgmt_ipv6_cidr,sample_mgmt_az1_mgmt_vm_vlan,"::","1","/64")</f>
        <v>2001:db8:0:1110::1/64</v>
      </c>
      <c r="L110" s="66"/>
      <c r="M110" s="333" t="str">
        <f>IF(mgmt_dual_stack_networking_chosen="Unselected","The input is masked out and only required if you are using dual stack networking","")</f>
        <v>The input is masked out and only required if you are using dual stack networking</v>
      </c>
    </row>
    <row r="111" spans="5:13" ht="20" customHeight="1" x14ac:dyDescent="0.2">
      <c r="E111" s="7"/>
      <c r="F111" s="7"/>
      <c r="G111" s="7"/>
      <c r="H111" s="7"/>
      <c r="I111" s="7"/>
      <c r="J111" s="424" t="s">
        <v>3721</v>
      </c>
      <c r="K111" s="425"/>
      <c r="L111" s="425"/>
      <c r="M111" s="426"/>
    </row>
    <row r="112" spans="5:13" ht="20" customHeight="1" x14ac:dyDescent="0.2">
      <c r="E112" s="7"/>
      <c r="F112" s="7"/>
      <c r="G112" s="7"/>
      <c r="H112" s="7"/>
      <c r="I112" s="7"/>
      <c r="J112" s="4" t="s">
        <v>85</v>
      </c>
      <c r="K112" s="109" t="str">
        <f>CONCATENATE(prefix_mgmt_az1_vlan,"99")</f>
        <v>1199</v>
      </c>
      <c r="L112" s="66"/>
      <c r="M112" s="8" t="str">
        <f>IF(mgmt_vcf_management_network_chosen="Use VM management network","The input is masked out and is only required if you use a sperarate and dedicated network for VCF Management Components","")</f>
        <v/>
      </c>
    </row>
    <row r="113" spans="5:13" ht="20" customHeight="1" x14ac:dyDescent="0.2">
      <c r="E113" s="7"/>
      <c r="F113" s="7"/>
      <c r="G113" s="7"/>
      <c r="H113" s="7"/>
      <c r="I113" s="7"/>
      <c r="J113" s="4" t="s">
        <v>157</v>
      </c>
      <c r="K113" s="103">
        <v>1500</v>
      </c>
      <c r="L113" s="66"/>
      <c r="M113" s="8"/>
    </row>
    <row r="114" spans="5:13" ht="20" customHeight="1" x14ac:dyDescent="0.2">
      <c r="E114" s="7"/>
      <c r="F114" s="7"/>
      <c r="G114" s="7"/>
      <c r="H114" s="7"/>
      <c r="I114" s="7"/>
      <c r="J114" s="4" t="s">
        <v>3719</v>
      </c>
      <c r="K114" s="103" t="str">
        <f>CONCATENATE(prefix_flt_shared_cidr,".1/24")</f>
        <v>10.11.99.1/24</v>
      </c>
      <c r="L114" s="66"/>
      <c r="M114" s="8"/>
    </row>
    <row r="115" spans="5:13" ht="20" customHeight="1" x14ac:dyDescent="0.2">
      <c r="E115" s="7"/>
      <c r="F115" s="7"/>
      <c r="G115" s="7"/>
      <c r="H115" s="7"/>
      <c r="I115" s="7"/>
      <c r="J115" s="4" t="s">
        <v>3720</v>
      </c>
      <c r="K115" s="103" t="str">
        <f>CONCATENATE(prefix_mgmt_ipv6_cidr,sample_mgmt_az1_vcf_mgmt_vlan,"::","1","/64")</f>
        <v>2001:db8:0:1199::1/64</v>
      </c>
      <c r="L115" s="66"/>
      <c r="M115" s="8" t="str">
        <f>IF(mgmt_dual_stack_networking_chosen="Unselected","The input is masked out and only required if you are using dual stack networking","")</f>
        <v>The input is masked out and only required if you are using dual stack networking</v>
      </c>
    </row>
    <row r="116" spans="5:13" ht="20" customHeight="1" x14ac:dyDescent="0.2">
      <c r="E116" s="7"/>
      <c r="F116" s="7"/>
      <c r="G116" s="7"/>
      <c r="H116" s="7"/>
      <c r="I116" s="7"/>
      <c r="J116" s="424" t="s">
        <v>3872</v>
      </c>
      <c r="K116" s="425"/>
      <c r="L116" s="425"/>
      <c r="M116" s="426"/>
    </row>
    <row r="117" spans="5:13" ht="20" customHeight="1" x14ac:dyDescent="0.2">
      <c r="E117" s="7"/>
      <c r="F117" s="7"/>
      <c r="G117" s="7"/>
      <c r="H117" s="7"/>
      <c r="I117" s="7"/>
      <c r="J117" s="4" t="s">
        <v>3722</v>
      </c>
      <c r="K117" s="103" t="str">
        <f>IF(AND(mgmt_dpg_reuse_chosen="Use ESX management network",mgmt_vcf_management_network_chosen="Use VM management network"),CONCATENATE(prefix_mgmt_az1_cidr,"11.31"),
IF(mgmt_vcf_management_network_chosen="Use VM management network",CONCATENATE(prefix_mgmt_az1_cidr,"10.31"),
CONCATENATE(prefix_flt_shared_cidr,".31")))</f>
        <v>10.11.99.31</v>
      </c>
      <c r="L117" s="66"/>
      <c r="M117" s="8" t="str">
        <f>IF(mgmt_domain_deployment_type_chosen="Vmware vSphere Foundation","Minimum 10 IPs for current scope or 30 IPs to allow for more components and auto-scaling","Minimum 12 IPs for current scope or 30 IPs to allow for more components and auto-scaling")</f>
        <v>Minimum 12 IPs for current scope or 30 IPs to allow for more components and auto-scaling</v>
      </c>
    </row>
    <row r="118" spans="5:13" ht="20" customHeight="1" x14ac:dyDescent="0.2">
      <c r="E118" s="7"/>
      <c r="F118" s="7"/>
      <c r="G118" s="7"/>
      <c r="H118" s="7"/>
      <c r="I118" s="7"/>
      <c r="J118" s="4" t="s">
        <v>3723</v>
      </c>
      <c r="K118" s="103" t="str">
        <f>IF(AND(mgmt_dpg_reuse_chosen="Use ESX management network",mgmt_vcf_management_network_chosen="Use VM management network"),CONCATENATE(prefix_mgmt_az1_cidr,"11.45"),
IF(mgmt_vcf_management_network_chosen="Use VM management network",CONCATENATE(prefix_mgmt_az1_cidr,"10.45"),
CONCATENATE(prefix_flt_shared_cidr,".45")))</f>
        <v>10.11.99.45</v>
      </c>
      <c r="L118" s="66"/>
      <c r="M118" s="8"/>
    </row>
    <row r="119" spans="5:13" ht="20" customHeight="1" x14ac:dyDescent="0.2">
      <c r="E119" s="7"/>
      <c r="F119" s="7"/>
      <c r="G119" s="7"/>
      <c r="H119" s="7"/>
      <c r="I119" s="7"/>
      <c r="J119" s="4" t="s">
        <v>3724</v>
      </c>
      <c r="K119" s="103" t="str">
        <f>CONCATENATE(prefix_mgmt_ipv6_cidr,flt_custom_management_vlan,"::","31")</f>
        <v>2001:db8:0:1110::31</v>
      </c>
      <c r="L119" s="66"/>
      <c r="M119" s="8" t="str">
        <f>IF(mgmt_dual_stack_networking_chosen="Unselected","The input is masked out and only required if you are using dual stack networking","")</f>
        <v>The input is masked out and only required if you are using dual stack networking</v>
      </c>
    </row>
    <row r="120" spans="5:13" ht="20" customHeight="1" x14ac:dyDescent="0.2">
      <c r="E120" s="7"/>
      <c r="F120" s="7"/>
      <c r="G120" s="7"/>
      <c r="H120" s="7"/>
      <c r="I120" s="7"/>
      <c r="J120" s="4" t="s">
        <v>3725</v>
      </c>
      <c r="K120" s="103" t="str">
        <f>CONCATENATE(prefix_mgmt_ipv6_cidr,flt_custom_management_vlan,"::","45")</f>
        <v>2001:db8:0:1110::45</v>
      </c>
      <c r="L120" s="66"/>
      <c r="M120" s="8" t="str">
        <f>IF(mgmt_dual_stack_networking_chosen="Unselected","The input is masked out and only required if you are using dual stack networking","")</f>
        <v>The input is masked out and only required if you are using dual stack networking</v>
      </c>
    </row>
    <row r="121" spans="5:13" ht="20" customHeight="1" x14ac:dyDescent="0.2">
      <c r="E121" s="7"/>
      <c r="F121" s="7"/>
      <c r="G121" s="7"/>
      <c r="H121" s="7"/>
      <c r="I121" s="7"/>
      <c r="J121" s="424" t="s">
        <v>3873</v>
      </c>
      <c r="K121" s="425"/>
      <c r="L121" s="425"/>
      <c r="M121" s="426"/>
    </row>
    <row r="122" spans="5:13" ht="20" customHeight="1" x14ac:dyDescent="0.2">
      <c r="E122" s="7"/>
      <c r="F122" s="7"/>
      <c r="G122" s="7"/>
      <c r="H122" s="7"/>
      <c r="I122" s="7"/>
      <c r="J122" s="4" t="s">
        <v>3722</v>
      </c>
      <c r="K122" s="103" t="str">
        <f>IF(AND(mgmt_dpg_reuse_chosen="Use ESX management network",mgmt_vcf_management_network_chosen="Use VM management network"),CONCATENATE(prefix_mgmt_az1_cidr,"11.46"),
IF(mgmt_vcf_management_network_chosen="Use VM management network",CONCATENATE(prefix_mgmt_az1_cidr,"10.46"),
CONCATENATE(prefix_flt_shared_cidr,".46")))</f>
        <v>10.11.99.46</v>
      </c>
      <c r="L122" s="66"/>
      <c r="M122" s="8" t="s">
        <v>3956</v>
      </c>
    </row>
    <row r="123" spans="5:13" ht="20" customHeight="1" x14ac:dyDescent="0.2">
      <c r="E123" s="7"/>
      <c r="F123" s="7"/>
      <c r="G123" s="7"/>
      <c r="H123" s="7"/>
      <c r="I123" s="7"/>
      <c r="J123" s="4" t="s">
        <v>3723</v>
      </c>
      <c r="K123" s="103" t="str">
        <f>IF(AND(mgmt_dpg_reuse_chosen="Use ESX management network",mgmt_vcf_management_network_chosen="Use VM management network"),CONCATENATE(prefix_mgmt_az1_cidr,"11.50"),
IF(mgmt_vcf_management_network_chosen="Use VM management network",CONCATENATE(prefix_mgmt_az1_cidr,"10.50"),
CONCATENATE(prefix_flt_shared_cidr,".50")))</f>
        <v>10.11.99.50</v>
      </c>
      <c r="L123" s="66"/>
      <c r="M123" s="8" t="s">
        <v>3957</v>
      </c>
    </row>
    <row r="124" spans="5:13" ht="20" customHeight="1" x14ac:dyDescent="0.2">
      <c r="E124" s="7"/>
      <c r="F124" s="7"/>
      <c r="G124" s="7"/>
      <c r="H124" s="7"/>
      <c r="I124" s="7"/>
      <c r="J124" s="424" t="s">
        <v>244</v>
      </c>
      <c r="K124" s="425"/>
      <c r="L124" s="425"/>
      <c r="M124" s="426"/>
    </row>
    <row r="125" spans="5:13" ht="20" customHeight="1" x14ac:dyDescent="0.2">
      <c r="E125" s="7"/>
      <c r="F125" s="7"/>
      <c r="G125" s="7"/>
      <c r="H125" s="7"/>
      <c r="I125" s="7"/>
      <c r="J125" s="4" t="s">
        <v>85</v>
      </c>
      <c r="K125" s="103" t="str">
        <f>CONCATENATE(prefix_mgmt_az1_vlan,"12")</f>
        <v>1112</v>
      </c>
      <c r="L125" s="66"/>
      <c r="M125" s="8" t="str">
        <f>IF(mgmt_domain_existing_vcenter_chosen="Selected","Inputs are masked out as you have opted to import an existing vCenter Server","")</f>
        <v/>
      </c>
    </row>
    <row r="126" spans="5:13" ht="20" customHeight="1" x14ac:dyDescent="0.2">
      <c r="E126" s="7"/>
      <c r="F126" s="7"/>
      <c r="G126" s="7"/>
      <c r="H126" s="7"/>
      <c r="I126" s="7"/>
      <c r="J126" s="4" t="s">
        <v>157</v>
      </c>
      <c r="K126" s="103">
        <v>9000</v>
      </c>
      <c r="L126" s="66"/>
      <c r="M126" s="8"/>
    </row>
    <row r="127" spans="5:13" ht="20" customHeight="1" x14ac:dyDescent="0.2">
      <c r="E127" s="7"/>
      <c r="F127" s="7"/>
      <c r="G127" s="7"/>
      <c r="H127" s="7"/>
      <c r="I127" s="7"/>
      <c r="J127" s="4" t="s">
        <v>3747</v>
      </c>
      <c r="K127" s="103" t="str">
        <f>CONCATENATE(prefix_mgmt_az1_cidr,"12.1/24")</f>
        <v>10.11.12.1/24</v>
      </c>
      <c r="L127" s="66"/>
      <c r="M127" s="8"/>
    </row>
    <row r="128" spans="5:13" ht="20" customHeight="1" x14ac:dyDescent="0.2">
      <c r="E128" s="7"/>
      <c r="F128" s="7"/>
      <c r="G128" s="7"/>
      <c r="H128" s="7"/>
      <c r="I128" s="7"/>
      <c r="J128" s="4" t="s">
        <v>3722</v>
      </c>
      <c r="K128" s="103" t="str">
        <f>CONCATENATE(prefix_mgmt_az1_cidr,"12.101")</f>
        <v>10.11.12.101</v>
      </c>
      <c r="L128" s="66"/>
      <c r="M128" s="8"/>
    </row>
    <row r="129" spans="5:13" ht="20" customHeight="1" x14ac:dyDescent="0.2">
      <c r="E129" s="7"/>
      <c r="F129" s="7"/>
      <c r="G129" s="7"/>
      <c r="H129" s="7"/>
      <c r="I129" s="7"/>
      <c r="J129" s="4" t="s">
        <v>3723</v>
      </c>
      <c r="K129" s="103" t="str">
        <f>CONCATENATE(prefix_mgmt_az1_cidr,"12.116")</f>
        <v>10.11.12.116</v>
      </c>
      <c r="L129" s="66"/>
      <c r="M129" s="8"/>
    </row>
    <row r="130" spans="5:13" ht="20" customHeight="1" x14ac:dyDescent="0.2">
      <c r="E130" s="7"/>
      <c r="F130" s="7"/>
      <c r="G130" s="7"/>
      <c r="H130" s="7"/>
      <c r="I130" s="7"/>
      <c r="J130" s="4" t="s">
        <v>3724</v>
      </c>
      <c r="K130" s="103" t="str">
        <f>CONCATENATE(prefix_mgmt_ipv6_cidr,sample_mgmt_az1_vmotion_vlan,"::","101")</f>
        <v>2001:db8:0:1112::101</v>
      </c>
      <c r="L130" s="66"/>
      <c r="M130" s="8" t="str">
        <f>IF(mgmt_az1_vmotion_ip_scheme_chosen="IPv4","The input is masked out and only required if you are using IPV6 Networking for the vMotion Network","")</f>
        <v>The input is masked out and only required if you are using IPV6 Networking for the vMotion Network</v>
      </c>
    </row>
    <row r="131" spans="5:13" ht="20" customHeight="1" x14ac:dyDescent="0.2">
      <c r="E131" s="7"/>
      <c r="F131" s="7"/>
      <c r="G131" s="7"/>
      <c r="H131" s="7"/>
      <c r="I131" s="7"/>
      <c r="J131" s="4" t="s">
        <v>3725</v>
      </c>
      <c r="K131" s="103" t="str">
        <f>CONCATENATE(prefix_mgmt_ipv6_cidr,sample_mgmt_az1_vmotion_vlan,"::","116")</f>
        <v>2001:db8:0:1112::116</v>
      </c>
      <c r="L131" s="66"/>
      <c r="M131" s="8" t="str">
        <f>IF(mgmt_az1_vmotion_ip_scheme_chosen="IPv4","The input is masked out and only required if you are using IPV6 Networking for the vMotion Network","")</f>
        <v>The input is masked out and only required if you are using IPV6 Networking for the vMotion Network</v>
      </c>
    </row>
    <row r="132" spans="5:13" ht="20" customHeight="1" x14ac:dyDescent="0.2">
      <c r="E132" s="7"/>
      <c r="F132" s="7"/>
      <c r="G132" s="7"/>
      <c r="H132" s="7"/>
      <c r="I132" s="7"/>
      <c r="J132" s="424" t="s">
        <v>250</v>
      </c>
      <c r="K132" s="425"/>
      <c r="L132" s="425"/>
      <c r="M132" s="426"/>
    </row>
    <row r="133" spans="5:13" ht="20" customHeight="1" x14ac:dyDescent="0.2">
      <c r="E133" s="7"/>
      <c r="F133" s="7"/>
      <c r="G133" s="7"/>
      <c r="H133" s="7"/>
      <c r="I133" s="7"/>
      <c r="J133" s="4" t="s">
        <v>85</v>
      </c>
      <c r="K133" s="103" t="str">
        <f>CONCATENATE(prefix_mgmt_az1_vlan,"13")</f>
        <v>1113</v>
      </c>
      <c r="L133" s="66"/>
      <c r="M133" s="174" t="str">
        <f>IF(mgmt_domain_existing_vcenter_chosen="Selected","Inputs are masked out as you have opted to import an existing vCenter Server","")</f>
        <v/>
      </c>
    </row>
    <row r="134" spans="5:13" ht="20" customHeight="1" x14ac:dyDescent="0.2">
      <c r="E134" s="7"/>
      <c r="F134" s="7"/>
      <c r="G134" s="7"/>
      <c r="H134" s="7"/>
      <c r="I134" s="7"/>
      <c r="J134" s="4" t="s">
        <v>157</v>
      </c>
      <c r="K134" s="103">
        <v>9000</v>
      </c>
      <c r="L134" s="66"/>
      <c r="M134" s="8"/>
    </row>
    <row r="135" spans="5:13" ht="20" customHeight="1" x14ac:dyDescent="0.2">
      <c r="E135" s="7"/>
      <c r="F135" s="7"/>
      <c r="G135" s="7"/>
      <c r="H135" s="7"/>
      <c r="I135" s="7"/>
      <c r="J135" s="4" t="s">
        <v>3747</v>
      </c>
      <c r="K135" s="103" t="str">
        <f>CONCATENATE(prefix_mgmt_az1_cidr,"13.1/24")</f>
        <v>10.11.13.1/24</v>
      </c>
      <c r="L135" s="66"/>
      <c r="M135" s="8"/>
    </row>
    <row r="136" spans="5:13" ht="20" customHeight="1" x14ac:dyDescent="0.2">
      <c r="E136" s="7"/>
      <c r="F136" s="7"/>
      <c r="G136" s="7"/>
      <c r="H136" s="7"/>
      <c r="I136" s="7"/>
      <c r="J136" s="4" t="s">
        <v>3722</v>
      </c>
      <c r="K136" s="103" t="str">
        <f>CONCATENATE(prefix_mgmt_az1_cidr,"13.101")</f>
        <v>10.11.13.101</v>
      </c>
      <c r="L136" s="66"/>
      <c r="M136" s="8"/>
    </row>
    <row r="137" spans="5:13" ht="20" customHeight="1" x14ac:dyDescent="0.2">
      <c r="E137" s="7"/>
      <c r="F137" s="7"/>
      <c r="G137" s="7"/>
      <c r="H137" s="7"/>
      <c r="I137" s="7"/>
      <c r="J137" s="4" t="s">
        <v>3723</v>
      </c>
      <c r="K137" s="103" t="str">
        <f>CONCATENATE(prefix_mgmt_az1_cidr,"13.116")</f>
        <v>10.11.13.116</v>
      </c>
      <c r="L137" s="66"/>
      <c r="M137" s="8"/>
    </row>
    <row r="138" spans="5:13" ht="20" customHeight="1" x14ac:dyDescent="0.2">
      <c r="E138" s="7"/>
      <c r="F138" s="7"/>
      <c r="G138" s="7"/>
      <c r="H138" s="7"/>
      <c r="I138" s="7"/>
      <c r="J138" s="4" t="s">
        <v>3724</v>
      </c>
      <c r="K138" s="103" t="str">
        <f>CONCATENATE(prefix_mgmt_ipv6_cidr,sample_mgmt_az1_vsan_vlan,"::","101")</f>
        <v>2001:db8:0:1113::101</v>
      </c>
      <c r="L138" s="66"/>
      <c r="M138" s="184" t="str">
        <f>IF(mgmt_az1_vsan_ip_scheme_chosen="IPv4","The input is masked out and only required if you are using IPV6 Networking for the vMotion Network","")</f>
        <v>The input is masked out and only required if you are using IPV6 Networking for the vMotion Network</v>
      </c>
    </row>
    <row r="139" spans="5:13" ht="20" customHeight="1" x14ac:dyDescent="0.2">
      <c r="E139" s="7"/>
      <c r="F139" s="7"/>
      <c r="G139" s="7"/>
      <c r="H139" s="7"/>
      <c r="I139" s="7"/>
      <c r="J139" s="4" t="s">
        <v>3725</v>
      </c>
      <c r="K139" s="103" t="str">
        <f>CONCATENATE(prefix_mgmt_ipv6_cidr,sample_mgmt_az1_vsan_vlan,"::","116")</f>
        <v>2001:db8:0:1113::116</v>
      </c>
      <c r="L139" s="66"/>
      <c r="M139" s="237" t="str">
        <f>IF(mgmt_az1_vsan_ip_scheme_chosen="IPv4","The input is masked out and only required if you are using IPV6 Networking for the vMotion Network","")</f>
        <v>The input is masked out and only required if you are using IPV6 Networking for the vMotion Network</v>
      </c>
    </row>
    <row r="140" spans="5:13" ht="20" customHeight="1" x14ac:dyDescent="0.2">
      <c r="E140" s="7"/>
      <c r="F140" s="7"/>
      <c r="G140" s="7"/>
      <c r="H140" s="7"/>
      <c r="I140" s="7"/>
      <c r="J140" s="424" t="s">
        <v>251</v>
      </c>
      <c r="K140" s="425"/>
      <c r="L140" s="425"/>
      <c r="M140" s="426"/>
    </row>
    <row r="141" spans="5:13" ht="20" customHeight="1" x14ac:dyDescent="0.2">
      <c r="E141" s="7"/>
      <c r="F141" s="7"/>
      <c r="G141" s="7"/>
      <c r="H141" s="7"/>
      <c r="I141" s="7"/>
      <c r="J141" s="4" t="s">
        <v>85</v>
      </c>
      <c r="K141" s="103" t="str">
        <f>CONCATENATE(prefix_mgmt_az1_vlan,"15")</f>
        <v>1115</v>
      </c>
      <c r="L141" s="66"/>
      <c r="M141" s="174" t="str">
        <f>IF(mgmt_domain_existing_vcenter_chosen="Selected","Inputs are masked out as you have opted to import an existing vCenter Server",IF(mgmt_principal_storage_chosen&lt;&gt;"NFSv3","This input is masked out and only required if configuring NFS Storage",""))</f>
        <v>This input is masked out and only required if configuring NFS Storage</v>
      </c>
    </row>
    <row r="142" spans="5:13" ht="20" customHeight="1" x14ac:dyDescent="0.2">
      <c r="E142" s="7"/>
      <c r="F142" s="7"/>
      <c r="G142" s="7"/>
      <c r="H142" s="7"/>
      <c r="I142" s="7"/>
      <c r="J142" s="4" t="s">
        <v>157</v>
      </c>
      <c r="K142" s="103">
        <v>9000</v>
      </c>
      <c r="L142" s="66"/>
      <c r="M142" s="174"/>
    </row>
    <row r="143" spans="5:13" ht="20" customHeight="1" x14ac:dyDescent="0.2">
      <c r="E143" s="7"/>
      <c r="F143" s="7"/>
      <c r="G143" s="7"/>
      <c r="H143" s="7"/>
      <c r="I143" s="7"/>
      <c r="J143" s="4" t="s">
        <v>3686</v>
      </c>
      <c r="K143" s="103" t="str">
        <f>CONCATENATE(prefix_mgmt_az1_cidr,"15.1/24")</f>
        <v>10.11.15.1/24</v>
      </c>
      <c r="L143" s="66"/>
      <c r="M143" s="174"/>
    </row>
    <row r="144" spans="5:13" ht="20" customHeight="1" x14ac:dyDescent="0.2">
      <c r="E144" s="7"/>
      <c r="F144" s="7"/>
      <c r="G144" s="7"/>
      <c r="H144" s="7"/>
      <c r="I144" s="7"/>
      <c r="J144" s="4" t="s">
        <v>3449</v>
      </c>
      <c r="K144" s="103" t="str">
        <f>CONCATENATE(prefix_mgmt_az1_cidr,"15.101")</f>
        <v>10.11.15.101</v>
      </c>
      <c r="L144" s="66"/>
      <c r="M144" s="174"/>
    </row>
    <row r="145" spans="5:13" ht="20" customHeight="1" x14ac:dyDescent="0.2">
      <c r="E145" s="7"/>
      <c r="F145" s="7"/>
      <c r="G145" s="7"/>
      <c r="H145" s="7"/>
      <c r="I145" s="7"/>
      <c r="J145" s="4" t="s">
        <v>3450</v>
      </c>
      <c r="K145" s="103" t="str">
        <f>CONCATENATE(prefix_mgmt_az1_cidr,"15.116")</f>
        <v>10.11.15.116</v>
      </c>
      <c r="L145" s="66"/>
      <c r="M145" s="174"/>
    </row>
    <row r="146" spans="5:13" ht="20" customHeight="1" x14ac:dyDescent="0.2">
      <c r="E146" s="7"/>
      <c r="F146" s="7"/>
      <c r="G146" s="7"/>
      <c r="H146" s="7"/>
      <c r="I146" s="7"/>
      <c r="J146" s="424" t="s">
        <v>815</v>
      </c>
      <c r="K146" s="425"/>
      <c r="L146" s="425"/>
      <c r="M146" s="426"/>
    </row>
    <row r="147" spans="5:13" ht="20" customHeight="1" x14ac:dyDescent="0.2">
      <c r="E147" s="7"/>
      <c r="F147" s="7"/>
      <c r="G147" s="7"/>
      <c r="H147" s="7"/>
      <c r="I147" s="7"/>
      <c r="J147" s="4" t="s">
        <v>85</v>
      </c>
      <c r="K147" s="103" t="str">
        <f>CONCATENATE(prefix_mgmt_az1_vlan,"14")</f>
        <v>1114</v>
      </c>
      <c r="L147" s="66"/>
      <c r="M147" s="8" t="s">
        <v>3829</v>
      </c>
    </row>
    <row r="148" spans="5:13" ht="20" customHeight="1" x14ac:dyDescent="0.2">
      <c r="E148" s="7"/>
      <c r="F148" s="7"/>
      <c r="G148" s="7"/>
      <c r="H148" s="7"/>
      <c r="I148" s="7"/>
      <c r="J148" s="4" t="s">
        <v>3686</v>
      </c>
      <c r="K148" s="103" t="str">
        <f>CONCATENATE(prefix_mgmt_az1_cidr,"14.1/24")</f>
        <v>10.11.14.1/24</v>
      </c>
      <c r="L148" s="66"/>
      <c r="M148" s="4" t="str">
        <f>IF(mgmt_host_overlay_addressing_chosen&lt;&gt;"IP Pool","This input is masked out and only required if configuring IP Pools for Host Overlay","")</f>
        <v/>
      </c>
    </row>
    <row r="149" spans="5:13" ht="20" customHeight="1" x14ac:dyDescent="0.2">
      <c r="E149" s="7"/>
      <c r="F149" s="7"/>
      <c r="G149" s="7"/>
      <c r="H149" s="7"/>
      <c r="I149" s="7"/>
      <c r="J149" s="4" t="s">
        <v>772</v>
      </c>
      <c r="K149" s="65" t="s">
        <v>3458</v>
      </c>
      <c r="L149" s="66" t="s">
        <v>3458</v>
      </c>
      <c r="M149" s="8"/>
    </row>
    <row r="150" spans="5:13" ht="20" customHeight="1" x14ac:dyDescent="0.2">
      <c r="E150" s="7"/>
      <c r="F150" s="7"/>
      <c r="G150" s="7"/>
      <c r="H150" s="7"/>
      <c r="I150" s="7"/>
      <c r="J150" s="4" t="s">
        <v>3726</v>
      </c>
      <c r="K150" s="103" t="str">
        <f>CONCATENATE(prefix_mgmt_az1_cidr,"14.101")</f>
        <v>10.11.14.101</v>
      </c>
      <c r="L150" s="66"/>
      <c r="M150" s="4" t="str">
        <f>IF(mgmt_host_overlay_addressing_chosen&lt;&gt;"IP Pool","This input is masked out and only required if configuring IP Pools for Host Overlay","")</f>
        <v/>
      </c>
    </row>
    <row r="151" spans="5:13" ht="20" customHeight="1" x14ac:dyDescent="0.2">
      <c r="E151" s="7"/>
      <c r="F151" s="7"/>
      <c r="G151" s="7"/>
      <c r="H151" s="7"/>
      <c r="I151" s="7"/>
      <c r="J151" s="4" t="s">
        <v>3727</v>
      </c>
      <c r="K151" s="103" t="str">
        <f>CONCATENATE(prefix_mgmt_az1_cidr,"14.132")</f>
        <v>10.11.14.132</v>
      </c>
      <c r="L151" s="66"/>
      <c r="M151" s="4" t="str">
        <f>IF(mgmt_host_overlay_addressing_chosen&lt;&gt;"IP Pool","This input is masked out and only required if configuring IP Pools for Host Overlay","")</f>
        <v/>
      </c>
    </row>
    <row r="152" spans="5:13" ht="20" customHeight="1" x14ac:dyDescent="0.2">
      <c r="E152" s="7"/>
      <c r="F152" s="7"/>
      <c r="G152" s="7"/>
      <c r="H152" s="7"/>
      <c r="I152" s="7"/>
      <c r="J152" s="97"/>
      <c r="K152" s="102"/>
      <c r="L152" s="102"/>
      <c r="M152" s="102"/>
    </row>
    <row r="153" spans="5:13" ht="34" customHeight="1" x14ac:dyDescent="0.2">
      <c r="E153" s="7"/>
      <c r="F153" s="7"/>
      <c r="G153" s="7"/>
      <c r="H153" s="7"/>
      <c r="I153" s="7"/>
      <c r="J153" s="427" t="s">
        <v>3742</v>
      </c>
      <c r="K153" s="428"/>
      <c r="L153" s="428"/>
      <c r="M153" s="429"/>
    </row>
    <row r="154" spans="5:13" ht="20" customHeight="1" x14ac:dyDescent="0.2">
      <c r="E154" s="7"/>
      <c r="F154" s="7"/>
      <c r="G154" s="7"/>
      <c r="H154" s="7"/>
      <c r="I154" s="7"/>
      <c r="J154" s="424" t="s">
        <v>3414</v>
      </c>
      <c r="K154" s="425"/>
      <c r="L154" s="425"/>
      <c r="M154" s="426"/>
    </row>
    <row r="155" spans="5:13" ht="20" customHeight="1" x14ac:dyDescent="0.2">
      <c r="E155" s="7"/>
      <c r="F155" s="7"/>
      <c r="G155" s="7"/>
      <c r="H155" s="7"/>
      <c r="I155" s="7"/>
      <c r="J155" s="63" t="s">
        <v>18</v>
      </c>
      <c r="K155" s="63" t="s">
        <v>19</v>
      </c>
      <c r="L155" s="63" t="s">
        <v>20</v>
      </c>
      <c r="M155" s="63" t="s">
        <v>21</v>
      </c>
    </row>
    <row r="156" spans="5:13" ht="20" customHeight="1" x14ac:dyDescent="0.2">
      <c r="E156" s="7"/>
      <c r="F156" s="7"/>
      <c r="G156" s="7"/>
      <c r="H156" s="7"/>
      <c r="I156" s="7"/>
      <c r="J156" s="424" t="s">
        <v>1118</v>
      </c>
      <c r="K156" s="425"/>
      <c r="L156" s="425"/>
      <c r="M156" s="426"/>
    </row>
    <row r="157" spans="5:13" ht="20" customHeight="1" x14ac:dyDescent="0.2">
      <c r="E157" s="7"/>
      <c r="F157" s="7"/>
      <c r="G157" s="7"/>
      <c r="H157" s="7"/>
      <c r="I157" s="7"/>
      <c r="J157" s="4" t="s">
        <v>3761</v>
      </c>
      <c r="K157" s="103" t="str">
        <f>CONCATENATE(prefix_portable_component,"-ops01a.",sample_parent_dns_zone)</f>
        <v>flt-ops01a.rainpole.io</v>
      </c>
      <c r="L157" s="66"/>
      <c r="M157" s="8" t="str">
        <f>IF(mgmt_domain_ops_automation_later_chosen="Selected","Thse input is masked out as you have opted to Deploy VCF Operations and VCF Automation on a specific vSphere distributed switch or NSX segment, Use Deploy Fleet Management Day-N sheet to capture inputs","")</f>
        <v/>
      </c>
    </row>
    <row r="158" spans="5:13" ht="20" customHeight="1" x14ac:dyDescent="0.2">
      <c r="E158" s="7"/>
      <c r="F158" s="7"/>
      <c r="G158" s="7"/>
      <c r="H158" s="7"/>
      <c r="I158" s="7"/>
      <c r="J158" s="4" t="s">
        <v>4008</v>
      </c>
      <c r="K158" s="103" t="str">
        <f>CONCATENATE(prefix_portable_component,"-ops01b.",sample_parent_dns_zone)</f>
        <v>flt-ops01b.rainpole.io</v>
      </c>
      <c r="L158" s="66"/>
      <c r="M158" s="2" t="str">
        <f>IF(mgmt_domain_vcf_operations_ha_mode_chosen="Standard (Single-Node)","Inputs are masked out as have opted to deploy in Standard (Single-Node)","")</f>
        <v/>
      </c>
    </row>
    <row r="159" spans="5:13" ht="20" customHeight="1" x14ac:dyDescent="0.2">
      <c r="E159" s="7"/>
      <c r="F159" s="7"/>
      <c r="G159" s="7"/>
      <c r="H159" s="7"/>
      <c r="I159" s="7"/>
      <c r="J159" s="4" t="s">
        <v>3767</v>
      </c>
      <c r="K159" s="65" t="str">
        <f>CONCATENATE(prefix_portable_component,"-ops01c.",sample_parent_dns_zone)</f>
        <v>flt-ops01c.rainpole.io</v>
      </c>
      <c r="L159" s="66"/>
      <c r="M159" s="8" t="str">
        <f>IF(mgmt_domain_vcf_operations_ha_mode_chosen="Standard (Single-Node)","Inputs are masked out as have opted to deploy in Standard (Single-Node)","")</f>
        <v/>
      </c>
    </row>
    <row r="160" spans="5:13" ht="20" customHeight="1" x14ac:dyDescent="0.2">
      <c r="E160" s="7"/>
      <c r="F160" s="7"/>
      <c r="G160" s="7"/>
      <c r="H160" s="7"/>
      <c r="I160" s="7"/>
      <c r="J160" s="424" t="s">
        <v>2379</v>
      </c>
      <c r="K160" s="425"/>
      <c r="L160" s="425"/>
      <c r="M160" s="426"/>
    </row>
    <row r="161" spans="5:13" ht="20" customHeight="1" x14ac:dyDescent="0.2">
      <c r="E161" s="7"/>
      <c r="F161" s="7"/>
      <c r="G161" s="7"/>
      <c r="H161" s="7"/>
      <c r="I161" s="7"/>
      <c r="J161" s="4" t="s">
        <v>3416</v>
      </c>
      <c r="K161" s="103" t="str">
        <f>CONCATENATE(prefix_portable_component,"-ops01.",sample_parent_dns_zone)</f>
        <v>flt-ops01.rainpole.io</v>
      </c>
      <c r="L161" s="66"/>
      <c r="M161" s="8" t="str">
        <f>IF(mgmt_domain_vcf_operations_ha_mode_chosen="Standard (Single-Node)","Inputs are masked out as have opted to deploy in Standard (Single-Node)","Optional: For a high availability deployment, you can connect an external load balancer")</f>
        <v>Optional: For a high availability deployment, you can connect an external load balancer</v>
      </c>
    </row>
    <row r="162" spans="5:13" ht="20" customHeight="1" x14ac:dyDescent="0.2">
      <c r="E162" s="7"/>
      <c r="F162" s="7"/>
      <c r="G162" s="7"/>
      <c r="H162" s="7"/>
      <c r="I162" s="7"/>
      <c r="J162" s="424" t="s">
        <v>3760</v>
      </c>
      <c r="K162" s="425"/>
      <c r="L162" s="425"/>
      <c r="M162" s="426"/>
    </row>
    <row r="163" spans="5:13" ht="20" customHeight="1" x14ac:dyDescent="0.2">
      <c r="E163" s="7"/>
      <c r="F163" s="7"/>
      <c r="G163" s="7"/>
      <c r="H163" s="7"/>
      <c r="I163" s="7"/>
      <c r="J163" s="4" t="s">
        <v>39</v>
      </c>
      <c r="K163" s="106" t="str">
        <f>CONCATENATE(this_instance,"-cp01.",sample_child_dns_zone)</f>
        <v>sfo-cp01.sfo.rainpole.io</v>
      </c>
      <c r="L163" s="66"/>
      <c r="M163" s="4"/>
    </row>
    <row r="164" spans="5:13" ht="20" customHeight="1" x14ac:dyDescent="0.2">
      <c r="E164" s="7"/>
      <c r="F164" s="7"/>
      <c r="G164" s="7"/>
      <c r="H164" s="7"/>
      <c r="I164" s="7"/>
      <c r="J164" s="424" t="s">
        <v>3729</v>
      </c>
      <c r="K164" s="425"/>
      <c r="L164" s="425"/>
      <c r="M164" s="426"/>
    </row>
    <row r="165" spans="5:13" ht="20" customHeight="1" x14ac:dyDescent="0.2">
      <c r="E165" s="7"/>
      <c r="F165" s="7"/>
      <c r="G165" s="7"/>
      <c r="H165" s="7"/>
      <c r="I165" s="7"/>
      <c r="J165" s="4" t="s">
        <v>39</v>
      </c>
      <c r="K165" s="215" t="str">
        <f>CONCATENATE(prefix_portable_component,"-lc01.",sample_parent_dns_zone)</f>
        <v>flt-lc01.rainpole.io</v>
      </c>
      <c r="L165" s="66"/>
      <c r="M165" s="181"/>
    </row>
    <row r="166" spans="5:13" ht="20" customHeight="1" x14ac:dyDescent="0.2">
      <c r="E166" s="7"/>
      <c r="F166" s="7"/>
      <c r="G166" s="7"/>
      <c r="H166" s="7"/>
      <c r="I166" s="7"/>
      <c r="J166" s="424" t="s">
        <v>3691</v>
      </c>
      <c r="K166" s="425"/>
      <c r="L166" s="425"/>
      <c r="M166" s="426"/>
    </row>
    <row r="167" spans="5:13" ht="20" customHeight="1" x14ac:dyDescent="0.2">
      <c r="E167" s="7"/>
      <c r="F167" s="7"/>
      <c r="G167" s="7"/>
      <c r="H167" s="7"/>
      <c r="I167" s="7"/>
      <c r="J167" s="4" t="s">
        <v>3874</v>
      </c>
      <c r="K167" s="105" t="str">
        <f>CONCATENATE(prefix_portable_component,"-fc01.",sample_parent_dns_zone)</f>
        <v>flt-fc01.rainpole.io</v>
      </c>
      <c r="L167" s="114"/>
      <c r="M167" s="8" t="s">
        <v>3958</v>
      </c>
    </row>
    <row r="168" spans="5:13" ht="20" customHeight="1" x14ac:dyDescent="0.2">
      <c r="E168" s="7"/>
      <c r="F168" s="7"/>
      <c r="G168" s="7"/>
      <c r="H168" s="7"/>
      <c r="I168" s="7"/>
      <c r="J168" s="4" t="s">
        <v>3875</v>
      </c>
      <c r="K168" s="105" t="str">
        <f>CONCATENATE(this_instance,"-ic01.",sample_child_dns_zone)</f>
        <v>sfo-ic01.sfo.rainpole.io</v>
      </c>
      <c r="L168" s="114"/>
      <c r="M168" s="8" t="s">
        <v>3959</v>
      </c>
    </row>
    <row r="169" spans="5:13" ht="20" customHeight="1" x14ac:dyDescent="0.2">
      <c r="E169" s="7"/>
      <c r="F169" s="7"/>
      <c r="G169" s="7"/>
      <c r="H169" s="7"/>
      <c r="I169" s="7"/>
      <c r="J169" s="4" t="s">
        <v>3743</v>
      </c>
      <c r="K169" s="122" t="str">
        <f>CONCATENATE(prefix_portable_component,"-idb01",".",sample_parent_dns_zone)</f>
        <v>flt-idb01.rainpole.io</v>
      </c>
      <c r="L169" s="66"/>
      <c r="M169" s="8" t="str">
        <f>IF(vcf_granular_option_chosen="Deploy a VCF Instance in an existing VCF Fleet","An additional Identity Broker can be deployed as part of day 2 Operation.","")</f>
        <v/>
      </c>
    </row>
    <row r="170" spans="5:13" ht="20" customHeight="1" x14ac:dyDescent="0.2">
      <c r="E170" s="7"/>
      <c r="F170" s="7"/>
      <c r="G170" s="7"/>
      <c r="H170" s="7"/>
      <c r="I170" s="7"/>
      <c r="J170" s="4" t="s">
        <v>3730</v>
      </c>
      <c r="K170" s="105" t="str">
        <f>CONCATENATE(this_instance,,"-","sr01.",sample_child_dns_zone)</f>
        <v>sfo-sr01.sfo.rainpole.io</v>
      </c>
      <c r="L170" s="114"/>
      <c r="M170" s="8" t="s">
        <v>3960</v>
      </c>
    </row>
    <row r="171" spans="5:13" ht="20" customHeight="1" x14ac:dyDescent="0.2">
      <c r="E171" s="7"/>
      <c r="F171" s="7"/>
      <c r="G171" s="7"/>
      <c r="H171" s="7"/>
      <c r="I171" s="7"/>
      <c r="J171" s="97"/>
      <c r="K171" s="102"/>
      <c r="L171" s="102"/>
      <c r="M171" s="102"/>
    </row>
    <row r="172" spans="5:13" ht="34" customHeight="1" x14ac:dyDescent="0.2">
      <c r="E172" s="7"/>
      <c r="F172" s="7"/>
      <c r="G172" s="7"/>
      <c r="H172" s="7"/>
      <c r="I172" s="7"/>
      <c r="J172" s="427" t="s">
        <v>3399</v>
      </c>
      <c r="K172" s="428"/>
      <c r="L172" s="428"/>
      <c r="M172" s="429"/>
    </row>
    <row r="173" spans="5:13" ht="20" customHeight="1" x14ac:dyDescent="0.2">
      <c r="E173" s="7"/>
      <c r="F173" s="7"/>
      <c r="G173" s="7"/>
      <c r="H173" s="7"/>
      <c r="I173" s="7"/>
      <c r="J173" s="424" t="s">
        <v>3420</v>
      </c>
      <c r="K173" s="425"/>
      <c r="L173" s="425"/>
      <c r="M173" s="426"/>
    </row>
    <row r="174" spans="5:13" ht="20" customHeight="1" x14ac:dyDescent="0.2">
      <c r="E174" s="7"/>
      <c r="F174" s="7"/>
      <c r="G174" s="7"/>
      <c r="H174" s="7"/>
      <c r="I174" s="7"/>
      <c r="J174" s="63" t="s">
        <v>18</v>
      </c>
      <c r="K174" s="63" t="s">
        <v>19</v>
      </c>
      <c r="L174" s="63" t="s">
        <v>20</v>
      </c>
      <c r="M174" s="63" t="s">
        <v>21</v>
      </c>
    </row>
    <row r="175" spans="5:13" ht="20" customHeight="1" x14ac:dyDescent="0.2">
      <c r="E175" s="7"/>
      <c r="F175" s="7"/>
      <c r="G175" s="7"/>
      <c r="H175" s="7"/>
      <c r="I175" s="7"/>
      <c r="J175" s="4" t="s">
        <v>2129</v>
      </c>
      <c r="K175" s="65" t="str">
        <f>CONCATENATE(prefix_portable_component,"-auto01.",sample_parent_dns_zone)</f>
        <v>flt-auto01.rainpole.io</v>
      </c>
      <c r="L175" s="66"/>
      <c r="M175" s="8" t="str">
        <f>IF(OR(mgmt_domain_ops_automation_later_chosen="Selected",mgmt_domain_vcf_automation_later_chosen="Selected"),"Inputs are masked out as you have opted to deploy or import VCF Automation post MGMT Domain deployment","")</f>
        <v/>
      </c>
    </row>
    <row r="176" spans="5:13" ht="20" customHeight="1" x14ac:dyDescent="0.2">
      <c r="E176" s="7"/>
      <c r="F176" s="7"/>
      <c r="G176" s="7"/>
      <c r="H176" s="7"/>
      <c r="I176" s="7"/>
      <c r="J176" s="4" t="s">
        <v>3730</v>
      </c>
      <c r="K176" s="65" t="str">
        <f>CONCATENATE(prefix_portable_component,"-vcfa-sr01.",sample_parent_dns_zone)</f>
        <v>flt-vcfa-sr01.rainpole.io</v>
      </c>
      <c r="L176" s="66"/>
      <c r="M176" s="8" t="s">
        <v>4161</v>
      </c>
    </row>
    <row r="177" spans="5:13" ht="20" customHeight="1" x14ac:dyDescent="0.2">
      <c r="E177" s="7"/>
      <c r="F177" s="7"/>
      <c r="G177" s="7"/>
      <c r="H177" s="7"/>
      <c r="I177" s="7"/>
      <c r="J177" s="97"/>
      <c r="K177" s="97"/>
      <c r="L177" s="102"/>
      <c r="M177" s="97"/>
    </row>
    <row r="178" spans="5:13" ht="34" customHeight="1" x14ac:dyDescent="0.2">
      <c r="E178" s="7"/>
      <c r="F178" s="7"/>
      <c r="G178" s="7"/>
      <c r="H178" s="7"/>
      <c r="I178" s="7"/>
      <c r="J178" s="427" t="s">
        <v>713</v>
      </c>
      <c r="K178" s="428"/>
      <c r="L178" s="428"/>
      <c r="M178" s="429"/>
    </row>
    <row r="179" spans="5:13" ht="20" customHeight="1" x14ac:dyDescent="0.2">
      <c r="E179" s="7"/>
      <c r="F179" s="7"/>
      <c r="G179" s="7"/>
      <c r="H179" s="7"/>
      <c r="I179" s="7"/>
      <c r="J179" s="424" t="s">
        <v>3421</v>
      </c>
      <c r="K179" s="425"/>
      <c r="L179" s="425"/>
      <c r="M179" s="426"/>
    </row>
    <row r="180" spans="5:13" ht="20" customHeight="1" x14ac:dyDescent="0.2">
      <c r="E180" s="7"/>
      <c r="F180" s="7"/>
      <c r="G180" s="7"/>
      <c r="H180" s="7"/>
      <c r="I180" s="7"/>
      <c r="J180" s="63" t="s">
        <v>18</v>
      </c>
      <c r="K180" s="63" t="s">
        <v>19</v>
      </c>
      <c r="L180" s="63" t="s">
        <v>20</v>
      </c>
      <c r="M180" s="63" t="s">
        <v>21</v>
      </c>
    </row>
    <row r="181" spans="5:13" ht="20" customHeight="1" x14ac:dyDescent="0.2">
      <c r="E181" s="7"/>
      <c r="F181" s="7"/>
      <c r="G181" s="7"/>
      <c r="H181" s="7"/>
      <c r="I181" s="7"/>
      <c r="J181" s="4" t="s">
        <v>3418</v>
      </c>
      <c r="K181" s="109" t="str">
        <f>CONCATENATE(this_instance,"-m01-vc01.",sample_child_dns_zone)</f>
        <v>sfo-m01-vc01.sfo.rainpole.io</v>
      </c>
      <c r="L181" s="66"/>
      <c r="M181" s="8"/>
    </row>
    <row r="182" spans="5:13" ht="20" customHeight="1" x14ac:dyDescent="0.2">
      <c r="E182" s="7"/>
      <c r="F182" s="7"/>
      <c r="G182" s="7"/>
      <c r="H182" s="7"/>
      <c r="I182" s="7"/>
      <c r="J182" s="4" t="s">
        <v>1661</v>
      </c>
      <c r="K182" s="65" t="str">
        <f>CONCATENATE(this_instance,"-m01-dc01")</f>
        <v>sfo-m01-dc01</v>
      </c>
      <c r="L182" s="66"/>
      <c r="M182" s="8" t="str">
        <f>IF(mgmt_domain_existing_vcenter_chosen="Selected","Inputs are masked out as you have opted to import an existing vCenter Server","")</f>
        <v/>
      </c>
    </row>
    <row r="183" spans="5:13" ht="20" customHeight="1" x14ac:dyDescent="0.2">
      <c r="E183" s="7"/>
      <c r="F183" s="7"/>
      <c r="G183" s="7"/>
      <c r="H183" s="7"/>
      <c r="I183" s="7"/>
      <c r="J183" s="4" t="s">
        <v>204</v>
      </c>
      <c r="K183" s="65" t="str">
        <f>CONCATENATE(this_instance,"-m01-cl01")</f>
        <v>sfo-m01-cl01</v>
      </c>
      <c r="L183" s="66"/>
      <c r="M183" s="8" t="str">
        <f>IF(mgmt_domain_existing_vcenter_chosen="Selected","Inputs are masked out as you have opted to import an existing vCenter Server","")</f>
        <v/>
      </c>
    </row>
    <row r="184" spans="5:13" ht="20" customHeight="1" x14ac:dyDescent="0.2">
      <c r="E184" s="7"/>
      <c r="F184" s="7"/>
      <c r="G184" s="7"/>
      <c r="H184" s="7"/>
      <c r="I184" s="7"/>
      <c r="J184" s="4" t="s">
        <v>563</v>
      </c>
      <c r="K184" s="65" t="s">
        <v>2640</v>
      </c>
      <c r="L184" s="66"/>
      <c r="M184" s="8" t="str">
        <f>IF(mgmt_domain_existing_vcenter_chosen="Selected","Inputs are masked out as you have opted to import an existing vCenter Server","")</f>
        <v/>
      </c>
    </row>
    <row r="185" spans="5:13" ht="20" customHeight="1" x14ac:dyDescent="0.2">
      <c r="E185" s="7"/>
      <c r="F185" s="7"/>
      <c r="G185" s="7"/>
      <c r="H185" s="7"/>
      <c r="I185" s="7"/>
      <c r="J185" s="4" t="s">
        <v>3422</v>
      </c>
      <c r="K185" s="65" t="s">
        <v>1565</v>
      </c>
      <c r="L185" s="66"/>
      <c r="M185" s="8" t="str">
        <f>IF(mgmt_domain_existing_vcenter_chosen="Unselected", "Input is masked out and only required if importing an existing vCenter","")</f>
        <v>Input is masked out and only required if importing an existing vCenter</v>
      </c>
    </row>
    <row r="186" spans="5:13" ht="20" customHeight="1" x14ac:dyDescent="0.2">
      <c r="E186" s="7"/>
      <c r="F186" s="7"/>
      <c r="G186" s="7"/>
      <c r="H186" s="7"/>
      <c r="I186" s="7"/>
      <c r="J186" s="110"/>
      <c r="K186" s="110"/>
      <c r="L186" s="110"/>
      <c r="M186" s="110"/>
    </row>
    <row r="187" spans="5:13" ht="34" customHeight="1" x14ac:dyDescent="0.2">
      <c r="E187" s="7"/>
      <c r="F187" s="7"/>
      <c r="G187" s="7"/>
      <c r="H187" s="7"/>
      <c r="I187" s="7"/>
      <c r="J187" s="427" t="s">
        <v>728</v>
      </c>
      <c r="K187" s="428"/>
      <c r="L187" s="428"/>
      <c r="M187" s="429"/>
    </row>
    <row r="188" spans="5:13" ht="20" customHeight="1" x14ac:dyDescent="0.2">
      <c r="E188" s="7"/>
      <c r="F188" s="7"/>
      <c r="G188" s="7"/>
      <c r="H188" s="7"/>
      <c r="I188" s="7"/>
      <c r="J188" s="424" t="s">
        <v>3424</v>
      </c>
      <c r="K188" s="425"/>
      <c r="L188" s="425"/>
      <c r="M188" s="426"/>
    </row>
    <row r="189" spans="5:13" ht="20" customHeight="1" x14ac:dyDescent="0.2">
      <c r="E189" s="7"/>
      <c r="F189" s="7"/>
      <c r="G189" s="7"/>
      <c r="H189" s="7"/>
      <c r="I189" s="7"/>
      <c r="J189" s="63" t="s">
        <v>18</v>
      </c>
      <c r="K189" s="63" t="s">
        <v>19</v>
      </c>
      <c r="L189" s="63" t="s">
        <v>20</v>
      </c>
      <c r="M189" s="63" t="s">
        <v>21</v>
      </c>
    </row>
    <row r="190" spans="5:13" ht="20" customHeight="1" x14ac:dyDescent="0.2">
      <c r="E190" s="7"/>
      <c r="F190" s="7"/>
      <c r="G190" s="7"/>
      <c r="H190" s="7"/>
      <c r="I190" s="7"/>
      <c r="J190" s="4" t="s">
        <v>3425</v>
      </c>
      <c r="K190" s="65" t="str">
        <f>IF(mgmt_principal_storage_chosen="VMFS on Fibre Channel (FC)",CONCATENATE(this_instance,"-m01-cl01-ds-vmfs01"),IF(mgmt_principal_storage_chosen="NFSv3",CONCATENATE(this_instance,"-m01-cl01-ds-nfs01"),CONCATENATE(this_instance,"-m01-cl01-ds-vsan01")))</f>
        <v>sfo-m01-cl01-ds-vsan01</v>
      </c>
      <c r="L190" s="66"/>
      <c r="M190" s="8" t="str">
        <f>IF(mgmt_domain_existing_vcenter_chosen="Selected","Inputs are masked out as you have opted to import an existing vCenter Server","")</f>
        <v/>
      </c>
    </row>
    <row r="191" spans="5:13" ht="20" customHeight="1" x14ac:dyDescent="0.2">
      <c r="E191" s="7"/>
      <c r="F191" s="7"/>
      <c r="G191" s="7"/>
      <c r="H191" s="7"/>
      <c r="I191" s="7"/>
      <c r="J191" s="95" t="s">
        <v>3807</v>
      </c>
      <c r="K191" s="104" t="s">
        <v>745</v>
      </c>
      <c r="L191" s="107"/>
      <c r="M191" s="229" t="str">
        <f>IF(mgmt_cl01_vsan_data_in_transit_chosen="Unselected","Input is masked out and only required if configuring vSAN Data-in-Transit encryption","")</f>
        <v>Input is masked out and only required if configuring vSAN Data-in-Transit encryption</v>
      </c>
    </row>
    <row r="192" spans="5:13" ht="20" customHeight="1" x14ac:dyDescent="0.2">
      <c r="E192" s="7"/>
      <c r="F192" s="7"/>
      <c r="G192" s="7"/>
      <c r="H192" s="7"/>
      <c r="I192" s="7"/>
      <c r="J192" s="95" t="s">
        <v>3808</v>
      </c>
      <c r="K192" s="104" t="s">
        <v>3794</v>
      </c>
      <c r="L192" s="107" t="s">
        <v>3794</v>
      </c>
      <c r="M192" s="229" t="str">
        <f>IF(mgmt_cl01_vsan_data_in_transit_chosen="Unselected","Input is masked out and only required if configuring vSAN Data-in-Transit encryption","")</f>
        <v>Input is masked out and only required if configuring vSAN Data-in-Transit encryption</v>
      </c>
    </row>
    <row r="193" spans="5:13" ht="20" customHeight="1" x14ac:dyDescent="0.2">
      <c r="E193" s="7"/>
      <c r="F193" s="7"/>
      <c r="G193" s="7"/>
      <c r="H193" s="7"/>
      <c r="I193" s="7"/>
      <c r="J193" s="95" t="s">
        <v>3809</v>
      </c>
      <c r="K193" s="104">
        <v>1440</v>
      </c>
      <c r="L193" s="107"/>
      <c r="M193" s="229" t="s">
        <v>3802</v>
      </c>
    </row>
    <row r="194" spans="5:13" ht="20" customHeight="1" x14ac:dyDescent="0.2">
      <c r="E194" s="7"/>
      <c r="F194" s="7"/>
      <c r="G194" s="7"/>
      <c r="H194" s="7"/>
      <c r="I194" s="7"/>
      <c r="J194" s="95" t="s">
        <v>3427</v>
      </c>
      <c r="K194" s="104" t="str">
        <f>CONCATENATE("/share/",this_instance,"-m01-cl01-ds-nfs01")</f>
        <v>/share/sfo-m01-cl01-ds-nfs01</v>
      </c>
      <c r="L194" s="111"/>
      <c r="M194" s="229" t="str">
        <f>IF(mgmt_principal_storage_chosen&lt;&gt;"NFSv3","Input is masked out and only required if configuring NFS Storage","")</f>
        <v>Input is masked out and only required if configuring NFS Storage</v>
      </c>
    </row>
    <row r="195" spans="5:13" ht="20" customHeight="1" x14ac:dyDescent="0.2">
      <c r="E195" s="7"/>
      <c r="F195" s="7"/>
      <c r="G195" s="7"/>
      <c r="H195" s="7"/>
      <c r="I195" s="7"/>
      <c r="J195" s="95" t="s">
        <v>3428</v>
      </c>
      <c r="K195" s="104" t="str">
        <f>CONCATENATE(prefix_mgmt_az1_cidr,"15.200")</f>
        <v>10.11.15.200</v>
      </c>
      <c r="L195" s="111"/>
      <c r="M195" s="229" t="str">
        <f>IF(mgmt_principal_storage_chosen&lt;&gt;"NFSv3","Input is masked out and only required if configuring NFS Storage","")</f>
        <v>Input is masked out and only required if configuring NFS Storage</v>
      </c>
    </row>
    <row r="196" spans="5:13" ht="20" customHeight="1" x14ac:dyDescent="0.2">
      <c r="E196" s="7"/>
      <c r="F196" s="7"/>
      <c r="G196" s="7"/>
      <c r="H196" s="7"/>
      <c r="I196" s="7"/>
      <c r="J196" s="4" t="s">
        <v>3429</v>
      </c>
      <c r="K196" s="65" t="s">
        <v>156</v>
      </c>
      <c r="L196" s="66" t="s">
        <v>156</v>
      </c>
      <c r="M196" s="8" t="str">
        <f>IF(mgmt_principal_storage_chosen&lt;&gt;"NFSv3","Input is masked out and only required if configuring NFS Storage","")</f>
        <v>Input is masked out and only required if configuring NFS Storage</v>
      </c>
    </row>
    <row r="198" spans="5:13" ht="34" customHeight="1" x14ac:dyDescent="0.2">
      <c r="E198" s="7"/>
      <c r="F198" s="7"/>
      <c r="G198" s="7"/>
      <c r="H198" s="7"/>
      <c r="I198" s="7"/>
      <c r="J198" s="427" t="s">
        <v>3815</v>
      </c>
      <c r="K198" s="428"/>
      <c r="L198" s="428"/>
      <c r="M198" s="429"/>
    </row>
    <row r="199" spans="5:13" ht="20" customHeight="1" x14ac:dyDescent="0.2">
      <c r="E199" s="7"/>
      <c r="F199" s="7"/>
      <c r="G199" s="7"/>
      <c r="H199" s="7"/>
      <c r="I199" s="7"/>
      <c r="J199" s="424" t="s">
        <v>3451</v>
      </c>
      <c r="K199" s="425"/>
      <c r="L199" s="425"/>
      <c r="M199" s="426"/>
    </row>
    <row r="200" spans="5:13" ht="20" customHeight="1" x14ac:dyDescent="0.2">
      <c r="E200" s="7"/>
      <c r="F200" s="7"/>
      <c r="G200" s="7"/>
      <c r="H200" s="7"/>
      <c r="I200" s="7"/>
      <c r="J200" s="63" t="s">
        <v>18</v>
      </c>
      <c r="K200" s="63" t="s">
        <v>19</v>
      </c>
      <c r="L200" s="63" t="s">
        <v>20</v>
      </c>
      <c r="M200" s="63" t="s">
        <v>21</v>
      </c>
    </row>
    <row r="201" spans="5:13" ht="20" customHeight="1" x14ac:dyDescent="0.2">
      <c r="E201" s="7"/>
      <c r="F201" s="7"/>
      <c r="G201" s="7"/>
      <c r="H201" s="7"/>
      <c r="I201" s="7"/>
      <c r="J201" s="4" t="s">
        <v>3452</v>
      </c>
      <c r="K201" s="65" t="s">
        <v>745</v>
      </c>
      <c r="L201" s="66" t="s">
        <v>745</v>
      </c>
      <c r="M201" s="120" t="str">
        <f>IF(mgmt_domain_existing_vcenter_chosen="Selected","Inputs are masked out as you have opted to import an existing vCenter Server","")</f>
        <v/>
      </c>
    </row>
    <row r="202" spans="5:13" ht="20" customHeight="1" x14ac:dyDescent="0.2">
      <c r="E202" s="7"/>
      <c r="F202" s="7"/>
      <c r="G202" s="7"/>
      <c r="H202" s="7"/>
      <c r="I202" s="7"/>
      <c r="J202" s="97"/>
      <c r="K202" s="102"/>
      <c r="L202" s="98"/>
      <c r="M202" s="102"/>
    </row>
    <row r="203" spans="5:13" ht="34" customHeight="1" x14ac:dyDescent="0.2">
      <c r="E203" s="7"/>
      <c r="F203" s="7"/>
      <c r="G203" s="7"/>
      <c r="H203" s="7"/>
      <c r="I203" s="7"/>
      <c r="J203" s="54" t="s">
        <v>747</v>
      </c>
      <c r="K203" s="55"/>
      <c r="L203" s="55"/>
      <c r="M203" s="56"/>
    </row>
    <row r="204" spans="5:13" ht="20" customHeight="1" x14ac:dyDescent="0.2">
      <c r="E204" s="7"/>
      <c r="F204" s="7"/>
      <c r="G204" s="7"/>
      <c r="H204" s="7"/>
      <c r="I204" s="7"/>
      <c r="J204" s="58" t="s">
        <v>3585</v>
      </c>
      <c r="K204" s="59"/>
      <c r="L204" s="59"/>
      <c r="M204" s="60"/>
    </row>
    <row r="205" spans="5:13" ht="20" customHeight="1" x14ac:dyDescent="0.2">
      <c r="E205" s="7"/>
      <c r="F205" s="7"/>
      <c r="G205" s="7"/>
      <c r="H205" s="7"/>
      <c r="I205" s="7"/>
      <c r="J205" s="63" t="s">
        <v>18</v>
      </c>
      <c r="K205" s="63" t="s">
        <v>19</v>
      </c>
      <c r="L205" s="63" t="s">
        <v>20</v>
      </c>
      <c r="M205" s="63" t="s">
        <v>21</v>
      </c>
    </row>
    <row r="206" spans="5:13" ht="20" customHeight="1" x14ac:dyDescent="0.2">
      <c r="E206" s="7"/>
      <c r="F206" s="7"/>
      <c r="G206" s="7"/>
      <c r="H206" s="7"/>
      <c r="I206" s="7"/>
      <c r="J206" s="4" t="s">
        <v>3453</v>
      </c>
      <c r="K206" s="65" t="str">
        <f>CONCATENATE(this_instance,"-m01-cl01-vds01")</f>
        <v>sfo-m01-cl01-vds01</v>
      </c>
      <c r="L206" s="114"/>
      <c r="M206" s="8" t="str">
        <f>IF(mgmt_domain_existing_vcenter_chosen="Selected","Inputs are masked out as you have opted to import an existing vCenter Server","")</f>
        <v/>
      </c>
    </row>
    <row r="207" spans="5:13" ht="20" customHeight="1" x14ac:dyDescent="0.2">
      <c r="E207" s="7"/>
      <c r="F207" s="7"/>
      <c r="G207" s="7"/>
      <c r="H207" s="7"/>
      <c r="I207" s="7"/>
      <c r="J207" s="4" t="s">
        <v>157</v>
      </c>
      <c r="K207" s="65">
        <v>9000</v>
      </c>
      <c r="L207" s="66"/>
      <c r="M207" s="8"/>
    </row>
    <row r="208" spans="5:13" ht="20" customHeight="1" x14ac:dyDescent="0.2">
      <c r="E208" s="7"/>
      <c r="F208" s="7"/>
      <c r="G208" s="7"/>
      <c r="H208" s="7"/>
      <c r="I208" s="7"/>
      <c r="J208" s="4" t="s">
        <v>3316</v>
      </c>
      <c r="K208" s="65" t="s">
        <v>3560</v>
      </c>
      <c r="L208" s="66" t="s">
        <v>3560</v>
      </c>
      <c r="M208" s="8"/>
    </row>
    <row r="209" spans="5:13" ht="20" customHeight="1" x14ac:dyDescent="0.2">
      <c r="E209" s="7"/>
      <c r="F209" s="7"/>
      <c r="G209" s="7"/>
      <c r="H209" s="7"/>
      <c r="I209" s="7"/>
      <c r="J209" s="4" t="s">
        <v>3561</v>
      </c>
      <c r="K209" s="65" t="str">
        <f>CONCATENATE("m01-cl01-vds1-lg")</f>
        <v>m01-cl01-vds1-lg</v>
      </c>
      <c r="L209" s="66"/>
      <c r="M209" s="8" t="str">
        <f>IF(mgmt_cl01_vds01_link_type_chosen="VDS Uplinks","This input is masked out as you have chosen to configure VDS Uplinks","There is a 16 Character Limit for LAG Name")</f>
        <v>This input is masked out as you have chosen to configure VDS Uplinks</v>
      </c>
    </row>
    <row r="210" spans="5:13" ht="20" customHeight="1" x14ac:dyDescent="0.2">
      <c r="E210" s="7"/>
      <c r="F210" s="7"/>
      <c r="G210" s="7"/>
      <c r="H210" s="7"/>
      <c r="I210" s="7"/>
      <c r="J210" s="4" t="s">
        <v>3562</v>
      </c>
      <c r="K210" s="65" t="s">
        <v>760</v>
      </c>
      <c r="L210" s="66" t="s">
        <v>760</v>
      </c>
      <c r="M210" s="8" t="str">
        <f>IF(mgmt_cl01_vds01_link_type_chosen="VDS Uplinks","This input is masked out as you have chosen to configure VDS Uplinks","")</f>
        <v>This input is masked out as you have chosen to configure VDS Uplinks</v>
      </c>
    </row>
    <row r="211" spans="5:13" ht="20" customHeight="1" x14ac:dyDescent="0.2">
      <c r="E211" s="7"/>
      <c r="F211" s="7"/>
      <c r="G211" s="7"/>
      <c r="H211" s="7"/>
      <c r="I211" s="7"/>
      <c r="J211" s="4" t="s">
        <v>3563</v>
      </c>
      <c r="K211" s="65" t="s">
        <v>3580</v>
      </c>
      <c r="L211" s="66" t="s">
        <v>3580</v>
      </c>
      <c r="M211" s="8" t="str">
        <f>IF(mgmt_cl01_vds01_link_type_chosen="VDS Uplinks","This input is masked out as you have chosen to configure VDS Uplinks","")</f>
        <v>This input is masked out as you have chosen to configure VDS Uplinks</v>
      </c>
    </row>
    <row r="212" spans="5:13" ht="20" customHeight="1" x14ac:dyDescent="0.2">
      <c r="E212" s="7"/>
      <c r="F212" s="7"/>
      <c r="G212" s="7"/>
      <c r="H212" s="7"/>
      <c r="I212" s="7"/>
      <c r="J212" s="4" t="s">
        <v>3564</v>
      </c>
      <c r="K212" s="65" t="s">
        <v>3565</v>
      </c>
      <c r="L212" s="66" t="s">
        <v>3565</v>
      </c>
      <c r="M212" s="8" t="str">
        <f>IF(mgmt_cl01_vds01_link_type_chosen="VDS Uplinks","This input is masked out as you have chosen to configure VDS Uplinks","")</f>
        <v>This input is masked out as you have chosen to configure VDS Uplinks</v>
      </c>
    </row>
    <row r="213" spans="5:13" ht="20" customHeight="1" x14ac:dyDescent="0.2">
      <c r="E213" s="7"/>
      <c r="F213" s="7"/>
      <c r="G213" s="7"/>
      <c r="H213" s="7"/>
      <c r="I213" s="7"/>
      <c r="J213" s="4" t="s">
        <v>750</v>
      </c>
      <c r="K213" s="65">
        <v>2</v>
      </c>
      <c r="L213" s="66"/>
      <c r="M213" s="8"/>
    </row>
    <row r="214" spans="5:13" ht="20" customHeight="1" x14ac:dyDescent="0.2">
      <c r="E214" s="7"/>
      <c r="F214" s="7"/>
      <c r="G214" s="7"/>
      <c r="H214" s="7"/>
      <c r="I214" s="7"/>
      <c r="J214" s="4" t="str">
        <f>IF(mgmt_cl01_vds01_link_type_chosen="VDS LAG",IF(mgmt_cl01_vds01_lag_name="Value Missing","lag-0",CONCATENATE(mgmt_cl01_vds01_lag_name,"-0")),"uplink1")</f>
        <v>uplink1</v>
      </c>
      <c r="K214" s="65" t="s">
        <v>849</v>
      </c>
      <c r="L214" s="66"/>
      <c r="M214" s="8"/>
    </row>
    <row r="215" spans="5:13" ht="20" customHeight="1" x14ac:dyDescent="0.2">
      <c r="E215" s="7"/>
      <c r="F215" s="7"/>
      <c r="G215" s="7"/>
      <c r="H215" s="7"/>
      <c r="I215" s="7"/>
      <c r="J215" s="4" t="str">
        <f>IF(mgmt_cl01_vds01_link_type_chosen="VDS LAG",IF(mgmt_cl01_vds01_lag_name="Value Missing","lag-1",CONCATENATE(mgmt_cl01_vds01_lag_name,"-1")),"uplink2")</f>
        <v>uplink2</v>
      </c>
      <c r="K215" s="65" t="s">
        <v>850</v>
      </c>
      <c r="L215" s="66"/>
      <c r="M215" s="8"/>
    </row>
    <row r="216" spans="5:13" ht="20" customHeight="1" x14ac:dyDescent="0.2">
      <c r="E216" s="7"/>
      <c r="F216" s="7"/>
      <c r="G216" s="7"/>
      <c r="H216" s="7"/>
      <c r="I216" s="7"/>
      <c r="J216" s="424" t="s">
        <v>787</v>
      </c>
      <c r="K216" s="425"/>
      <c r="L216" s="425"/>
      <c r="M216" s="426"/>
    </row>
    <row r="217" spans="5:13" ht="20" customHeight="1" x14ac:dyDescent="0.2">
      <c r="E217" s="7"/>
      <c r="F217" s="7"/>
      <c r="G217" s="7"/>
      <c r="H217" s="7"/>
      <c r="I217" s="7"/>
      <c r="J217" s="4" t="s">
        <v>3453</v>
      </c>
      <c r="K217" s="65" t="str">
        <f>CONCATENATE(this_instance,"-m01-cl01-vds02")</f>
        <v>sfo-m01-cl01-vds02</v>
      </c>
      <c r="L217" s="66"/>
      <c r="M217" s="8" t="str">
        <f>IF(mgmt_domain_existing_vcenter_chosen="Selected","Inputs are masked out as you have opted to import an existing vCenter Server",IF(mgmt_cl01_vds_profile_chosen="Default","This input is masked out due to VDS Profile selected",""))</f>
        <v>This input is masked out due to VDS Profile selected</v>
      </c>
    </row>
    <row r="218" spans="5:13" ht="20" customHeight="1" x14ac:dyDescent="0.2">
      <c r="E218" s="7"/>
      <c r="F218" s="7"/>
      <c r="G218" s="7"/>
      <c r="H218" s="7"/>
      <c r="I218" s="7"/>
      <c r="J218" s="4" t="s">
        <v>157</v>
      </c>
      <c r="K218" s="65">
        <v>9000</v>
      </c>
      <c r="L218" s="66"/>
      <c r="M218" s="8" t="str">
        <f>IF(mgmt_cl01_vds_profile_chosen="Default","This input is masked out due to VDS Profile selected","")</f>
        <v>This input is masked out due to VDS Profile selected</v>
      </c>
    </row>
    <row r="219" spans="5:13" ht="20" customHeight="1" x14ac:dyDescent="0.2">
      <c r="E219" s="7"/>
      <c r="F219" s="7"/>
      <c r="G219" s="7"/>
      <c r="H219" s="7"/>
      <c r="I219" s="7"/>
      <c r="J219" s="4" t="s">
        <v>3316</v>
      </c>
      <c r="K219" s="65" t="s">
        <v>3560</v>
      </c>
      <c r="L219" s="66" t="s">
        <v>3560</v>
      </c>
      <c r="M219" s="8" t="str">
        <f>IF(mgmt_cl01_vds_profile_chosen="Default","This input is masked out due to VDS Profile selected","")</f>
        <v>This input is masked out due to VDS Profile selected</v>
      </c>
    </row>
    <row r="220" spans="5:13" ht="20" customHeight="1" x14ac:dyDescent="0.2">
      <c r="E220" s="7"/>
      <c r="F220" s="7"/>
      <c r="G220" s="7"/>
      <c r="H220" s="7"/>
      <c r="I220" s="7"/>
      <c r="J220" s="4" t="s">
        <v>3561</v>
      </c>
      <c r="K220" s="65" t="str">
        <f>CONCATENATE("m01-cl01-vds2-lg")</f>
        <v>m01-cl01-vds2-lg</v>
      </c>
      <c r="L220" s="66"/>
      <c r="M220" s="8" t="str">
        <f>IF(mgmt_cl01_vds_profile_chosen="Default","This input is masked out due to VDS Profile selected",IF(mgmt_cl01_vds02_link_type_chosen="VDS Uplinks","This input is masked out as you have chosen to configure VDS Uplinks","There is a 16 Character Limit for LAG Name"))</f>
        <v>This input is masked out due to VDS Profile selected</v>
      </c>
    </row>
    <row r="221" spans="5:13" ht="20" customHeight="1" x14ac:dyDescent="0.2">
      <c r="E221" s="7"/>
      <c r="F221" s="7"/>
      <c r="G221" s="7"/>
      <c r="H221" s="7"/>
      <c r="I221" s="7"/>
      <c r="J221" s="4" t="s">
        <v>3562</v>
      </c>
      <c r="K221" s="65" t="s">
        <v>760</v>
      </c>
      <c r="L221" s="66" t="s">
        <v>760</v>
      </c>
      <c r="M221" s="8" t="str">
        <f>IF(mgmt_cl01_vds_profile_chosen="Default","This input is masked out due to VDS Profile selected",IF(mgmt_cl01_vds02_link_type_chosen="VDS Uplinks","This input is masked out as you have chosen to configure VDS Uplinks",""))</f>
        <v>This input is masked out due to VDS Profile selected</v>
      </c>
    </row>
    <row r="222" spans="5:13" ht="20" customHeight="1" x14ac:dyDescent="0.2">
      <c r="E222" s="7"/>
      <c r="F222" s="7"/>
      <c r="G222" s="7"/>
      <c r="H222" s="7"/>
      <c r="I222" s="7"/>
      <c r="J222" s="4" t="s">
        <v>3563</v>
      </c>
      <c r="K222" s="65" t="s">
        <v>3580</v>
      </c>
      <c r="L222" s="66" t="s">
        <v>3580</v>
      </c>
      <c r="M222" s="8" t="str">
        <f>IF(mgmt_cl01_vds_profile_chosen="Default","This input is masked out due to VDS Profile selected",IF(mgmt_cl01_vds02_link_type_chosen="VDS Uplinks","This input is masked out as you have chosen to configure VDS Uplinks",""))</f>
        <v>This input is masked out due to VDS Profile selected</v>
      </c>
    </row>
    <row r="223" spans="5:13" ht="20" customHeight="1" x14ac:dyDescent="0.2">
      <c r="E223" s="7"/>
      <c r="F223" s="7"/>
      <c r="G223" s="7"/>
      <c r="H223" s="7"/>
      <c r="I223" s="7"/>
      <c r="J223" s="4" t="s">
        <v>3564</v>
      </c>
      <c r="K223" s="65" t="s">
        <v>3565</v>
      </c>
      <c r="L223" s="66" t="s">
        <v>3565</v>
      </c>
      <c r="M223" s="8" t="str">
        <f>IF(mgmt_cl01_vds_profile_chosen="Default","This input is masked out due to VDS Profile selected",IF(mgmt_cl01_vds02_link_type_chosen="VDS Uplinks","This input is masked out as you have chosen to configure VDS Uplinks",""))</f>
        <v>This input is masked out due to VDS Profile selected</v>
      </c>
    </row>
    <row r="224" spans="5:13" ht="20" customHeight="1" x14ac:dyDescent="0.2">
      <c r="E224" s="7"/>
      <c r="F224" s="7"/>
      <c r="G224" s="7"/>
      <c r="H224" s="7"/>
      <c r="I224" s="7"/>
      <c r="J224" s="4" t="s">
        <v>750</v>
      </c>
      <c r="K224" s="65">
        <v>2</v>
      </c>
      <c r="L224" s="66"/>
      <c r="M224" s="8" t="str">
        <f>IF(mgmt_cl01_vds_profile_chosen="Default","This input is masked out due to VDS Profile selected","")</f>
        <v>This input is masked out due to VDS Profile selected</v>
      </c>
    </row>
    <row r="225" spans="1:13" ht="20" customHeight="1" x14ac:dyDescent="0.2">
      <c r="E225" s="7"/>
      <c r="F225" s="7"/>
      <c r="G225" s="7"/>
      <c r="H225" s="7"/>
      <c r="I225" s="7"/>
      <c r="J225" s="4" t="str">
        <f>IF(mgmt_cl01_vds02_link_type_chosen="VDS LAG",IF(mgmt_cl01_vds02_lag_name="Value Missing","lag-0",CONCATENATE(mgmt_cl01_vds02_lag_name,"-0")),"uplink1")</f>
        <v>uplink1</v>
      </c>
      <c r="K225" s="65" t="s">
        <v>3459</v>
      </c>
      <c r="L225" s="66"/>
      <c r="M225" s="8" t="str">
        <f>IF(mgmt_cl01_vds_profile_chosen="Default","This input is masked out due to VDS Profile selected","")</f>
        <v>This input is masked out due to VDS Profile selected</v>
      </c>
    </row>
    <row r="226" spans="1:13" ht="20" customHeight="1" x14ac:dyDescent="0.2">
      <c r="J226" s="4" t="str">
        <f>IF(mgmt_cl01_vds02_link_type_chosen="VDS LAG",IF(mgmt_cl01_vds02_lag_name="Value Missing","lag-1",CONCATENATE(mgmt_cl01_vds02_lag_name,"-1")),"uplink2")</f>
        <v>uplink2</v>
      </c>
      <c r="K226" s="65" t="s">
        <v>3460</v>
      </c>
      <c r="L226" s="66"/>
      <c r="M226" s="8" t="str">
        <f>IF(mgmt_cl01_vds_profile_chosen="Default","This input is masked out due to VDS Profile selected","")</f>
        <v>This input is masked out due to VDS Profile selected</v>
      </c>
    </row>
    <row r="227" spans="1:13" s="112" customFormat="1" ht="20" customHeight="1" x14ac:dyDescent="0.2">
      <c r="A227" s="7"/>
      <c r="B227" s="7"/>
      <c r="C227" s="7"/>
      <c r="D227" s="7"/>
      <c r="E227" s="7"/>
      <c r="F227" s="7"/>
      <c r="G227" s="7"/>
      <c r="H227" s="7"/>
      <c r="I227" s="7"/>
      <c r="J227" s="424" t="s">
        <v>790</v>
      </c>
      <c r="K227" s="425"/>
      <c r="L227" s="425"/>
      <c r="M227" s="426"/>
    </row>
    <row r="228" spans="1:13" s="112" customFormat="1" ht="20" customHeight="1" x14ac:dyDescent="0.2">
      <c r="A228" s="7"/>
      <c r="B228" s="7"/>
      <c r="C228" s="7"/>
      <c r="D228" s="7"/>
      <c r="E228" s="7"/>
      <c r="F228" s="7"/>
      <c r="G228" s="7"/>
      <c r="H228" s="7"/>
      <c r="I228" s="7"/>
      <c r="J228" s="4" t="s">
        <v>3453</v>
      </c>
      <c r="K228" s="65" t="str">
        <f>CONCATENATE(this_instance,"-m01-cl01-vds03")</f>
        <v>sfo-m01-cl01-vds03</v>
      </c>
      <c r="L228" s="66"/>
      <c r="M228" s="8" t="str">
        <f>IF(mgmt_domain_existing_vcenter_chosen="Selected","Inputs are masked out as you have opted to import an existing vCenter Server",IF(mgmt_cl01_vds_profile_chosen&lt;&gt;"Storage Traffic and NSX Traffic Separation","This input is masked out due to VDS Profile selected",""))</f>
        <v>This input is masked out due to VDS Profile selected</v>
      </c>
    </row>
    <row r="229" spans="1:13" s="112" customFormat="1" ht="20" customHeight="1" x14ac:dyDescent="0.2">
      <c r="A229" s="7"/>
      <c r="B229" s="7"/>
      <c r="C229" s="7"/>
      <c r="D229" s="7"/>
      <c r="E229" s="7"/>
      <c r="F229" s="7"/>
      <c r="G229" s="7"/>
      <c r="H229" s="7"/>
      <c r="I229" s="7"/>
      <c r="J229" s="4" t="s">
        <v>157</v>
      </c>
      <c r="K229" s="65">
        <v>9000</v>
      </c>
      <c r="L229" s="66"/>
      <c r="M229" s="8" t="str">
        <f>IF(mgmt_domain_existing_vcenter_chosen="Selected","Inputs are masked out as you have opted to import an existing vCenter Server",IF(mgmt_cl01_vds_profile_chosen&lt;&gt;"Storage Traffic and NSX Traffic Separation","This input is masked out due to VDS Profile selected",""))</f>
        <v>This input is masked out due to VDS Profile selected</v>
      </c>
    </row>
    <row r="230" spans="1:13" s="112" customFormat="1" ht="20" customHeight="1" x14ac:dyDescent="0.2">
      <c r="A230" s="7"/>
      <c r="B230" s="7"/>
      <c r="C230" s="7"/>
      <c r="D230" s="7"/>
      <c r="E230" s="7"/>
      <c r="F230" s="7"/>
      <c r="G230" s="7"/>
      <c r="H230" s="7"/>
      <c r="I230" s="7"/>
      <c r="J230" s="4" t="s">
        <v>3316</v>
      </c>
      <c r="K230" s="65" t="s">
        <v>3560</v>
      </c>
      <c r="L230" s="66" t="s">
        <v>3560</v>
      </c>
      <c r="M230" s="8" t="str">
        <f>IF(mgmt_domain_existing_vcenter_chosen="Selected","Inputs are masked out as you have opted to import an existing vCenter Server",IF(mgmt_cl01_vds_profile_chosen&lt;&gt;"Storage Traffic and NSX Traffic Separation","This input is masked out due to VDS Profile selected",""))</f>
        <v>This input is masked out due to VDS Profile selected</v>
      </c>
    </row>
    <row r="231" spans="1:13" s="112" customFormat="1" ht="20" customHeight="1" x14ac:dyDescent="0.2">
      <c r="A231" s="7"/>
      <c r="B231" s="7"/>
      <c r="C231" s="7"/>
      <c r="D231" s="7"/>
      <c r="E231" s="7"/>
      <c r="F231" s="7"/>
      <c r="G231" s="7"/>
      <c r="H231" s="7"/>
      <c r="I231" s="7"/>
      <c r="J231" s="4" t="s">
        <v>3561</v>
      </c>
      <c r="K231" s="65" t="str">
        <f>CONCATENATE("m01-cl01-vds3-lg")</f>
        <v>m01-cl01-vds3-lg</v>
      </c>
      <c r="L231" s="66"/>
      <c r="M231" s="8" t="str">
        <f>IF(mgmt_cl01_vds_profile_chosen&lt;&gt;"Storage Traffic and NSX Traffic Separation","This input is masked out due to VDS Profile selected",IF(mgmt_cl01_vds03_link_type_chosen="VDS Uplinks","This input is masked out as you have chosen to configure VDS Uplinks","There is a 16 Character Limit for LAG Name"))</f>
        <v>This input is masked out due to VDS Profile selected</v>
      </c>
    </row>
    <row r="232" spans="1:13" s="112" customFormat="1" ht="20" customHeight="1" x14ac:dyDescent="0.2">
      <c r="A232" s="7"/>
      <c r="B232" s="7"/>
      <c r="C232" s="7"/>
      <c r="D232" s="7"/>
      <c r="E232" s="7"/>
      <c r="F232" s="7"/>
      <c r="G232" s="7"/>
      <c r="H232" s="7"/>
      <c r="I232" s="7"/>
      <c r="J232" s="4" t="s">
        <v>3562</v>
      </c>
      <c r="K232" s="65" t="s">
        <v>760</v>
      </c>
      <c r="L232" s="66" t="s">
        <v>760</v>
      </c>
      <c r="M232" s="8" t="str">
        <f>IF(mgmt_cl01_vds_profile_chosen&lt;&gt;"Storage Traffic and NSX Traffic Separation","This input is masked out due to VDS Profile selected",IF(mgmt_cl01_vds03_link_type_chosen="VDS Uplinks","This input is masked out as you have chosen to configure VDS Uplinks",""))</f>
        <v>This input is masked out due to VDS Profile selected</v>
      </c>
    </row>
    <row r="233" spans="1:13" s="112" customFormat="1" ht="20" customHeight="1" x14ac:dyDescent="0.2">
      <c r="A233" s="7"/>
      <c r="B233" s="7"/>
      <c r="C233" s="7"/>
      <c r="D233" s="7"/>
      <c r="E233" s="7"/>
      <c r="F233" s="7"/>
      <c r="G233" s="7"/>
      <c r="H233" s="7"/>
      <c r="I233" s="7"/>
      <c r="J233" s="4" t="s">
        <v>3563</v>
      </c>
      <c r="K233" s="65" t="s">
        <v>3580</v>
      </c>
      <c r="L233" s="66" t="s">
        <v>3580</v>
      </c>
      <c r="M233" s="8" t="str">
        <f>IF(mgmt_cl01_vds_profile_chosen&lt;&gt;"Storage Traffic and NSX Traffic Separation","This input is masked out due to VDS Profile selected",IF(mgmt_cl01_vds03_link_type_chosen="VDS Uplinks","This input is masked out as you have chosen to configure VDS Uplinks",""))</f>
        <v>This input is masked out due to VDS Profile selected</v>
      </c>
    </row>
    <row r="234" spans="1:13" s="112" customFormat="1" ht="20" customHeight="1" x14ac:dyDescent="0.2">
      <c r="A234" s="7"/>
      <c r="B234" s="7"/>
      <c r="C234" s="7"/>
      <c r="D234" s="7"/>
      <c r="E234" s="7"/>
      <c r="F234" s="7"/>
      <c r="G234" s="7"/>
      <c r="H234" s="7"/>
      <c r="I234" s="7"/>
      <c r="J234" s="4" t="s">
        <v>3564</v>
      </c>
      <c r="K234" s="65" t="s">
        <v>3565</v>
      </c>
      <c r="L234" s="66" t="s">
        <v>3565</v>
      </c>
      <c r="M234" s="8" t="str">
        <f>IF(mgmt_cl01_vds_profile_chosen&lt;&gt;"Storage Traffic and NSX Traffic Separation","This input is masked out due to VDS Profile selected",IF(mgmt_cl01_vds03_link_type_chosen="VDS Uplinks","This input is masked out as you have chosen to configure VDS Uplinks",""))</f>
        <v>This input is masked out due to VDS Profile selected</v>
      </c>
    </row>
    <row r="235" spans="1:13" s="112" customFormat="1" ht="20" customHeight="1" x14ac:dyDescent="0.2">
      <c r="A235" s="7"/>
      <c r="B235" s="7"/>
      <c r="C235" s="7"/>
      <c r="D235" s="7"/>
      <c r="E235" s="7"/>
      <c r="F235" s="7"/>
      <c r="G235" s="7"/>
      <c r="H235" s="7"/>
      <c r="I235" s="7"/>
      <c r="J235" s="4" t="s">
        <v>750</v>
      </c>
      <c r="K235" s="65">
        <v>2</v>
      </c>
      <c r="L235" s="66"/>
      <c r="M235" s="8" t="str">
        <f>IF(mgmt_cl01_vds_profile_chosen="Default","This input is masked out due to VDS Profile selected","")</f>
        <v>This input is masked out due to VDS Profile selected</v>
      </c>
    </row>
    <row r="236" spans="1:13" ht="20" customHeight="1" x14ac:dyDescent="0.2">
      <c r="E236" s="7"/>
      <c r="F236" s="7"/>
      <c r="G236" s="7"/>
      <c r="H236" s="7"/>
      <c r="I236" s="7"/>
      <c r="J236" s="4" t="str">
        <f>IF(mgmt_cl01_vds03_link_type_chosen="VDS LAG",IF(mgmt_cl01_vds03_lag_name="Value Missing","lag-0",CONCATENATE(mgmt_cl01_vds03_lag_name,"-0")),"uplink1")</f>
        <v>uplink1</v>
      </c>
      <c r="K236" s="65" t="s">
        <v>3461</v>
      </c>
      <c r="L236" s="66"/>
      <c r="M236" s="8" t="str">
        <f>IF(mgmt_cl01_vds_profile_chosen="Default","This input is masked out due to VDS Profile selected","")</f>
        <v>This input is masked out due to VDS Profile selected</v>
      </c>
    </row>
    <row r="237" spans="1:13" ht="20" customHeight="1" x14ac:dyDescent="0.2">
      <c r="E237" s="7"/>
      <c r="F237" s="7"/>
      <c r="G237" s="7"/>
      <c r="H237" s="7"/>
      <c r="I237" s="7"/>
      <c r="J237" s="4" t="str">
        <f>IF(mgmt_cl01_vds03_link_type_chosen="VDS LAG",IF(mgmt_cl01_vds03_lag_name="Value Missing","lag-1",CONCATENATE(mgmt_cl01_vds03_lag_name,"-1")),"uplink2")</f>
        <v>uplink2</v>
      </c>
      <c r="K237" s="65" t="s">
        <v>3462</v>
      </c>
      <c r="L237" s="66"/>
      <c r="M237" s="8" t="str">
        <f>IF(mgmt_cl01_vds_profile_chosen="Default","This input is masked out due to VDS Profile selected","")</f>
        <v>This input is masked out due to VDS Profile selected</v>
      </c>
    </row>
    <row r="238" spans="1:13" ht="20" customHeight="1" x14ac:dyDescent="0.2">
      <c r="E238" s="7"/>
      <c r="F238" s="7"/>
      <c r="G238" s="7"/>
      <c r="H238" s="7"/>
      <c r="I238" s="7"/>
      <c r="J238" s="58" t="s">
        <v>3862</v>
      </c>
      <c r="K238" s="59"/>
      <c r="L238" s="59"/>
      <c r="M238" s="60"/>
    </row>
    <row r="239" spans="1:13" ht="20" customHeight="1" x14ac:dyDescent="0.2">
      <c r="E239" s="7"/>
      <c r="F239" s="7"/>
      <c r="G239" s="7"/>
      <c r="H239" s="7"/>
      <c r="I239" s="7"/>
      <c r="J239" s="4" t="s">
        <v>180</v>
      </c>
      <c r="K239" s="65" t="str">
        <f>CONCATENATE(this_instance,"-m01-cl01-vds01-pg-esx-mgmt")</f>
        <v>sfo-m01-cl01-vds01-pg-esx-mgmt</v>
      </c>
      <c r="L239" s="115"/>
      <c r="M239" s="8" t="str">
        <f>IF(mgmt_domain_existing_vcenter_chosen="Selected","Inputs are masked out as you have opted to import an existing vCenter Server","Portgroup will be created on Primary Distributed Switch")</f>
        <v>Portgroup will be created on Primary Distributed Switch</v>
      </c>
    </row>
    <row r="240" spans="1:13" ht="20" customHeight="1" x14ac:dyDescent="0.2">
      <c r="E240" s="7"/>
      <c r="F240" s="7"/>
      <c r="G240" s="7"/>
      <c r="H240" s="7"/>
      <c r="I240" s="7"/>
      <c r="J240" s="4" t="s">
        <v>757</v>
      </c>
      <c r="K240" s="65" t="s">
        <v>758</v>
      </c>
      <c r="L240" s="66" t="s">
        <v>758</v>
      </c>
      <c r="M240" s="8" t="str">
        <f>IF(mgmt_cl01_vds01_link_type_chosen="VDS Lag","This input is masked out as you have chosen to configure VDS LAG","")</f>
        <v/>
      </c>
    </row>
    <row r="241" spans="5:13" ht="20" customHeight="1" x14ac:dyDescent="0.2">
      <c r="E241" s="7"/>
      <c r="F241" s="7"/>
      <c r="G241" s="7"/>
      <c r="H241" s="7"/>
      <c r="I241" s="7"/>
      <c r="J241" s="4" t="s">
        <v>759</v>
      </c>
      <c r="K241" s="65" t="s">
        <v>760</v>
      </c>
      <c r="L241" s="66" t="s">
        <v>760</v>
      </c>
      <c r="M241" s="8" t="str">
        <f>IF(mgmt_cl01_vds01_link_type_chosen="VDS Lag","This input is masked out as you have chosen to configure VDS LAG","")</f>
        <v/>
      </c>
    </row>
    <row r="242" spans="5:13" ht="20" customHeight="1" x14ac:dyDescent="0.2">
      <c r="E242" s="7"/>
      <c r="F242" s="7"/>
      <c r="G242" s="7"/>
      <c r="H242" s="7"/>
      <c r="I242" s="7"/>
      <c r="J242" s="4" t="s">
        <v>761</v>
      </c>
      <c r="K242" s="65" t="s">
        <v>760</v>
      </c>
      <c r="L242" s="66" t="s">
        <v>760</v>
      </c>
      <c r="M242" s="8" t="str">
        <f>IF(mgmt_cl01_vds01_link_type_chosen="VDS Lag","This input is masked out as you have chosen to configure VDS LAG","")</f>
        <v/>
      </c>
    </row>
    <row r="243" spans="5:13" ht="20" customHeight="1" x14ac:dyDescent="0.2">
      <c r="E243" s="7"/>
      <c r="F243" s="7"/>
      <c r="G243" s="7"/>
      <c r="H243" s="7"/>
      <c r="I243" s="7"/>
      <c r="J243" s="58" t="s">
        <v>762</v>
      </c>
      <c r="K243" s="59"/>
      <c r="L243" s="59"/>
      <c r="M243" s="60"/>
    </row>
    <row r="244" spans="5:13" ht="20" customHeight="1" x14ac:dyDescent="0.2">
      <c r="E244" s="7"/>
      <c r="F244" s="7"/>
      <c r="G244" s="7"/>
      <c r="H244" s="7"/>
      <c r="I244" s="7"/>
      <c r="J244" s="4" t="s">
        <v>180</v>
      </c>
      <c r="K244" s="65" t="str">
        <f>CONCATENATE(this_instance,"-m01-cl01-vds01-pg-vm-mgmt")</f>
        <v>sfo-m01-cl01-vds01-pg-vm-mgmt</v>
      </c>
      <c r="L244" s="115"/>
      <c r="M244" s="8" t="str">
        <f>IF(mgmt_domain_existing_vcenter_chosen="Selected","Inputs are masked out as you have opted to import an existing vCenter Server","Portgroup will be created on Primary Distributed Switch")</f>
        <v>Portgroup will be created on Primary Distributed Switch</v>
      </c>
    </row>
    <row r="245" spans="5:13" ht="20" customHeight="1" x14ac:dyDescent="0.2">
      <c r="E245" s="7"/>
      <c r="F245" s="7"/>
      <c r="G245" s="7"/>
      <c r="H245" s="7"/>
      <c r="I245" s="7"/>
      <c r="J245" s="4" t="s">
        <v>757</v>
      </c>
      <c r="K245" s="65" t="s">
        <v>758</v>
      </c>
      <c r="L245" s="66" t="s">
        <v>758</v>
      </c>
      <c r="M245" s="8" t="str">
        <f>IF(mgmt_cl01_vds01_link_type_chosen="VDS Lag","This input is masked out as you have chosen to configure VDS LAG","")</f>
        <v/>
      </c>
    </row>
    <row r="246" spans="5:13" ht="20" customHeight="1" x14ac:dyDescent="0.2">
      <c r="E246" s="7"/>
      <c r="F246" s="7"/>
      <c r="G246" s="7"/>
      <c r="H246" s="7"/>
      <c r="I246" s="7"/>
      <c r="J246" s="4" t="s">
        <v>759</v>
      </c>
      <c r="K246" s="65" t="s">
        <v>760</v>
      </c>
      <c r="L246" s="66" t="s">
        <v>760</v>
      </c>
      <c r="M246" s="8" t="str">
        <f>IF(mgmt_cl01_vds01_link_type_chosen="VDS Lag","This input is masked out as you have chosen to configure VDS LAG","")</f>
        <v/>
      </c>
    </row>
    <row r="247" spans="5:13" ht="20" customHeight="1" x14ac:dyDescent="0.2">
      <c r="E247" s="7"/>
      <c r="F247" s="7"/>
      <c r="G247" s="7"/>
      <c r="H247" s="7"/>
      <c r="I247" s="7"/>
      <c r="J247" s="4" t="s">
        <v>761</v>
      </c>
      <c r="K247" s="65" t="s">
        <v>760</v>
      </c>
      <c r="L247" s="66" t="s">
        <v>760</v>
      </c>
      <c r="M247" s="8" t="str">
        <f>IF(mgmt_cl01_vds01_link_type_chosen="VDS Lag","This input is masked out as you have chosen to configure VDS LAG","")</f>
        <v/>
      </c>
    </row>
    <row r="248" spans="5:13" ht="20" customHeight="1" x14ac:dyDescent="0.2">
      <c r="E248" s="7"/>
      <c r="F248" s="7"/>
      <c r="G248" s="7"/>
      <c r="H248" s="7"/>
      <c r="I248" s="7"/>
      <c r="J248" s="424" t="s">
        <v>3863</v>
      </c>
      <c r="K248" s="425"/>
      <c r="L248" s="425"/>
      <c r="M248" s="426"/>
    </row>
    <row r="249" spans="5:13" ht="20" customHeight="1" x14ac:dyDescent="0.2">
      <c r="E249" s="7"/>
      <c r="F249" s="7"/>
      <c r="G249" s="7"/>
      <c r="H249" s="7"/>
      <c r="I249" s="7"/>
      <c r="J249" s="4" t="s">
        <v>180</v>
      </c>
      <c r="K249" s="65" t="str">
        <f>CONCATENATE(this_instance,"-m01-cl01-vds01-pg-vcf-mgmt")</f>
        <v>sfo-m01-cl01-vds01-pg-vcf-mgmt</v>
      </c>
      <c r="L249" s="66"/>
      <c r="M249" s="333"/>
    </row>
    <row r="250" spans="5:13" ht="20" customHeight="1" x14ac:dyDescent="0.2">
      <c r="E250" s="7"/>
      <c r="F250" s="7"/>
      <c r="G250" s="7"/>
      <c r="H250" s="7"/>
      <c r="I250" s="7"/>
      <c r="J250" s="4" t="s">
        <v>757</v>
      </c>
      <c r="K250" s="65" t="s">
        <v>758</v>
      </c>
      <c r="L250" s="66" t="s">
        <v>758</v>
      </c>
      <c r="M250" s="333"/>
    </row>
    <row r="251" spans="5:13" ht="20" customHeight="1" x14ac:dyDescent="0.2">
      <c r="E251" s="7"/>
      <c r="F251" s="7"/>
      <c r="G251" s="7"/>
      <c r="H251" s="7"/>
      <c r="I251" s="7"/>
      <c r="J251" s="4" t="s">
        <v>759</v>
      </c>
      <c r="K251" s="65" t="s">
        <v>760</v>
      </c>
      <c r="L251" s="66" t="s">
        <v>760</v>
      </c>
      <c r="M251" s="333"/>
    </row>
    <row r="252" spans="5:13" ht="20" customHeight="1" x14ac:dyDescent="0.2">
      <c r="E252" s="7"/>
      <c r="F252" s="7"/>
      <c r="G252" s="7"/>
      <c r="H252" s="7"/>
      <c r="I252" s="7"/>
      <c r="J252" s="4" t="s">
        <v>761</v>
      </c>
      <c r="K252" s="65" t="s">
        <v>760</v>
      </c>
      <c r="L252" s="66" t="s">
        <v>760</v>
      </c>
      <c r="M252" s="333"/>
    </row>
    <row r="253" spans="5:13" ht="20" customHeight="1" x14ac:dyDescent="0.2">
      <c r="E253" s="7"/>
      <c r="F253" s="7"/>
      <c r="G253" s="7"/>
      <c r="H253" s="7"/>
      <c r="I253" s="7"/>
      <c r="J253" s="58" t="s">
        <v>763</v>
      </c>
      <c r="K253" s="59"/>
      <c r="L253" s="59"/>
      <c r="M253" s="60"/>
    </row>
    <row r="254" spans="5:13" ht="20" customHeight="1" x14ac:dyDescent="0.2">
      <c r="E254" s="7"/>
      <c r="F254" s="7"/>
      <c r="G254" s="7"/>
      <c r="H254" s="7"/>
      <c r="I254" s="7"/>
      <c r="J254" s="4" t="s">
        <v>180</v>
      </c>
      <c r="K254" s="65" t="str">
        <f>CONCATENATE(this_instance,"-m01-cl01-vds01-pg-vmotion")</f>
        <v>sfo-m01-cl01-vds01-pg-vmotion</v>
      </c>
      <c r="L254" s="66"/>
      <c r="M254" s="8" t="str">
        <f>IF(mgmt_domain_existing_vcenter_chosen="Selected","Inputs are masked out as you have opted to import an existing vCenter Server","Portgroup will be created on Primary Distributed Switch")</f>
        <v>Portgroup will be created on Primary Distributed Switch</v>
      </c>
    </row>
    <row r="255" spans="5:13" ht="20" customHeight="1" x14ac:dyDescent="0.2">
      <c r="E255" s="7"/>
      <c r="F255" s="7"/>
      <c r="G255" s="7"/>
      <c r="H255" s="7"/>
      <c r="I255" s="7"/>
      <c r="J255" s="4" t="s">
        <v>757</v>
      </c>
      <c r="K255" s="65" t="s">
        <v>758</v>
      </c>
      <c r="L255" s="66" t="s">
        <v>758</v>
      </c>
      <c r="M255" s="8" t="str">
        <f>IF(mgmt_cl01_vds01_link_type_chosen="VDS Lag","This input is masked out as you have chosen to configure VDS LAG","")</f>
        <v/>
      </c>
    </row>
    <row r="256" spans="5:13" ht="20" customHeight="1" x14ac:dyDescent="0.2">
      <c r="E256" s="7"/>
      <c r="F256" s="7"/>
      <c r="G256" s="7"/>
      <c r="H256" s="7"/>
      <c r="I256" s="7"/>
      <c r="J256" s="4" t="s">
        <v>759</v>
      </c>
      <c r="K256" s="65" t="s">
        <v>760</v>
      </c>
      <c r="L256" s="66" t="s">
        <v>760</v>
      </c>
      <c r="M256" s="8" t="str">
        <f>IF(mgmt_cl01_vds01_link_type_chosen="VDS Lag","This input is masked out as you have chosen to configure VDS LAG","")</f>
        <v/>
      </c>
    </row>
    <row r="257" spans="5:14" ht="20" customHeight="1" x14ac:dyDescent="0.2">
      <c r="E257" s="7"/>
      <c r="F257" s="7"/>
      <c r="G257" s="7"/>
      <c r="H257" s="7"/>
      <c r="I257" s="7"/>
      <c r="J257" s="4" t="s">
        <v>761</v>
      </c>
      <c r="K257" s="65" t="s">
        <v>760</v>
      </c>
      <c r="L257" s="66" t="s">
        <v>760</v>
      </c>
      <c r="M257" s="8" t="str">
        <f>IF(mgmt_cl01_vds01_link_type_chosen="VDS Lag","This input is masked out as you have chosen to configure VDS LAG","")</f>
        <v/>
      </c>
    </row>
    <row r="258" spans="5:14" ht="20" customHeight="1" x14ac:dyDescent="0.2">
      <c r="E258" s="7"/>
      <c r="F258" s="7"/>
      <c r="G258" s="7"/>
      <c r="H258" s="7"/>
      <c r="I258" s="7"/>
      <c r="J258" s="58" t="s">
        <v>764</v>
      </c>
      <c r="K258" s="59"/>
      <c r="L258" s="59"/>
      <c r="M258" s="60"/>
    </row>
    <row r="259" spans="5:14" ht="20" customHeight="1" x14ac:dyDescent="0.2">
      <c r="E259" s="7"/>
      <c r="F259" s="7"/>
      <c r="G259" s="7"/>
      <c r="H259" s="7"/>
      <c r="I259" s="7"/>
      <c r="J259" s="4" t="s">
        <v>180</v>
      </c>
      <c r="K259" s="65" t="str">
        <f>IF(mgmt_cl01_vds_profile_chosen="Storage Traffic Separation",CONCATENATE(this_instance,"-m01-cl01-vds02-pg-vsan"),
IF(mgmt_cl01_vds_profile_chosen="NSX Traffic Separation",CONCATENATE(this_instance,"-m01-cl01-vds01-pg-vsan"),
IF(mgmt_cl01_vds_profile_chosen="Storage Traffic and NSX Traffic Separation",CONCATENATE(this_instance,"-m01-cl01-vds02-pg-vsan"),CONCATENATE(this_instance,"-m01-cl01-vds01-pg-vsan"))))</f>
        <v>sfo-m01-cl01-vds01-pg-vsan</v>
      </c>
      <c r="L259" s="66"/>
      <c r="M259" s="8" t="str">
        <f>IF(mgmt_domain_existing_vcenter_chosen="Selected","Inputs are masked out as you have opted to import an existing vCenter Server",
IF(mgmt_cl01_vds_profile_chosen="Storage Traffic Separation","Portgroup will be created on Secondary Distributed Switch",
IF(mgmt_cl01_vds_profile_chosen="NSX Traffic Separation","Portgroup will be created on Primary Distributed Switch",
IF(mgmt_cl01_vds_profile_chosen="Storage Traffic and NSX Traffic Separation","Portgroup will be created on Secondary Distributed Switch",
IF(mgmt_cl01_vds_profile_chosen="Custom","","Portgroup will be created on Primary Distributed Switch")))))</f>
        <v>Portgroup will be created on Primary Distributed Switch</v>
      </c>
    </row>
    <row r="260" spans="5:14" ht="20" customHeight="1" x14ac:dyDescent="0.2">
      <c r="E260" s="7"/>
      <c r="F260" s="7"/>
      <c r="G260" s="7"/>
      <c r="H260" s="7"/>
      <c r="I260" s="7"/>
      <c r="J260" s="4" t="s">
        <v>757</v>
      </c>
      <c r="K260" s="65" t="s">
        <v>758</v>
      </c>
      <c r="L260" s="66" t="s">
        <v>758</v>
      </c>
      <c r="M260" s="8" t="str">
        <f>IF(AND(mgmt_cl01_vds_profile_chosen="Default",mgmt_cl01_vds01_link_type_chosen="VDS Lag"),"This input is masked out as you have chosen to configure VDS LAG",
IF(AND(mgmt_cl01_vds_profile_chosen="NSX Traffic Separation",mgmt_cl01_vds01_link_type_chosen="VDS Lag"),"This input is masked out as you have chosen to configure VDS LAG",
IF(AND(mgmt_cl01_vds_profile_chosen="Storage Traffic and NSX Traffic Separation",mgmt_cl01_vds02_link_type_chosen="VDS Lag"),"This input is masked out as you have chosen to configure VDS LAG",
IF(AND(mgmt_cl01_vds_profile_chosen="Storage Traffic Separation",mgmt_cl01_vds02_link_type_chosen="VDS Lag"),"This input is masked out as you have chosen to configure VDS LAG",""))))</f>
        <v/>
      </c>
    </row>
    <row r="261" spans="5:14" ht="20" customHeight="1" x14ac:dyDescent="0.2">
      <c r="E261" s="7"/>
      <c r="F261" s="7"/>
      <c r="G261" s="7"/>
      <c r="H261" s="7"/>
      <c r="I261" s="7"/>
      <c r="J261" s="4" t="s">
        <v>759</v>
      </c>
      <c r="K261" s="65" t="s">
        <v>760</v>
      </c>
      <c r="L261" s="66" t="s">
        <v>760</v>
      </c>
      <c r="M261" s="8" t="str">
        <f>IF(AND(mgmt_cl01_vds_profile_chosen="Default",mgmt_cl01_vds01_link_type_chosen="VDS Lag"),"This input is masked out as you have chosen to configure VDS LAG",
IF(AND(mgmt_cl01_vds_profile_chosen="NSX Traffic Separation",mgmt_cl01_vds01_link_type_chosen="VDS Lag"),"This input is masked out as you have chosen to configure VDS LAG",
IF(AND(mgmt_cl01_vds_profile_chosen="Storage Traffic and NSX Traffic Separation",mgmt_cl01_vds02_link_type_chosen="VDS Lag"),"This input is masked out as you have chosen to configure VDS LAG",
IF(AND(mgmt_cl01_vds_profile_chosen="Storage Traffic Separation",mgmt_cl01_vds02_link_type_chosen="VDS Lag"),"This input is masked out as you have chosen to configure VDS LAG",""))))</f>
        <v/>
      </c>
    </row>
    <row r="262" spans="5:14" ht="20" customHeight="1" x14ac:dyDescent="0.2">
      <c r="E262" s="7"/>
      <c r="F262" s="7"/>
      <c r="G262" s="7"/>
      <c r="H262" s="7"/>
      <c r="I262" s="7"/>
      <c r="J262" s="4" t="s">
        <v>761</v>
      </c>
      <c r="K262" s="65" t="s">
        <v>760</v>
      </c>
      <c r="L262" s="66" t="s">
        <v>760</v>
      </c>
      <c r="M262" s="8" t="str">
        <f>IF(AND(mgmt_cl01_vds_profile_chosen="Default",mgmt_cl01_vds01_link_type_chosen="VDS Lag"),"This input is masked out as you have chosen to configure VDS LAG",
IF(AND(mgmt_cl01_vds_profile_chosen="NSX Traffic Separation",mgmt_cl01_vds01_link_type_chosen="VDS Lag"),"This input is masked out as you have chosen to configure VDS LAG",
IF(AND(mgmt_cl01_vds_profile_chosen="Storage Traffic and NSX Traffic Separation",mgmt_cl01_vds02_link_type_chosen="VDS Lag"),"This input is masked out as you have chosen to configure VDS LAG",
IF(AND(mgmt_cl01_vds_profile_chosen="Storage Traffic Separation",mgmt_cl01_vds02_link_type_chosen="VDS Lag"),"This input is masked out as you have chosen to configure VDS LAG",""))))</f>
        <v/>
      </c>
    </row>
    <row r="263" spans="5:14" ht="20" customHeight="1" x14ac:dyDescent="0.2">
      <c r="E263" s="7"/>
      <c r="F263" s="7"/>
      <c r="G263" s="7"/>
      <c r="H263" s="7"/>
      <c r="I263" s="7"/>
      <c r="J263" s="58" t="s">
        <v>3454</v>
      </c>
      <c r="K263" s="59"/>
      <c r="L263" s="59"/>
      <c r="M263" s="60"/>
    </row>
    <row r="264" spans="5:14" ht="20" customHeight="1" x14ac:dyDescent="0.2">
      <c r="E264" s="7"/>
      <c r="F264" s="7"/>
      <c r="G264" s="7"/>
      <c r="H264" s="7"/>
      <c r="I264" s="7"/>
      <c r="J264" s="4" t="s">
        <v>180</v>
      </c>
      <c r="K264" s="65" t="str">
        <f>IF(mgmt_cl01_vds_profile_chosen="Storage Traffic Separation",CONCATENATE(this_instance,"-m01-cl01-vds02-pg-nfs"),
IF(mgmt_cl01_vds_profile_chosen="NSX Traffic Separation",CONCATENATE(this_instance,"-m01-cl01-vds01-pg-nfs"),
IF(mgmt_cl01_vds_profile_chosen="Storage Traffic and NSX Traffic Separation",CONCATENATE(this_instance,"-m01-cl01-vds02-pg-nfs"),CONCATENATE(this_instance,"-m01-cl01-vds01-pg-nfs"))))</f>
        <v>sfo-m01-cl01-vds01-pg-nfs</v>
      </c>
      <c r="L264" s="66"/>
      <c r="M264" s="8" t="str">
        <f>IF(mgmt_domain_existing_vcenter_chosen="Selected","Inputs are masked out as you have opted to import an existing vCenter Server",IF(mgmt_principal_storage_chosen&lt;&gt;"NFSv3","This input is masked out and only required if configuring NFS Storage",
IF(mgmt_cl01_vds_profile_chosen="Storage Traffic Separation","Portgroup will be created on Secondary Distributed Switch",
IF(mgmt_cl01_vds_profile_chosen="NSX Traffic Separation","Portgroup will be created on Primary Distributed Switch",
IF(mgmt_cl01_vds_profile_chosen="Storage Traffic and NSX Traffic Separation","Portgroup will be created on Secondary Distributed Switch",
IF(mgmt_cl01_vds_profile_chosen="Custom","","Portgroup will be created on Primary Distributed Switch"))))))</f>
        <v>This input is masked out and only required if configuring NFS Storage</v>
      </c>
    </row>
    <row r="265" spans="5:14" ht="20" customHeight="1" x14ac:dyDescent="0.2">
      <c r="E265" s="7"/>
      <c r="F265" s="7"/>
      <c r="G265" s="7"/>
      <c r="H265" s="7"/>
      <c r="I265" s="7"/>
      <c r="J265" s="4" t="s">
        <v>757</v>
      </c>
      <c r="K265" s="65" t="s">
        <v>758</v>
      </c>
      <c r="L265" s="66" t="s">
        <v>758</v>
      </c>
      <c r="M265" s="8"/>
    </row>
    <row r="266" spans="5:14" ht="20" customHeight="1" x14ac:dyDescent="0.2">
      <c r="J266" s="4" t="s">
        <v>759</v>
      </c>
      <c r="K266" s="65" t="s">
        <v>760</v>
      </c>
      <c r="L266" s="66" t="s">
        <v>760</v>
      </c>
      <c r="M266" s="8"/>
    </row>
    <row r="267" spans="5:14" ht="20" customHeight="1" x14ac:dyDescent="0.2">
      <c r="E267" s="7"/>
      <c r="F267" s="7"/>
      <c r="G267" s="7"/>
      <c r="H267" s="7"/>
      <c r="I267" s="7"/>
      <c r="J267" s="4" t="s">
        <v>761</v>
      </c>
      <c r="K267" s="65" t="s">
        <v>760</v>
      </c>
      <c r="L267" s="66" t="s">
        <v>760</v>
      </c>
      <c r="M267" s="8"/>
    </row>
    <row r="268" spans="5:14" ht="20" customHeight="1" x14ac:dyDescent="0.2">
      <c r="E268" s="7"/>
      <c r="F268" s="7"/>
      <c r="G268" s="7"/>
      <c r="H268" s="7"/>
      <c r="I268" s="7"/>
      <c r="J268" s="424" t="s">
        <v>766</v>
      </c>
      <c r="K268" s="425"/>
      <c r="L268" s="425"/>
      <c r="M268" s="426"/>
    </row>
    <row r="269" spans="5:14" ht="20" customHeight="1" x14ac:dyDescent="0.2">
      <c r="E269" s="7"/>
      <c r="F269" s="7"/>
      <c r="G269" s="7"/>
      <c r="H269" s="7"/>
      <c r="I269" s="7"/>
      <c r="J269" s="4" t="s">
        <v>767</v>
      </c>
      <c r="K269" s="65" t="s">
        <v>156</v>
      </c>
      <c r="L269" s="66" t="s">
        <v>156</v>
      </c>
      <c r="M269" s="8" t="s">
        <v>3803</v>
      </c>
      <c r="N269" s="9" t="str">
        <f>IF(mgmt_domain_existing_vcenter_chosen="Selected","Inputs are masked out as you have opted to import an existing vCenter Server",
IF(mgmt_cl01_vds_profile_chosen="Storage Traffic Separation","Overlay Traffic will be configured on Primary Distributed Switch",
IF(mgmt_cl01_vds_profile_chosen="NSX Traffic Separation","Overlay Traffic will be configured on Secondary Distributed Switch",
IF(mgmt_cl01_vds_profile_chosen="Storage Traffic and NSX Traffic Separation","Overlay Traffic will be configured on Tertiary Distributed Switch",
IF(mgmt_cl01_vds_profile_chosen="Custom","","Overlay Traffic will be configured on Primary Distributed Switch")))))</f>
        <v>Overlay Traffic will be configured on Primary Distributed Switch</v>
      </c>
    </row>
    <row r="270" spans="5:14" ht="20" customHeight="1" x14ac:dyDescent="0.2">
      <c r="E270" s="7"/>
      <c r="F270" s="7"/>
      <c r="G270" s="7"/>
      <c r="H270" s="7"/>
      <c r="I270" s="7"/>
      <c r="J270" s="4" t="s">
        <v>3455</v>
      </c>
      <c r="K270" s="65" t="s">
        <v>3456</v>
      </c>
      <c r="L270" s="66" t="s">
        <v>3456</v>
      </c>
      <c r="M270" s="8" t="str">
        <f>IF(mgmt_nsx_default_operation_mode_chosen="Selected","Inputs are masked out as you have opted to apply the default operational mode - Enhanced Datapath Standard","")</f>
        <v>Inputs are masked out as you have opted to apply the default operational mode - Enhanced Datapath Standard</v>
      </c>
    </row>
    <row r="271" spans="5:14" ht="20" customHeight="1" x14ac:dyDescent="0.2">
      <c r="E271" s="7"/>
      <c r="F271" s="7"/>
      <c r="G271" s="7"/>
      <c r="H271" s="7"/>
      <c r="I271" s="7"/>
      <c r="J271" s="4" t="s">
        <v>757</v>
      </c>
      <c r="K271" s="65" t="s">
        <v>3457</v>
      </c>
      <c r="L271" s="66" t="s">
        <v>3457</v>
      </c>
      <c r="M271" s="8" t="str">
        <f>IF(AND(mgmt_cl01_vds_profile_chosen="Default",mgmt_cl01_vds01_link_type_chosen="VDS Lag"),"This input is masked out as you have chosen to configure VDS LAG",
IF(AND(mgmt_cl01_vds_profile_chosen="NSX Traffic Separation",mgmt_cl01_vds02_link_type_chosen="VDS Lag"),"This input is masked out as you have chosen to configure VDS LAG",
IF(AND(mgmt_cl01_vds_profile_chosen="Storage Traffic and NSX Traffic Separation",mgmt_cl01_vds03_link_type_chosen="VDS Lag"),"This input is masked out as you have chosen to configure VDS LAG",
IF(AND(mgmt_cl01_vds_profile_chosen="Storage Traffic Separation",mgmt_cl01_vds01_link_type_chosen="VDS Lag"),"This input is masked out as you have chosen to configure VDS LAG",""))))</f>
        <v/>
      </c>
    </row>
    <row r="272" spans="5:14" ht="20" customHeight="1" x14ac:dyDescent="0.2">
      <c r="E272" s="7"/>
      <c r="F272" s="7"/>
      <c r="G272" s="7"/>
      <c r="H272" s="7"/>
      <c r="I272" s="7"/>
      <c r="J272" s="4" t="s">
        <v>759</v>
      </c>
      <c r="K272" s="65" t="s">
        <v>760</v>
      </c>
      <c r="L272" s="66" t="s">
        <v>760</v>
      </c>
      <c r="M272" s="8" t="str">
        <f>IF(AND(mgmt_cl01_vds_profile_chosen="Default",mgmt_cl01_vds01_link_type_chosen="VDS Lag"),"This input is masked out as you have chosen to configure VDS LAG",
IF(AND(mgmt_cl01_vds_profile_chosen="NSX Traffic Separation",mgmt_cl01_vds02_link_type_chosen="VDS Lag"),"This input is masked out as you have chosen to configure VDS LAG",
IF(AND(mgmt_cl01_vds_profile_chosen="Storage Traffic and NSX Traffic Separation",mgmt_cl01_vds03_link_type_chosen="VDS Lag"),"This input is masked out as you have chosen to configure VDS LAG",
IF(AND(mgmt_cl01_vds_profile_chosen="Storage Traffic Separation",mgmt_cl01_vds01_link_type_chosen="VDS Lag"),"This input is masked out as you have chosen to configure VDS LAG",""))))</f>
        <v/>
      </c>
    </row>
    <row r="273" spans="5:13" ht="20" customHeight="1" x14ac:dyDescent="0.2">
      <c r="E273" s="7"/>
      <c r="F273" s="7"/>
      <c r="G273" s="7"/>
      <c r="H273" s="7"/>
      <c r="I273" s="7"/>
      <c r="J273" s="4" t="s">
        <v>761</v>
      </c>
      <c r="K273" s="65" t="s">
        <v>760</v>
      </c>
      <c r="L273" s="66" t="s">
        <v>760</v>
      </c>
      <c r="M273" s="8" t="str">
        <f>IF(AND(mgmt_cl01_vds_profile_chosen="Default",mgmt_cl01_vds01_link_type_chosen="VDS Lag"),"This input is masked out as you have chosen to configure VDS LAG",
IF(AND(mgmt_cl01_vds_profile_chosen="NSX Traffic Separation",mgmt_cl01_vds02_link_type_chosen="VDS Lag"),"This input is masked out as you have chosen to configure VDS LAG",
IF(AND(mgmt_cl01_vds_profile_chosen="Storage Traffic and NSX Traffic Separation",mgmt_cl01_vds03_link_type_chosen="VDS Lag"),"This input is masked out as you have chosen to configure VDS LAG",
IF(AND(mgmt_cl01_vds_profile_chosen="Storage Traffic Separation",mgmt_cl01_vds01_link_type_chosen="VDS Lag"),"This input is masked out as you have chosen to configure VDS LAG",""))))</f>
        <v/>
      </c>
    </row>
    <row r="274" spans="5:13" ht="20" customHeight="1" x14ac:dyDescent="0.2">
      <c r="E274" s="7"/>
      <c r="F274" s="7"/>
      <c r="G274" s="7"/>
      <c r="H274" s="7"/>
      <c r="I274" s="7"/>
      <c r="J274" s="97"/>
      <c r="K274" s="97"/>
      <c r="L274" s="97"/>
      <c r="M274" s="102"/>
    </row>
    <row r="275" spans="5:13" ht="34" customHeight="1" x14ac:dyDescent="0.2">
      <c r="E275" s="7"/>
      <c r="F275" s="7"/>
      <c r="G275" s="7"/>
      <c r="H275" s="7"/>
      <c r="I275" s="7"/>
      <c r="J275" s="427" t="s">
        <v>680</v>
      </c>
      <c r="K275" s="428"/>
      <c r="L275" s="428"/>
      <c r="M275" s="429"/>
    </row>
    <row r="276" spans="5:13" ht="20" customHeight="1" x14ac:dyDescent="0.2">
      <c r="E276" s="7"/>
      <c r="F276" s="7"/>
      <c r="G276" s="7"/>
      <c r="H276" s="7"/>
      <c r="I276" s="7"/>
      <c r="J276" s="424" t="s">
        <v>3423</v>
      </c>
      <c r="K276" s="425"/>
      <c r="L276" s="425"/>
      <c r="M276" s="426"/>
    </row>
    <row r="277" spans="5:13" ht="20" customHeight="1" x14ac:dyDescent="0.2">
      <c r="E277" s="7"/>
      <c r="F277" s="7"/>
      <c r="G277" s="7"/>
      <c r="H277" s="7"/>
      <c r="I277" s="7"/>
      <c r="J277" s="63" t="s">
        <v>18</v>
      </c>
      <c r="K277" s="63" t="s">
        <v>19</v>
      </c>
      <c r="L277" s="63" t="s">
        <v>20</v>
      </c>
      <c r="M277" s="63" t="s">
        <v>21</v>
      </c>
    </row>
    <row r="278" spans="5:13" ht="20" customHeight="1" x14ac:dyDescent="0.2">
      <c r="E278" s="7"/>
      <c r="F278" s="7"/>
      <c r="G278" s="7"/>
      <c r="H278" s="7"/>
      <c r="I278" s="7"/>
      <c r="J278" s="4" t="s">
        <v>203</v>
      </c>
      <c r="K278" s="109" t="str">
        <f>CONCATENATE(this_instance,"-m01-nsx01",".",sample_child_dns_zone)</f>
        <v>sfo-m01-nsx01.sfo.rainpole.io</v>
      </c>
      <c r="L278" s="101"/>
      <c r="M278" s="8"/>
    </row>
    <row r="279" spans="5:13" ht="20" customHeight="1" x14ac:dyDescent="0.2">
      <c r="E279" s="7"/>
      <c r="F279" s="7"/>
      <c r="G279" s="7"/>
      <c r="H279" s="7"/>
      <c r="I279" s="7"/>
      <c r="J279" s="4" t="s">
        <v>687</v>
      </c>
      <c r="K279" s="109" t="str">
        <f>CONCATENATE(this_instance,"-m01-nsx01a",".",sample_child_dns_zone)</f>
        <v>sfo-m01-nsx01a.sfo.rainpole.io</v>
      </c>
      <c r="L279" s="66"/>
      <c r="M279" s="8" t="str">
        <f>IF(mgmt_domain_existing_nsx_manager_chosen="Selected","Inputs are masked out as you have opted to deploy with an existing NSX Cluster","")</f>
        <v/>
      </c>
    </row>
    <row r="280" spans="5:13" ht="20" customHeight="1" x14ac:dyDescent="0.2">
      <c r="E280" s="7"/>
      <c r="F280" s="7"/>
      <c r="G280" s="7"/>
      <c r="H280" s="7"/>
      <c r="I280" s="7"/>
      <c r="J280" s="4" t="s">
        <v>1115</v>
      </c>
      <c r="K280" s="109" t="str">
        <f>CONCATENATE(this_instance,"-m01-nsx01b",".",sample_child_dns_zone)</f>
        <v>sfo-m01-nsx01b.sfo.rainpole.io</v>
      </c>
      <c r="L280" s="66"/>
      <c r="M280" s="8" t="str">
        <f>IF(mgmt_domain_existing_nsx_manager_chosen="Selected","Inputs are masked out as you have opted to deploy with an existing NSX Cluster","")</f>
        <v/>
      </c>
    </row>
    <row r="281" spans="5:13" ht="20" customHeight="1" x14ac:dyDescent="0.2">
      <c r="E281" s="7"/>
      <c r="F281" s="7"/>
      <c r="G281" s="7"/>
      <c r="H281" s="7"/>
      <c r="I281" s="7"/>
      <c r="J281" s="4" t="s">
        <v>1116</v>
      </c>
      <c r="K281" s="109" t="str">
        <f>CONCATENATE(this_instance,"-m01-nsx01c",".",sample_child_dns_zone)</f>
        <v>sfo-m01-nsx01c.sfo.rainpole.io</v>
      </c>
      <c r="L281" s="66"/>
      <c r="M281" s="8" t="str">
        <f>IF(mgmt_domain_existing_nsx_manager_chosen="Selected","Inputs are masked out as you have opted to deploy with an existing NSX Cluster","")</f>
        <v/>
      </c>
    </row>
    <row r="282" spans="5:13" ht="20" customHeight="1" x14ac:dyDescent="0.2">
      <c r="E282" s="7"/>
      <c r="F282" s="7"/>
      <c r="G282" s="7"/>
      <c r="I282" s="7"/>
      <c r="J282" s="4" t="s">
        <v>3826</v>
      </c>
      <c r="K282" s="65" t="s">
        <v>142</v>
      </c>
      <c r="L282" s="66" t="s">
        <v>142</v>
      </c>
      <c r="M282" s="8" t="str">
        <f>IF(mgmt_domain_existing_nsx_manager_chosen="Unselected","Input is masked out and only required if importing an NSX Instance","")</f>
        <v>Input is masked out and only required if importing an NSX Instance</v>
      </c>
    </row>
    <row r="283" spans="5:13" ht="20" customHeight="1" x14ac:dyDescent="0.2">
      <c r="E283" s="7"/>
      <c r="F283" s="7"/>
      <c r="G283" s="7"/>
      <c r="I283" s="7"/>
      <c r="J283" s="67" t="s">
        <v>3843</v>
      </c>
      <c r="K283" s="65" t="s">
        <v>142</v>
      </c>
      <c r="L283" s="66" t="s">
        <v>142</v>
      </c>
      <c r="M283" s="8" t="str">
        <f>IF(mgmt_domain_existing_vcenter_chosen="Selected","If this option is unselected. NSX will be configured in VLAN transport zone mode","Input is masked out and only required if importing an existing vCenter ")</f>
        <v xml:space="preserve">Input is masked out and only required if importing an existing vCenter </v>
      </c>
    </row>
    <row r="284" spans="5:13" ht="20" customHeight="1" x14ac:dyDescent="0.2">
      <c r="E284" s="7"/>
      <c r="F284" s="7"/>
      <c r="G284" s="7"/>
      <c r="H284" s="7"/>
      <c r="I284" s="7"/>
      <c r="J284" s="424" t="s">
        <v>3710</v>
      </c>
      <c r="K284" s="425"/>
      <c r="L284" s="425"/>
      <c r="M284" s="426"/>
    </row>
    <row r="285" spans="5:13" ht="20" customHeight="1" x14ac:dyDescent="0.2">
      <c r="E285" s="7"/>
      <c r="F285" s="7"/>
      <c r="G285" s="7"/>
      <c r="H285" s="7"/>
      <c r="I285" s="7"/>
      <c r="J285" s="4" t="s">
        <v>85</v>
      </c>
      <c r="K285" s="65">
        <v>1198</v>
      </c>
      <c r="L285" s="390"/>
      <c r="M285" s="8" t="s">
        <v>3728</v>
      </c>
    </row>
    <row r="286" spans="5:13" ht="20" customHeight="1" x14ac:dyDescent="0.2">
      <c r="E286" s="7"/>
      <c r="F286" s="7"/>
      <c r="G286" s="7"/>
      <c r="H286" s="7"/>
      <c r="I286" s="7"/>
      <c r="J286" s="4" t="s">
        <v>727</v>
      </c>
      <c r="K286" s="65" t="s">
        <v>87</v>
      </c>
      <c r="L286" s="390"/>
      <c r="M286" s="8"/>
    </row>
    <row r="287" spans="5:13" ht="20" customHeight="1" x14ac:dyDescent="0.2">
      <c r="E287" s="7"/>
      <c r="F287" s="7"/>
      <c r="G287" s="7"/>
      <c r="H287" s="7"/>
      <c r="I287" s="7"/>
      <c r="J287" s="97"/>
      <c r="K287" s="102"/>
      <c r="L287" s="102"/>
      <c r="M287" s="102"/>
    </row>
    <row r="288" spans="5:13" ht="34" customHeight="1" x14ac:dyDescent="0.2">
      <c r="E288" s="7"/>
      <c r="F288" s="7"/>
      <c r="G288" s="7"/>
      <c r="H288" s="7"/>
      <c r="I288" s="7"/>
      <c r="J288" s="427" t="s">
        <v>1420</v>
      </c>
      <c r="K288" s="428"/>
      <c r="L288" s="428"/>
      <c r="M288" s="429"/>
    </row>
    <row r="289" spans="5:13" ht="20" customHeight="1" x14ac:dyDescent="0.2">
      <c r="E289" s="7"/>
      <c r="F289" s="7"/>
      <c r="G289" s="7"/>
      <c r="H289" s="7"/>
      <c r="I289" s="7"/>
      <c r="J289" s="424" t="s">
        <v>3463</v>
      </c>
      <c r="K289" s="425"/>
      <c r="L289" s="425"/>
      <c r="M289" s="426"/>
    </row>
    <row r="290" spans="5:13" ht="20" customHeight="1" x14ac:dyDescent="0.2">
      <c r="E290" s="7"/>
      <c r="F290" s="7"/>
      <c r="G290" s="7"/>
      <c r="H290" s="7"/>
      <c r="I290" s="7"/>
      <c r="J290" s="63" t="s">
        <v>18</v>
      </c>
      <c r="K290" s="63" t="s">
        <v>19</v>
      </c>
      <c r="L290" s="63" t="s">
        <v>20</v>
      </c>
      <c r="M290" s="63" t="s">
        <v>21</v>
      </c>
    </row>
    <row r="291" spans="5:13" ht="20" customHeight="1" x14ac:dyDescent="0.2">
      <c r="E291" s="7"/>
      <c r="F291" s="7"/>
      <c r="G291" s="7"/>
      <c r="H291" s="7"/>
      <c r="I291" s="7"/>
      <c r="J291" s="4" t="s">
        <v>3464</v>
      </c>
      <c r="K291" s="109" t="s">
        <v>3465</v>
      </c>
      <c r="L291" s="66" t="s">
        <v>3465</v>
      </c>
      <c r="M291" s="4" t="str">
        <f>IF(mgmt_domain_deployment_type_chosen="VMware vSphere Foundation","",IF(mgmt_vcf_installer_location_chosen="Deployed outside management domain","During the deployment process, a new SDDC Manager appliance will be deployed.","During the deployment process, the VCF installer will be converted to the SDDC Manager Appliance"))</f>
        <v>During the deployment process, the VCF installer will be converted to the SDDC Manager Appliance</v>
      </c>
    </row>
    <row r="292" spans="5:13" ht="20" customHeight="1" x14ac:dyDescent="0.2">
      <c r="E292" s="7"/>
      <c r="F292" s="7"/>
      <c r="G292" s="7"/>
      <c r="H292" s="7"/>
      <c r="I292" s="7"/>
      <c r="J292" s="4" t="s">
        <v>3418</v>
      </c>
      <c r="K292" s="109" t="str">
        <f>CONCATENATE(this_instance,"-vcf01",".",sample_child_dns_zone)</f>
        <v>sfo-vcf01.sfo.rainpole.io</v>
      </c>
      <c r="L292" s="66"/>
      <c r="M292" s="5" t="str">
        <f>IF(mgmt_vcf_installer_location_chosen="Deployed outside management domain","","Ensure this FQDN is used when setting the VCF Installer FQDN")</f>
        <v>Ensure this FQDN is used when setting the VCF Installer FQDN</v>
      </c>
    </row>
    <row r="293" spans="5:13" ht="20" customHeight="1" x14ac:dyDescent="0.2">
      <c r="E293" s="7"/>
      <c r="F293" s="7"/>
      <c r="G293" s="7"/>
      <c r="H293" s="7"/>
      <c r="I293" s="7"/>
    </row>
    <row r="294" spans="5:13" ht="32" customHeight="1" x14ac:dyDescent="0.2">
      <c r="E294" s="7"/>
      <c r="F294" s="7"/>
      <c r="G294" s="7"/>
      <c r="H294" s="7"/>
      <c r="I294" s="7"/>
      <c r="J294" s="553" t="s">
        <v>3854</v>
      </c>
      <c r="K294" s="554"/>
      <c r="L294" s="554"/>
      <c r="M294" s="555"/>
    </row>
    <row r="295" spans="5:13" ht="20" customHeight="1" x14ac:dyDescent="0.2">
      <c r="E295" s="7"/>
      <c r="F295" s="7"/>
      <c r="G295" s="7"/>
      <c r="H295" s="7"/>
      <c r="I295" s="7"/>
      <c r="J295" s="63" t="s">
        <v>18</v>
      </c>
      <c r="K295" s="63" t="s">
        <v>19</v>
      </c>
      <c r="L295" s="63" t="s">
        <v>20</v>
      </c>
      <c r="M295" s="63" t="s">
        <v>21</v>
      </c>
    </row>
    <row r="296" spans="5:13" ht="19" customHeight="1" x14ac:dyDescent="0.2">
      <c r="E296" s="7"/>
      <c r="F296" s="7"/>
      <c r="G296" s="7"/>
      <c r="H296" s="7"/>
      <c r="I296" s="7"/>
      <c r="J296" s="4" t="s">
        <v>3413</v>
      </c>
      <c r="K296" s="65" t="s">
        <v>142</v>
      </c>
      <c r="L296" s="66" t="s">
        <v>156</v>
      </c>
      <c r="M296" s="8" t="str">
        <f>IF(mgmt_domain_password_creation_chosen="Unselected","Only supported via API. Use VCF.JSONGenerator to generate the JSON File once PnP is complete","Option is not visible VCF installer UI")</f>
        <v>Option is not visible VCF installer UI</v>
      </c>
    </row>
    <row r="297" spans="5:13" ht="20" customHeight="1" x14ac:dyDescent="0.2">
      <c r="E297" s="7"/>
      <c r="F297" s="7"/>
      <c r="G297" s="7"/>
      <c r="H297" s="7"/>
      <c r="I297" s="7"/>
      <c r="J297" s="424" t="s">
        <v>1118</v>
      </c>
      <c r="K297" s="425"/>
      <c r="L297" s="425"/>
      <c r="M297" s="426"/>
    </row>
    <row r="298" spans="5:13" ht="20" customHeight="1" x14ac:dyDescent="0.2">
      <c r="E298" s="7"/>
      <c r="F298" s="7"/>
      <c r="G298" s="7"/>
      <c r="H298" s="7"/>
      <c r="I298" s="7"/>
      <c r="J298" s="95" t="s">
        <v>3415</v>
      </c>
      <c r="K298" s="104" t="s">
        <v>139</v>
      </c>
      <c r="L298" s="407"/>
      <c r="M298" s="229" t="str">
        <f>IF(AND(mgmt_domain_password_creation_chosen="Selected",mgmt_domain_existing_vcf_operations_chosen="Unselected"),"Inputs are masked out as you have opted to deploy with system generated passwords","Minimum 15 Characters, 1 Uppercase, 1 Special")</f>
        <v>Inputs are masked out as you have opted to deploy with system generated passwords</v>
      </c>
    </row>
    <row r="299" spans="5:13" ht="20" customHeight="1" x14ac:dyDescent="0.2">
      <c r="E299" s="7"/>
      <c r="F299" s="7"/>
      <c r="G299" s="7"/>
      <c r="H299" s="7"/>
      <c r="I299" s="7"/>
      <c r="J299" s="4" t="s">
        <v>527</v>
      </c>
      <c r="K299" s="65" t="s">
        <v>139</v>
      </c>
      <c r="L299" s="408"/>
      <c r="M299" s="8" t="str">
        <f>IF(AND(mgmt_domain_password_creation_chosen="Selected",mgmt_domain_existing_vcf_operations_chosen="Unselected"),"Inputs are masked out as you have opted to deploy with system generated passwords","Minimum 15 Characters, 1 Uppercase, 1 Special")</f>
        <v>Inputs are masked out as you have opted to deploy with system generated passwords</v>
      </c>
    </row>
    <row r="300" spans="5:13" ht="20" customHeight="1" x14ac:dyDescent="0.2">
      <c r="E300" s="7"/>
      <c r="F300" s="7"/>
      <c r="G300" s="7"/>
      <c r="H300" s="7"/>
      <c r="I300" s="7"/>
      <c r="J300" s="424" t="s">
        <v>3760</v>
      </c>
      <c r="K300" s="425"/>
      <c r="L300" s="425"/>
      <c r="M300" s="426"/>
    </row>
    <row r="301" spans="5:13" ht="20" customHeight="1" x14ac:dyDescent="0.2">
      <c r="E301" s="7"/>
      <c r="F301" s="7"/>
      <c r="G301" s="7"/>
      <c r="H301" s="7"/>
      <c r="I301" s="7"/>
      <c r="J301" s="4" t="s">
        <v>527</v>
      </c>
      <c r="K301" s="65" t="s">
        <v>139</v>
      </c>
      <c r="L301" s="66"/>
      <c r="M301" s="8" t="str">
        <f>IF(mgmt_domain_password_creation_chosen="Selected","Inputs are masked out as you have opted to deploy with system generated passwords","Minimum 15 Characters, 1 Uppercase, 1 Special")</f>
        <v>Inputs are masked out as you have opted to deploy with system generated passwords</v>
      </c>
    </row>
    <row r="302" spans="5:13" ht="20" customHeight="1" x14ac:dyDescent="0.2">
      <c r="E302" s="7"/>
      <c r="F302" s="7"/>
      <c r="G302" s="7"/>
      <c r="H302" s="7"/>
      <c r="I302" s="7"/>
      <c r="J302" s="424" t="s">
        <v>3691</v>
      </c>
      <c r="K302" s="425"/>
      <c r="L302" s="425"/>
      <c r="M302" s="426"/>
    </row>
    <row r="303" spans="5:13" ht="20" customHeight="1" x14ac:dyDescent="0.2">
      <c r="E303" s="7"/>
      <c r="F303" s="7"/>
      <c r="G303" s="7"/>
      <c r="H303" s="7"/>
      <c r="I303" s="7"/>
      <c r="J303" s="4" t="s">
        <v>4005</v>
      </c>
      <c r="K303" s="105" t="s">
        <v>139</v>
      </c>
      <c r="L303" s="114"/>
      <c r="M303" s="8" t="str">
        <f t="shared" ref="M303" si="0">IF(mgmt_domain_password_creation_chosen="Selected","Inputs are masked out as you have opted to deploy with system generated passwords","Minimum 15 Characters, 1 Uppercase, 1 Special")</f>
        <v>Inputs are masked out as you have opted to deploy with system generated passwords</v>
      </c>
    </row>
    <row r="304" spans="5:13" ht="20" customHeight="1" x14ac:dyDescent="0.2">
      <c r="E304" s="7"/>
      <c r="F304" s="7"/>
      <c r="G304" s="7"/>
      <c r="H304" s="7"/>
      <c r="I304" s="7"/>
      <c r="J304" s="58" t="s">
        <v>3399</v>
      </c>
      <c r="K304" s="59"/>
      <c r="L304" s="59"/>
      <c r="M304" s="60"/>
    </row>
    <row r="305" spans="5:13" ht="20" customHeight="1" x14ac:dyDescent="0.2">
      <c r="E305" s="7"/>
      <c r="F305" s="7"/>
      <c r="G305" s="7"/>
      <c r="H305" s="7"/>
      <c r="I305" s="7"/>
      <c r="J305" s="4" t="s">
        <v>3415</v>
      </c>
      <c r="K305" s="65" t="s">
        <v>139</v>
      </c>
      <c r="L305" s="66"/>
      <c r="M305" s="8" t="str">
        <f>IF(OR(mgmt_domain_ops_automation_later_chosen="Selected",mgmt_domain_vcf_automation_later_chosen="Selected"),"Inputs are masked out as you have opted to deploy or import VCF Automation post MGMT Domain deployment",IF(mgmt_domain_password_creation_chosen="Selected","Inputs are masked out as you have opted to deploy with system generated passwords","Minimum 15 Characters, 1 Uppercase, 1 Special"))</f>
        <v>Inputs are masked out as you have opted to deploy with system generated passwords</v>
      </c>
    </row>
    <row r="306" spans="5:13" ht="20" customHeight="1" x14ac:dyDescent="0.2">
      <c r="E306" s="7"/>
      <c r="F306" s="7"/>
      <c r="G306" s="7"/>
      <c r="H306" s="7"/>
      <c r="I306" s="7"/>
      <c r="J306" s="4" t="s">
        <v>4005</v>
      </c>
      <c r="K306" s="65" t="s">
        <v>139</v>
      </c>
      <c r="L306" s="66"/>
      <c r="M306" s="8" t="str">
        <f>IF(OR(mgmt_domain_ops_automation_later_chosen="Selected",mgmt_domain_vcf_automation_later_chosen="Selected"),"Inputs are masked out as you have opted to deploy or import VCF Automation post MGMT Domain deployment",IF(mgmt_domain_password_creation_chosen="Selected","Inputs are masked out as you have opted to deploy with system generated passwords","Minimum 15 Characters, 1 Uppercase, 1 Special"))</f>
        <v>Inputs are masked out as you have opted to deploy with system generated passwords</v>
      </c>
    </row>
    <row r="307" spans="5:13" ht="20" customHeight="1" x14ac:dyDescent="0.2">
      <c r="E307" s="7"/>
      <c r="F307" s="7"/>
      <c r="G307" s="7"/>
      <c r="H307" s="7"/>
      <c r="I307" s="7"/>
      <c r="J307" s="58" t="s">
        <v>4004</v>
      </c>
      <c r="K307" s="59"/>
      <c r="L307" s="59"/>
      <c r="M307" s="60"/>
    </row>
    <row r="308" spans="5:13" ht="20" customHeight="1" x14ac:dyDescent="0.2">
      <c r="E308" s="7"/>
      <c r="F308" s="7"/>
      <c r="G308" s="7"/>
      <c r="H308" s="7"/>
      <c r="I308" s="7"/>
      <c r="J308" s="4" t="s">
        <v>3415</v>
      </c>
      <c r="K308" s="65" t="s">
        <v>139</v>
      </c>
      <c r="L308" s="66"/>
      <c r="M308" s="8" t="str">
        <f>IF(mgmt_domain_existing_vcenter_chosen="Selected","",IF(mgmt_domain_password_creation_chosen="Selected","Inputs are masked out as you have opted deploy with system generated passwords","Minimum 15 Characters, 1 Uppercase, 1 Special"))</f>
        <v>Inputs are masked out as you have opted deploy with system generated passwords</v>
      </c>
    </row>
    <row r="309" spans="5:13" ht="20" customHeight="1" x14ac:dyDescent="0.2">
      <c r="E309" s="7"/>
      <c r="F309" s="7"/>
      <c r="G309" s="7"/>
      <c r="H309" s="7"/>
      <c r="I309" s="7"/>
      <c r="J309" s="4" t="s">
        <v>527</v>
      </c>
      <c r="K309" s="65" t="s">
        <v>139</v>
      </c>
      <c r="L309" s="66"/>
      <c r="M309" s="8" t="str">
        <f>IF(mgmt_domain_existing_vcenter_chosen="Selected","",IF(mgmt_domain_password_creation_chosen="Selected","Inputs are masked out as you have opted deploy with system generated passwords","Minimum 15 Characters, 1 Uppercase, 1 Special"))</f>
        <v>Inputs are masked out as you have opted deploy with system generated passwords</v>
      </c>
    </row>
    <row r="310" spans="5:13" ht="20" customHeight="1" x14ac:dyDescent="0.2">
      <c r="E310" s="7"/>
      <c r="F310" s="7"/>
      <c r="G310" s="7"/>
      <c r="H310" s="7"/>
      <c r="I310" s="7"/>
      <c r="J310" s="58" t="s">
        <v>680</v>
      </c>
      <c r="K310" s="59"/>
      <c r="L310" s="59"/>
      <c r="M310" s="60"/>
    </row>
    <row r="311" spans="5:13" ht="20" customHeight="1" x14ac:dyDescent="0.2">
      <c r="E311" s="7"/>
      <c r="F311" s="7"/>
      <c r="G311" s="7"/>
      <c r="H311" s="7"/>
      <c r="I311" s="7"/>
      <c r="J311" s="4" t="s">
        <v>3415</v>
      </c>
      <c r="K311" s="65" t="s">
        <v>139</v>
      </c>
      <c r="L311" s="66"/>
      <c r="M311" s="8" t="str">
        <f>IF(mgmt_domain_password_creation_chosen="Selected","Inputs are masked out as you have opted to deploy with system generated passwords","Minimum 12 Characters, 1 Uppercase, 1 Special")</f>
        <v>Inputs are masked out as you have opted to deploy with system generated passwords</v>
      </c>
    </row>
    <row r="312" spans="5:13" ht="20" customHeight="1" x14ac:dyDescent="0.2">
      <c r="E312" s="7"/>
      <c r="F312" s="7"/>
      <c r="G312" s="7"/>
      <c r="H312" s="7"/>
      <c r="I312" s="7"/>
      <c r="J312" s="4" t="s">
        <v>527</v>
      </c>
      <c r="K312" s="65" t="s">
        <v>139</v>
      </c>
      <c r="L312" s="66"/>
      <c r="M312" s="8" t="str">
        <f>IF(mgmt_domain_password_creation_chosen="Selected","Inputs are masked out as you have opted to deploy with system generated passwords","Minimum 12 Characters, 1 Uppercase, 1 Special")</f>
        <v>Inputs are masked out as you have opted to deploy with system generated passwords</v>
      </c>
    </row>
    <row r="313" spans="5:13" ht="20" customHeight="1" x14ac:dyDescent="0.2">
      <c r="E313" s="7"/>
      <c r="F313" s="7"/>
      <c r="G313" s="7"/>
      <c r="H313" s="7"/>
      <c r="I313" s="7"/>
      <c r="J313" s="4" t="s">
        <v>725</v>
      </c>
      <c r="K313" s="65" t="s">
        <v>139</v>
      </c>
      <c r="L313" s="66"/>
      <c r="M313" s="8" t="str">
        <f>IF(mgmt_domain_password_creation_chosen="Selected","Inputs are masked out as you have opted to deploy with system generated passwords","Minimum 12 Characters, 1 Uppercase, 1 Special")</f>
        <v>Inputs are masked out as you have opted to deploy with system generated passwords</v>
      </c>
    </row>
    <row r="314" spans="5:13" ht="20" customHeight="1" x14ac:dyDescent="0.2">
      <c r="E314" s="7"/>
      <c r="F314" s="7"/>
      <c r="G314" s="7"/>
      <c r="H314" s="7"/>
      <c r="I314" s="7"/>
      <c r="J314" s="58" t="s">
        <v>1420</v>
      </c>
      <c r="K314" s="59"/>
      <c r="L314" s="59"/>
      <c r="M314" s="60"/>
    </row>
    <row r="315" spans="5:13" ht="20" customHeight="1" x14ac:dyDescent="0.2">
      <c r="E315" s="7"/>
      <c r="F315" s="7"/>
      <c r="G315" s="7"/>
      <c r="H315" s="7"/>
      <c r="I315" s="7"/>
      <c r="J315" s="4" t="s">
        <v>527</v>
      </c>
      <c r="K315" s="65" t="s">
        <v>139</v>
      </c>
      <c r="L315" s="66"/>
      <c r="M315" s="8" t="str">
        <f>IF(mgmt_domain_password_creation_chosen="Selected","Inputs are masked out as you have opted to deploy with system generated passwords","Minimum 12 Characters, 1 Uppercase, 1 Special")</f>
        <v>Inputs are masked out as you have opted to deploy with system generated passwords</v>
      </c>
    </row>
    <row r="316" spans="5:13" ht="20" customHeight="1" x14ac:dyDescent="0.2">
      <c r="E316" s="7"/>
      <c r="F316" s="7"/>
      <c r="G316" s="7"/>
      <c r="H316" s="7"/>
      <c r="I316" s="7"/>
      <c r="J316" s="4" t="s">
        <v>3466</v>
      </c>
      <c r="K316" s="65" t="s">
        <v>139</v>
      </c>
      <c r="L316" s="66"/>
      <c r="M316" s="8" t="str">
        <f>IF(mgmt_domain_password_creation_chosen="Selected","Inputs are masked out as you have opted to deploy with system generated passwords","Minimum 12 Characters, 1 Uppercase, 1 Special")</f>
        <v>Inputs are masked out as you have opted to deploy with system generated passwords</v>
      </c>
    </row>
    <row r="317" spans="5:13" ht="20" customHeight="1" x14ac:dyDescent="0.2">
      <c r="E317" s="7"/>
      <c r="F317" s="7"/>
      <c r="G317" s="7"/>
      <c r="H317" s="7"/>
      <c r="I317" s="7"/>
      <c r="J317" s="4" t="s">
        <v>3415</v>
      </c>
      <c r="K317" s="65" t="s">
        <v>139</v>
      </c>
      <c r="L317" s="66"/>
      <c r="M317" s="8" t="str">
        <f>IF(mgmt_domain_password_creation_chosen="Selected","Inputs are masked out as you have opted to deploy with system generated passwords","Minimum 12 Characters, 1 Uppercase, 1 Special")</f>
        <v>Inputs are masked out as you have opted to deploy with system generated passwords</v>
      </c>
    </row>
    <row r="318" spans="5:13" ht="20" customHeight="1" x14ac:dyDescent="0.2">
      <c r="E318" s="7"/>
      <c r="F318" s="7"/>
      <c r="G318" s="7"/>
      <c r="H318" s="7"/>
      <c r="I318" s="7"/>
    </row>
    <row r="319" spans="5:13" ht="32" customHeight="1" x14ac:dyDescent="0.2">
      <c r="E319" s="7"/>
      <c r="F319" s="7"/>
      <c r="G319" s="7"/>
      <c r="H319" s="7"/>
      <c r="I319" s="7"/>
      <c r="J319" s="553" t="s">
        <v>3855</v>
      </c>
      <c r="K319" s="554"/>
      <c r="L319" s="554"/>
      <c r="M319" s="555"/>
    </row>
    <row r="320" spans="5:13" ht="20" customHeight="1" x14ac:dyDescent="0.2">
      <c r="E320" s="7"/>
      <c r="F320" s="7"/>
      <c r="G320" s="7"/>
      <c r="H320" s="7"/>
      <c r="I320" s="7"/>
      <c r="J320" s="63" t="s">
        <v>18</v>
      </c>
      <c r="K320" s="63" t="s">
        <v>19</v>
      </c>
      <c r="L320" s="63" t="s">
        <v>20</v>
      </c>
      <c r="M320" s="63" t="s">
        <v>21</v>
      </c>
    </row>
    <row r="321" spans="5:13" ht="20" customHeight="1" x14ac:dyDescent="0.2">
      <c r="E321" s="7"/>
      <c r="F321" s="7"/>
      <c r="G321" s="7"/>
      <c r="H321" s="7"/>
      <c r="I321" s="7"/>
      <c r="J321" s="4" t="s">
        <v>3810</v>
      </c>
      <c r="K321" s="65" t="s">
        <v>156</v>
      </c>
      <c r="L321" s="198" t="s">
        <v>142</v>
      </c>
      <c r="M321" s="8" t="str">
        <f>IF(mgmt_set_appliance_size_chosen="Unselected","Only supported via API. Use VCF.JSONGenerator to generate the JSON File once PnP is complete","Option is not visible VCF installer U -   Sample Values are size based on your Deployment Model and Size choice")</f>
        <v>Only supported via API. Use VCF.JSONGenerator to generate the JSON File once PnP is complete</v>
      </c>
    </row>
    <row r="322" spans="5:13" ht="20" customHeight="1" x14ac:dyDescent="0.2">
      <c r="E322" s="7"/>
      <c r="F322" s="7"/>
      <c r="G322" s="7"/>
      <c r="H322" s="7"/>
      <c r="I322" s="7"/>
      <c r="J322" s="424" t="s">
        <v>1118</v>
      </c>
      <c r="K322" s="425"/>
      <c r="L322" s="425"/>
      <c r="M322" s="426"/>
    </row>
    <row r="323" spans="5:13" ht="20" customHeight="1" x14ac:dyDescent="0.2">
      <c r="E323" s="7"/>
      <c r="F323" s="7"/>
      <c r="G323" s="7"/>
      <c r="H323" s="7"/>
      <c r="I323" s="7"/>
      <c r="J323" s="4" t="s">
        <v>686</v>
      </c>
      <c r="K323" s="65" t="str">
        <f>IF(mgmt_domain_vcf_operations_size_chosen="Medium","Large",
IF(mgmt_domain_vcf_operations_size_chosen="Large","Large","Small"))</f>
        <v>Large</v>
      </c>
      <c r="L323" s="66" t="s">
        <v>92</v>
      </c>
      <c r="M323" s="8" t="str">
        <f>IF(mgmt_domain_ops_automation_later_chosen="Selected","Inputs are masked out as you have opted to deploy VCF Ops and Automation post MGMT Domain deployment",CONCATENATE(IF(mgmt_vcfops_appliance_size_chosen="xsmall","2 vCPU, 8GB RAM, 274 GB Storage",
IF(mgmt_vcfops_appliance_size_chosen="small","4 vCPU, 16GB RAM, 274 GB Storage",
IF(mgmt_vcfops_appliance_size_chosen="medium","8 vCPU, 32GB RAM, 274 GB Storage",
IF(mgmt_vcfops_appliance_size_chosen="large","16 vCPU, 48GB RAM, 274 GB Storage",
IF(mgmt_vcfops_appliance_size_chosen="xLarge","24 vCPU, 128GB RAM, 274 GB Storage",
)))))," Per Appliance "))</f>
        <v xml:space="preserve">8 vCPU, 32GB RAM, 274 GB Storage Per Appliance </v>
      </c>
    </row>
    <row r="324" spans="5:13" ht="20" customHeight="1" x14ac:dyDescent="0.2">
      <c r="E324" s="7"/>
      <c r="F324" s="7"/>
      <c r="G324" s="7"/>
      <c r="H324" s="7"/>
      <c r="I324" s="7"/>
      <c r="J324" s="424" t="s">
        <v>3760</v>
      </c>
      <c r="K324" s="425"/>
      <c r="L324" s="425"/>
      <c r="M324" s="426"/>
    </row>
    <row r="325" spans="5:13" ht="20" customHeight="1" x14ac:dyDescent="0.2">
      <c r="E325" s="7"/>
      <c r="F325" s="7"/>
      <c r="G325" s="7"/>
      <c r="H325" s="7"/>
      <c r="I325" s="7"/>
      <c r="J325" s="4" t="s">
        <v>686</v>
      </c>
      <c r="K325" s="65" t="str">
        <f>IF(mgmt_domain_vcf_operations_size_chosen="Medium","Standard",
IF(mgmt_domain_vcf_operations_size_chosen="Large","Standard","Small"))</f>
        <v>Standard</v>
      </c>
      <c r="L325" s="66" t="s">
        <v>525</v>
      </c>
      <c r="M325" s="333" t="str">
        <f>IF(mgmt_vcfops_collector_size_chosen="Small","4 vCPU, 16GB RAM",
IF(mgmt_vcfops_collector_size_chosen="Standard","8 vCPU, 48GB RAM"))</f>
        <v>8 vCPU, 48GB RAM</v>
      </c>
    </row>
    <row r="326" spans="5:13" ht="20" customHeight="1" x14ac:dyDescent="0.2">
      <c r="E326" s="7"/>
      <c r="F326" s="7"/>
      <c r="G326" s="7"/>
      <c r="H326" s="7"/>
      <c r="I326" s="7"/>
      <c r="J326" s="424" t="s">
        <v>713</v>
      </c>
      <c r="K326" s="425"/>
      <c r="L326" s="425"/>
      <c r="M326" s="426"/>
    </row>
    <row r="327" spans="5:13" ht="20" customHeight="1" x14ac:dyDescent="0.2">
      <c r="E327" s="7"/>
      <c r="F327" s="7"/>
      <c r="G327" s="7"/>
      <c r="H327" s="7"/>
      <c r="I327" s="7"/>
      <c r="J327" s="4" t="s">
        <v>686</v>
      </c>
      <c r="K327" s="65" t="str">
        <f>IF(mgmt_domain_vcf_operations_size_chosen="Medium","Medium",
IF(mgmt_domain_vcf_operations_size_chosen="Large","Large",
IF(mgmt_domain_vcf_operations_ha_mode_chosen="Simple","Small")))</f>
        <v>Medium</v>
      </c>
      <c r="L327" s="66" t="s">
        <v>92</v>
      </c>
      <c r="M327" s="8" t="str">
        <f>IF(mgmt_domain_existing_vcenter_chosen="Selected","Inputs are masked out as you have opted to import an existing vCenter Server",
IF(mgmt_vcenter_appliance_size_chosen="Tiny","2 vCPU, 10GB RAM",
IF(mgmt_vcenter_appliance_size_chosen="Small","4 vCPU, 21GB RAM",
IF(mgmt_vcenter_appliance_size_chosen="Medium","8 vCPU, 30GB RAM",
IF(mgmt_vcenter_appliance_size_chosen="Large","16 vCPU, 39GB RAM",
IF(mgmt_vcenter_appliance_size_chosen="Extra Large","24 vCPU, 58GB  RAM",
))))))</f>
        <v>8 vCPU, 30GB RAM</v>
      </c>
    </row>
    <row r="328" spans="5:13" ht="20" customHeight="1" x14ac:dyDescent="0.2">
      <c r="E328" s="7"/>
      <c r="F328" s="7"/>
      <c r="G328" s="7"/>
      <c r="H328" s="7"/>
      <c r="I328" s="7"/>
      <c r="J328" s="95" t="s">
        <v>1103</v>
      </c>
      <c r="K328" s="65" t="str">
        <f>IF(mgmt_domain_vcf_operations_size_chosen="Medium","lstorage",
IF(mgmt_domain_vcf_operations_size_chosen="Large","xlstorage",
IF(mgmt_domain_vcf_operations_ha_mode_chosen="Simple","Default")))</f>
        <v>lstorage</v>
      </c>
      <c r="L328" s="66" t="s">
        <v>4127</v>
      </c>
      <c r="M328" s="8" t="str">
        <f>IF(mgmt_domain_existing_vcenter_chosen="Selected","Inputs are masked out as you have opted to import an existing vCenter Server",
CONCATENATE(VLOOKUP(CONCATENATE(mgmt_vcenter_appliance_size_chosen,mgmt_vcenter_storage_size_chosen),table_vcenter_disk_gb,2,FALSE)," GB"))</f>
        <v xml:space="preserve"> GB</v>
      </c>
    </row>
    <row r="329" spans="5:13" ht="20" customHeight="1" x14ac:dyDescent="0.2">
      <c r="E329" s="7"/>
      <c r="F329" s="7"/>
      <c r="G329" s="7"/>
      <c r="H329" s="7"/>
      <c r="I329" s="7"/>
      <c r="J329" s="424" t="s">
        <v>680</v>
      </c>
      <c r="K329" s="425"/>
      <c r="L329" s="425"/>
      <c r="M329" s="426"/>
    </row>
    <row r="330" spans="5:13" ht="20" customHeight="1" x14ac:dyDescent="0.2">
      <c r="E330" s="7"/>
      <c r="F330" s="7"/>
      <c r="G330" s="7"/>
      <c r="H330" s="7"/>
      <c r="I330" s="7"/>
      <c r="J330" s="4" t="s">
        <v>686</v>
      </c>
      <c r="K330" s="65" t="str">
        <f>IF(mgmt_domain_vcf_operations_size_chosen="Medium","Medium",
IF(mgmt_domain_vcf_operations_size_chosen="Large","Large",
IF(mgmt_domain_vcf_operations_ha_mode_chosen="Simple","Medium")))</f>
        <v>Medium</v>
      </c>
      <c r="L330" s="66" t="s">
        <v>92</v>
      </c>
      <c r="M330" s="8" t="str">
        <f>IF(mgmt_domain_existing_nsx_manager_chosen="Selected","Inputs are masked out as you have opted to import with an existing NSX Cluster",
IF(mgmt_nsxt_appliance_size_chosen="Extra Small","2 vCPU, 8GB, 300GB Storage - Only supported via API. Use VCF.JSONGenerator to generate the JSON File once PnP is complete",
IF(mgmt_nsxt_appliance_size_chosen="Small","4 vCPU, 16GB, 300GB Storage",
IF(mgmt_nsxt_appliance_size_chosen="Medium","6 vCPU, 24GB, 300GB Storage",
IF(mgmt_nsxt_appliance_size_chosen="Large","12 vCPU, 48GB, 400GB Storage",
IF(mgmt_nsxt_appliance_size_chosen="XLarge","24 vCPU, 96GB, 400GB Storage",
))))))</f>
        <v>6 vCPU, 24GB, 300GB Storage</v>
      </c>
    </row>
    <row r="331" spans="5:13" ht="20" customHeight="1" x14ac:dyDescent="0.2">
      <c r="E331" s="7"/>
      <c r="F331" s="7"/>
      <c r="G331" s="7"/>
      <c r="H331" s="7"/>
      <c r="I331" s="7"/>
    </row>
    <row r="332" spans="5:13" ht="34" customHeight="1" x14ac:dyDescent="0.2">
      <c r="E332" s="7"/>
      <c r="F332" s="7"/>
      <c r="G332" s="7"/>
      <c r="H332" s="7"/>
      <c r="I332" s="7"/>
      <c r="J332" s="117" t="s">
        <v>3467</v>
      </c>
      <c r="K332" s="117"/>
      <c r="L332" s="117"/>
      <c r="M332" s="117"/>
    </row>
    <row r="333" spans="5:13" ht="20" customHeight="1" x14ac:dyDescent="0.2">
      <c r="E333" s="7"/>
      <c r="F333" s="7"/>
      <c r="G333" s="7"/>
      <c r="H333" s="7"/>
      <c r="I333" s="7"/>
      <c r="J333" s="63" t="s">
        <v>18</v>
      </c>
      <c r="K333" s="63" t="s">
        <v>19</v>
      </c>
      <c r="L333" s="63" t="s">
        <v>20</v>
      </c>
      <c r="M333" s="63" t="s">
        <v>21</v>
      </c>
    </row>
    <row r="334" spans="5:13" ht="20" customHeight="1" x14ac:dyDescent="0.2">
      <c r="E334" s="7"/>
      <c r="F334" s="7"/>
      <c r="G334" s="7"/>
      <c r="H334" s="7"/>
      <c r="I334" s="7"/>
      <c r="J334" s="424" t="s">
        <v>206</v>
      </c>
      <c r="K334" s="425"/>
      <c r="L334" s="425"/>
      <c r="M334" s="426"/>
    </row>
    <row r="335" spans="5:13" ht="20" customHeight="1" x14ac:dyDescent="0.2">
      <c r="E335" s="7"/>
      <c r="F335" s="7"/>
      <c r="G335" s="7"/>
      <c r="H335" s="7"/>
      <c r="I335" s="7"/>
      <c r="J335" s="156" t="s">
        <v>85</v>
      </c>
      <c r="K335" s="65" t="str">
        <f>sample_mgmt_az1_mgmt_vlan</f>
        <v>1111</v>
      </c>
      <c r="L335" s="197" t="str">
        <f>mgmt_az1_mgmt_vlan</f>
        <v>Value Missing</v>
      </c>
      <c r="M335" s="8"/>
    </row>
    <row r="336" spans="5:13" ht="20" customHeight="1" x14ac:dyDescent="0.2">
      <c r="E336" s="7"/>
      <c r="F336" s="7"/>
      <c r="G336" s="7"/>
      <c r="H336" s="7"/>
      <c r="I336" s="7"/>
      <c r="J336" s="156" t="s">
        <v>3686</v>
      </c>
      <c r="K336" s="65" t="str">
        <f>sample_mgmt_az1_mgmt_gateway_cidr</f>
        <v>10.11.11.1/24</v>
      </c>
      <c r="L336" s="197" t="str">
        <f>mgmt_az1_mgmt_gateway_ip</f>
        <v>Value Missing</v>
      </c>
      <c r="M336" s="8"/>
    </row>
    <row r="337" spans="5:13" ht="20" customHeight="1" x14ac:dyDescent="0.2">
      <c r="E337" s="7"/>
      <c r="F337" s="7"/>
      <c r="G337" s="7"/>
      <c r="H337" s="7"/>
      <c r="I337" s="7"/>
      <c r="J337" s="4" t="s">
        <v>157</v>
      </c>
      <c r="K337" s="65">
        <f>sample_mgmt_az1_mgmt_mtu</f>
        <v>1500</v>
      </c>
      <c r="L337" s="197" t="str">
        <f>mgmt_az1_mgmt_mtu</f>
        <v>Value Missing</v>
      </c>
      <c r="M337" s="8"/>
    </row>
    <row r="338" spans="5:13" ht="20" customHeight="1" x14ac:dyDescent="0.2">
      <c r="E338" s="7"/>
      <c r="F338" s="7"/>
      <c r="G338" s="7"/>
      <c r="H338" s="7"/>
      <c r="I338" s="7"/>
      <c r="J338" s="550" t="s">
        <v>810</v>
      </c>
      <c r="K338" s="551"/>
      <c r="L338" s="551"/>
      <c r="M338" s="552"/>
    </row>
    <row r="339" spans="5:13" ht="20" customHeight="1" x14ac:dyDescent="0.2">
      <c r="E339" s="7"/>
      <c r="F339" s="7"/>
      <c r="G339" s="7"/>
      <c r="H339" s="7"/>
      <c r="I339" s="7"/>
      <c r="J339" s="156" t="s">
        <v>85</v>
      </c>
      <c r="K339" s="103" t="str">
        <f>sample_mgmt_az1_mgmt_vm_vlan</f>
        <v>1110</v>
      </c>
      <c r="L339" s="8" t="str">
        <f>mgmt_az1_mgmt_vm_vlan</f>
        <v>Value Missing</v>
      </c>
      <c r="M339" s="333"/>
    </row>
    <row r="340" spans="5:13" ht="20" customHeight="1" x14ac:dyDescent="0.2">
      <c r="E340" s="7"/>
      <c r="F340" s="7"/>
      <c r="G340" s="7"/>
      <c r="H340" s="7"/>
      <c r="I340" s="7"/>
      <c r="J340" s="156" t="s">
        <v>3686</v>
      </c>
      <c r="K340" s="103" t="str">
        <f>sample_mgmt_az1_mgmt_vm_gateway_cidr</f>
        <v>10.11.10.1/24</v>
      </c>
      <c r="L340" s="8" t="str">
        <f>mgmt_az1_mgmt_vm_gateway_cidr</f>
        <v>Value Missing</v>
      </c>
      <c r="M340" s="333"/>
    </row>
    <row r="341" spans="5:13" ht="20" customHeight="1" x14ac:dyDescent="0.2">
      <c r="E341" s="7"/>
      <c r="F341" s="7"/>
      <c r="G341" s="7"/>
      <c r="H341" s="7"/>
      <c r="I341" s="7"/>
      <c r="J341" s="4" t="s">
        <v>157</v>
      </c>
      <c r="K341" s="103">
        <f>sample_mgmt_az1_mgmt_vm_mtu</f>
        <v>1500</v>
      </c>
      <c r="L341" s="8" t="str">
        <f>mgmt_az1_mgmt_vm_mtu</f>
        <v>Value Missing</v>
      </c>
      <c r="M341" s="333"/>
    </row>
    <row r="342" spans="5:13" ht="20" customHeight="1" x14ac:dyDescent="0.2">
      <c r="E342" s="7"/>
      <c r="F342" s="7"/>
      <c r="G342" s="7"/>
      <c r="H342" s="7"/>
      <c r="I342" s="7"/>
      <c r="J342" s="550" t="s">
        <v>3721</v>
      </c>
      <c r="K342" s="551"/>
      <c r="L342" s="551"/>
      <c r="M342" s="552"/>
    </row>
    <row r="343" spans="5:13" ht="20" customHeight="1" x14ac:dyDescent="0.2">
      <c r="E343" s="7"/>
      <c r="F343" s="7"/>
      <c r="G343" s="7"/>
      <c r="H343" s="7"/>
      <c r="I343" s="7"/>
      <c r="J343" s="156" t="s">
        <v>85</v>
      </c>
      <c r="K343" s="103" t="str">
        <f>sample_mgmt_az1_vcf_mgmt_vlan</f>
        <v>1199</v>
      </c>
      <c r="L343" s="8" t="str" cm="1">
        <f t="array" ref="L343">mgmt_az1_vcf_mgmt_vlan</f>
        <v>Value Missing</v>
      </c>
      <c r="M343" s="8"/>
    </row>
    <row r="344" spans="5:13" ht="20" customHeight="1" x14ac:dyDescent="0.2">
      <c r="E344" s="7"/>
      <c r="F344" s="7"/>
      <c r="G344" s="7"/>
      <c r="H344" s="7"/>
      <c r="I344" s="7"/>
      <c r="J344" s="156" t="s">
        <v>182</v>
      </c>
      <c r="K344" s="103" t="str">
        <f>sample_mgmt_az1_vcf_mgmt_gateway_cidr</f>
        <v>10.11.99.1/24</v>
      </c>
      <c r="L344" s="8" t="str" cm="1">
        <f t="array" ref="L344">mgmt_az1_vcf_mgmt_gateway_cidr</f>
        <v>Value Missing</v>
      </c>
      <c r="M344" s="8"/>
    </row>
    <row r="345" spans="5:13" ht="20" customHeight="1" x14ac:dyDescent="0.2">
      <c r="E345" s="7"/>
      <c r="F345" s="7"/>
      <c r="G345" s="7"/>
      <c r="H345" s="7"/>
      <c r="I345" s="7"/>
      <c r="J345" s="4" t="s">
        <v>157</v>
      </c>
      <c r="K345" s="103">
        <f>sample_mgmt_az1_vcf_mgmt_mtu</f>
        <v>1500</v>
      </c>
      <c r="L345" s="8" t="str" cm="1">
        <f t="array" ref="L345">mgmt_az1_vcf_mgmt_mtu</f>
        <v>Value Missing</v>
      </c>
      <c r="M345" s="8"/>
    </row>
    <row r="346" spans="5:13" ht="20" customHeight="1" x14ac:dyDescent="0.2">
      <c r="E346" s="7"/>
      <c r="F346" s="7"/>
      <c r="G346" s="7"/>
      <c r="H346" s="7"/>
      <c r="I346" s="7"/>
      <c r="J346" s="424" t="s">
        <v>244</v>
      </c>
      <c r="K346" s="425"/>
      <c r="L346" s="425"/>
      <c r="M346" s="426"/>
    </row>
    <row r="347" spans="5:13" ht="20" customHeight="1" x14ac:dyDescent="0.2">
      <c r="E347" s="7"/>
      <c r="F347" s="7"/>
      <c r="G347" s="7"/>
      <c r="H347" s="7"/>
      <c r="I347" s="7"/>
      <c r="J347" s="4" t="s">
        <v>85</v>
      </c>
      <c r="K347" s="103" t="str">
        <f>sample_mgmt_az1_vmotion_vlan</f>
        <v>1112</v>
      </c>
      <c r="L347" s="197" t="str">
        <f>mgmt_az1_vmotion_vlan</f>
        <v>Value Missing</v>
      </c>
      <c r="M347" s="113"/>
    </row>
    <row r="348" spans="5:13" ht="20" customHeight="1" x14ac:dyDescent="0.2">
      <c r="E348" s="7"/>
      <c r="F348" s="7"/>
      <c r="G348" s="7"/>
      <c r="H348" s="7"/>
      <c r="I348" s="7"/>
      <c r="J348" s="4" t="s">
        <v>3686</v>
      </c>
      <c r="K348" s="103" t="str">
        <f>sample_mgmt_az1_vmotion_gateway_cidr</f>
        <v>10.11.12.1/24</v>
      </c>
      <c r="L348" s="197" t="str">
        <f>mgmt_az1_vmotion_gateway_cidr</f>
        <v>Value Missing</v>
      </c>
      <c r="M348" s="8"/>
    </row>
    <row r="349" spans="5:13" ht="20" customHeight="1" x14ac:dyDescent="0.2">
      <c r="E349" s="7"/>
      <c r="F349" s="7"/>
      <c r="G349" s="7"/>
      <c r="H349" s="7"/>
      <c r="I349" s="7"/>
      <c r="J349" s="4" t="s">
        <v>157</v>
      </c>
      <c r="K349" s="103">
        <f>sample_mgmt_az1_vmotion_mtu</f>
        <v>9000</v>
      </c>
      <c r="L349" s="197" t="str">
        <f>mgmt_az1_vmotion_mtu</f>
        <v>Value Missing</v>
      </c>
      <c r="M349" s="8"/>
    </row>
    <row r="350" spans="5:13" ht="20" customHeight="1" x14ac:dyDescent="0.2">
      <c r="E350" s="7"/>
      <c r="F350" s="7"/>
      <c r="G350" s="7"/>
      <c r="H350" s="7"/>
      <c r="I350" s="7"/>
      <c r="J350" s="23" t="s">
        <v>248</v>
      </c>
      <c r="K350" s="103" t="str">
        <f>sample_mgmt_az1_vmotion_pool_start_ip</f>
        <v>10.11.12.101</v>
      </c>
      <c r="L350" s="197" t="str">
        <f>mgmt_az1_vmotion_pool_start_ip</f>
        <v>Value Missing</v>
      </c>
      <c r="M350" s="8"/>
    </row>
    <row r="351" spans="5:13" ht="20" customHeight="1" x14ac:dyDescent="0.2">
      <c r="E351" s="7"/>
      <c r="F351" s="7"/>
      <c r="G351" s="7"/>
      <c r="H351" s="7"/>
      <c r="I351" s="7"/>
      <c r="J351" s="23" t="s">
        <v>249</v>
      </c>
      <c r="K351" s="103" t="str">
        <f>sample_mgmt_az1_vmotion_pool_end_ip</f>
        <v>10.11.12.116</v>
      </c>
      <c r="L351" s="197" t="str">
        <f>mgmt_az1_vmotion_pool_end_ip</f>
        <v>Value Missing</v>
      </c>
      <c r="M351" s="8"/>
    </row>
    <row r="352" spans="5:13" ht="20" customHeight="1" x14ac:dyDescent="0.2">
      <c r="E352" s="7"/>
      <c r="F352" s="7"/>
      <c r="G352" s="7"/>
      <c r="H352" s="7"/>
      <c r="I352" s="7"/>
      <c r="J352" s="424" t="s">
        <v>250</v>
      </c>
      <c r="K352" s="425"/>
      <c r="L352" s="425"/>
      <c r="M352" s="426"/>
    </row>
    <row r="353" spans="5:13" ht="20" customHeight="1" x14ac:dyDescent="0.2">
      <c r="E353" s="7"/>
      <c r="F353" s="7"/>
      <c r="G353" s="7"/>
      <c r="H353" s="7"/>
      <c r="I353" s="7"/>
      <c r="J353" s="4" t="s">
        <v>85</v>
      </c>
      <c r="K353" s="103" t="str">
        <f>sample_mgmt_az1_vsan_vlan</f>
        <v>1113</v>
      </c>
      <c r="L353" s="197" t="str">
        <f>mgmt_az1_vsan_vlan</f>
        <v>Value Missing</v>
      </c>
      <c r="M353" s="333"/>
    </row>
    <row r="354" spans="5:13" ht="20" customHeight="1" x14ac:dyDescent="0.2">
      <c r="E354" s="7"/>
      <c r="F354" s="7"/>
      <c r="G354" s="7"/>
      <c r="H354" s="7"/>
      <c r="I354" s="7"/>
      <c r="J354" s="4" t="s">
        <v>3686</v>
      </c>
      <c r="K354" s="103" t="str">
        <f>sample_mgmt_az1_vsan_gateway_cidr</f>
        <v>10.11.13.1/24</v>
      </c>
      <c r="L354" s="197" t="str">
        <f>mgmt_az1_vsan_gateway_cidr</f>
        <v>Value Missing</v>
      </c>
      <c r="M354" s="333" t="str">
        <f>IF(AND(mgmt_stretched_cluster_result="Included",mgmt_dpg_reuse_result="Excluded"),"Stretched L2","")</f>
        <v/>
      </c>
    </row>
    <row r="355" spans="5:13" ht="20" customHeight="1" x14ac:dyDescent="0.2">
      <c r="E355" s="7"/>
      <c r="F355" s="7"/>
      <c r="G355" s="7"/>
      <c r="H355" s="7"/>
      <c r="I355" s="7"/>
      <c r="J355" s="4" t="s">
        <v>157</v>
      </c>
      <c r="K355" s="103">
        <f>sample_mgmt_az1_vsan_mtu</f>
        <v>9000</v>
      </c>
      <c r="L355" s="197" t="str">
        <f>mgmt_az1_vsan_mtu</f>
        <v>Value Missing</v>
      </c>
      <c r="M355" s="333"/>
    </row>
    <row r="356" spans="5:13" ht="20" customHeight="1" x14ac:dyDescent="0.2">
      <c r="E356" s="7"/>
      <c r="F356" s="7"/>
      <c r="G356" s="7"/>
      <c r="H356" s="7"/>
      <c r="I356" s="7"/>
      <c r="J356" s="23" t="s">
        <v>248</v>
      </c>
      <c r="K356" s="103" t="str">
        <f>sample_mgmt_az1_vsan_pool_start_ip</f>
        <v>10.11.13.101</v>
      </c>
      <c r="L356" s="197" t="str">
        <f>mgmt_az1_vsan_pool_start_ip</f>
        <v>Value Missing</v>
      </c>
      <c r="M356" s="333"/>
    </row>
    <row r="357" spans="5:13" ht="20" customHeight="1" x14ac:dyDescent="0.2">
      <c r="E357" s="7"/>
      <c r="F357" s="7"/>
      <c r="G357" s="7"/>
      <c r="H357" s="7"/>
      <c r="I357" s="7"/>
      <c r="J357" s="23" t="s">
        <v>249</v>
      </c>
      <c r="K357" s="103" t="str">
        <f>sample_mgmt_az1_vsan_pool_end_ip</f>
        <v>10.11.13.116</v>
      </c>
      <c r="L357" s="197" t="str">
        <f>mgmt_az1_vsan_pool_end_ip</f>
        <v>Value Missing</v>
      </c>
      <c r="M357" s="333"/>
    </row>
    <row r="358" spans="5:13" ht="20" customHeight="1" x14ac:dyDescent="0.2">
      <c r="E358" s="7"/>
      <c r="F358" s="7"/>
      <c r="G358" s="7"/>
      <c r="H358" s="7"/>
      <c r="I358" s="7"/>
      <c r="J358" s="424" t="s">
        <v>815</v>
      </c>
      <c r="K358" s="425"/>
      <c r="L358" s="425"/>
      <c r="M358" s="426"/>
    </row>
    <row r="359" spans="5:13" ht="20" customHeight="1" x14ac:dyDescent="0.2">
      <c r="E359" s="7"/>
      <c r="F359" s="7"/>
      <c r="G359" s="7"/>
      <c r="H359" s="7"/>
      <c r="I359" s="7"/>
      <c r="J359" s="4" t="s">
        <v>85</v>
      </c>
      <c r="K359" s="103" t="str">
        <f>sample_mgmt_az1_host_overlay_vlan</f>
        <v>1114</v>
      </c>
      <c r="L359" s="197" t="str">
        <f>mgmt_az1_host_overlay_vlan</f>
        <v>Value Missing</v>
      </c>
      <c r="M359" s="8"/>
    </row>
    <row r="360" spans="5:13" ht="20" customHeight="1" x14ac:dyDescent="0.2">
      <c r="E360" s="7"/>
      <c r="F360" s="7"/>
      <c r="G360" s="7"/>
      <c r="H360" s="7"/>
      <c r="I360" s="7"/>
      <c r="J360" s="4" t="s">
        <v>182</v>
      </c>
      <c r="K360" s="103" t="str">
        <f>sample_mgmt_az1_host_overlay_gateway_cidr</f>
        <v>10.11.14.1/24</v>
      </c>
      <c r="L360" s="197" t="str">
        <f>mgmt_az1_host_overlay_gateway_cidr</f>
        <v>Value Missing</v>
      </c>
      <c r="M360" s="8"/>
    </row>
    <row r="361" spans="5:13" ht="20" customHeight="1" x14ac:dyDescent="0.2">
      <c r="E361" s="7"/>
      <c r="F361" s="7"/>
      <c r="G361" s="7"/>
      <c r="H361" s="7"/>
      <c r="I361" s="7"/>
      <c r="J361" s="4" t="s">
        <v>157</v>
      </c>
      <c r="K361" s="103">
        <v>9000</v>
      </c>
      <c r="L361" s="198"/>
      <c r="M361" s="8" t="s">
        <v>4200</v>
      </c>
    </row>
    <row r="362" spans="5:13" ht="20" customHeight="1" x14ac:dyDescent="0.2">
      <c r="E362" s="7"/>
      <c r="F362" s="7"/>
      <c r="G362" s="7"/>
      <c r="H362" s="7"/>
      <c r="I362" s="7"/>
      <c r="J362" s="23" t="s">
        <v>248</v>
      </c>
      <c r="K362" s="103" t="str">
        <f>sample_mgmt_az1_host_overlay_pool_start_ip</f>
        <v>10.11.14.101</v>
      </c>
      <c r="L362" s="197" t="str">
        <f>mgmt_az1_host_overlay_pool_start_ip</f>
        <v>Value Missing</v>
      </c>
      <c r="M362" s="8"/>
    </row>
    <row r="363" spans="5:13" ht="20" customHeight="1" x14ac:dyDescent="0.2">
      <c r="E363" s="7"/>
      <c r="F363" s="7"/>
      <c r="G363" s="7"/>
      <c r="H363" s="7"/>
      <c r="I363" s="7"/>
      <c r="J363" s="23" t="s">
        <v>249</v>
      </c>
      <c r="K363" s="103" t="str">
        <f>sample_mgmt_az1_host_overlay_pool_end_ip</f>
        <v>10.11.14.132</v>
      </c>
      <c r="L363" s="197" t="str">
        <f>mgmt_az1_host_overlay_pool_end_ip</f>
        <v>Value Missing</v>
      </c>
      <c r="M363" s="8"/>
    </row>
    <row r="364" spans="5:13" ht="20" customHeight="1" x14ac:dyDescent="0.2">
      <c r="E364" s="7"/>
      <c r="F364" s="7"/>
      <c r="G364" s="7"/>
      <c r="H364" s="7"/>
      <c r="I364" s="7"/>
      <c r="J364" s="421" t="s">
        <v>3468</v>
      </c>
      <c r="K364" s="422"/>
      <c r="L364" s="422"/>
      <c r="M364" s="423"/>
    </row>
    <row r="365" spans="5:13" ht="20" customHeight="1" x14ac:dyDescent="0.2">
      <c r="E365" s="7"/>
      <c r="F365" s="7"/>
      <c r="G365" s="7"/>
      <c r="H365" s="7"/>
      <c r="I365" s="7"/>
      <c r="J365" s="118" t="s">
        <v>3751</v>
      </c>
      <c r="K365" s="63" t="s">
        <v>817</v>
      </c>
      <c r="L365" s="119" t="s">
        <v>818</v>
      </c>
      <c r="M365" s="63" t="s">
        <v>21</v>
      </c>
    </row>
    <row r="366" spans="5:13" ht="20" customHeight="1" x14ac:dyDescent="0.2">
      <c r="E366" s="7"/>
      <c r="F366" s="7"/>
      <c r="G366" s="7"/>
      <c r="H366" s="7"/>
      <c r="I366" s="7"/>
      <c r="J366" s="8" t="str">
        <f>flt_fc_fqdn</f>
        <v>Value Missing</v>
      </c>
      <c r="K366" s="103" t="str">
        <f>IF(mgmt_vcf_management_network_chosen="Use a separate dedicated network",CONCATENATE(prefix_flt_shared_cidr,".20"),IF(mgmt_dpg_reuse_result="Excluded",CONCATENATE(prefix_mgmt_az1_cidr,"11.20"),CONCATENATE(prefix_mgmt_az1_cidr,"10.20")))</f>
        <v>10.11.99.20</v>
      </c>
      <c r="L366" s="66"/>
      <c r="M366" s="8" t="s">
        <v>3748</v>
      </c>
    </row>
    <row r="367" spans="5:13" ht="20" customHeight="1" x14ac:dyDescent="0.2">
      <c r="E367" s="7"/>
      <c r="F367" s="7"/>
      <c r="G367" s="7"/>
      <c r="H367" s="7"/>
      <c r="I367" s="7"/>
      <c r="J367" s="66" t="str">
        <f>flt_ic_fqdn</f>
        <v>Value Missing</v>
      </c>
      <c r="K367" s="103" t="str">
        <f>IF(mgmt_vcf_management_network_chosen="Use a separate dedicated network",CONCATENATE(prefix_flt_shared_cidr,".11"),IF(mgmt_dpg_reuse_result="Excluded",CONCATENATE(prefix_mgmt_az1_cidr,"11.11"),CONCATENATE(prefix_mgmt_az1_cidr,"10.11")))</f>
        <v>10.11.99.11</v>
      </c>
      <c r="L367" s="66"/>
      <c r="M367" s="8" t="s">
        <v>3749</v>
      </c>
    </row>
    <row r="368" spans="5:13" ht="20" customHeight="1" x14ac:dyDescent="0.2">
      <c r="E368" s="7"/>
      <c r="F368" s="7"/>
      <c r="G368" s="7"/>
      <c r="H368" s="7"/>
      <c r="I368" s="7"/>
      <c r="J368" s="66" t="str">
        <f>flt_vidb_vip_fqdn</f>
        <v>Value Missing</v>
      </c>
      <c r="K368" s="122" t="str">
        <f>IF(mgmt_vcf_management_network_chosen="Use a separate dedicated network",CONCATENATE(prefix_flt_shared_cidr,".23"),IF(mgmt_dpg_reuse_result="Excluded",CONCATENATE(prefix_mgmt_az1_cidr,"11.23"),CONCATENATE(prefix_mgmt_az1_cidr,"10.23")))</f>
        <v>10.11.99.23</v>
      </c>
      <c r="L368" s="66"/>
      <c r="M368" s="8" t="s">
        <v>3750</v>
      </c>
    </row>
    <row r="369" spans="5:13" ht="20" customHeight="1" x14ac:dyDescent="0.2">
      <c r="E369" s="7"/>
      <c r="F369" s="7"/>
      <c r="G369" s="7"/>
      <c r="H369" s="7"/>
      <c r="I369" s="7"/>
      <c r="J369" s="66" t="str">
        <f>flt_sr_fqdn</f>
        <v>Value Missing</v>
      </c>
      <c r="K369" s="103" t="str">
        <f>IF(mgmt_vcf_management_network_chosen="Use a separate dedicated network",CONCATENATE(prefix_flt_shared_cidr,".10"),IF(mgmt_dpg_reuse_result="Excluded",CONCATENATE(prefix_mgmt_az1_cidr,"11.10"),CONCATENATE(prefix_mgmt_az1_cidr,"10.10")))</f>
        <v>10.11.99.10</v>
      </c>
      <c r="L369" s="66"/>
      <c r="M369" s="8" t="s">
        <v>3733</v>
      </c>
    </row>
    <row r="370" spans="5:13" ht="20" customHeight="1" x14ac:dyDescent="0.2">
      <c r="E370" s="7"/>
      <c r="F370" s="7"/>
      <c r="G370" s="7"/>
      <c r="H370" s="7"/>
      <c r="I370" s="7"/>
      <c r="J370" s="66" t="str">
        <f>flt_lc_fqdn</f>
        <v>Value Missing</v>
      </c>
      <c r="K370" s="103" t="str">
        <f>IF(mgmt_vcf_management_network_chosen="Use a separate dedicated network",CONCATENATE(prefix_flt_shared_cidr,".22"),IF(mgmt_dpg_reuse_result="Excluded",CONCATENATE(prefix_mgmt_az1_cidr,"11.22"),CONCATENATE(prefix_mgmt_az1_cidr,"10.22")))</f>
        <v>10.11.99.22</v>
      </c>
      <c r="L370" s="66"/>
      <c r="M370" s="120" t="s">
        <v>4000</v>
      </c>
    </row>
    <row r="371" spans="5:13" ht="20" customHeight="1" x14ac:dyDescent="0.2">
      <c r="E371" s="7"/>
      <c r="F371" s="7"/>
      <c r="G371" s="7"/>
      <c r="H371" s="7"/>
      <c r="I371" s="7"/>
      <c r="J371" s="66" t="s">
        <v>2354</v>
      </c>
      <c r="K371" s="103" t="str">
        <f>IF(AND(mgmt_dpg_reuse_chosen="Use ESX management network",mgmt_vcf_management_network_chosen="Use VM management network"),CONCATENATE(prefix_mgmt_az1_cidr,"11.31"),
IF(mgmt_vcf_management_network_chosen="Use VM management network",CONCATENATE(prefix_mgmt_az1_cidr,"10.31"),
CONCATENATE(prefix_flt_shared_cidr,".31")))</f>
        <v>10.11.99.31</v>
      </c>
      <c r="L371" s="8" t="str">
        <f>flt_vcfms_node_pool_start_ip</f>
        <v>Value Missing</v>
      </c>
      <c r="M371" s="8" t="s">
        <v>4002</v>
      </c>
    </row>
    <row r="372" spans="5:13" ht="20" customHeight="1" x14ac:dyDescent="0.2">
      <c r="E372" s="7"/>
      <c r="F372" s="7"/>
      <c r="G372" s="7"/>
      <c r="H372" s="7"/>
      <c r="I372" s="7"/>
      <c r="J372" s="66" t="s">
        <v>2354</v>
      </c>
      <c r="K372" s="103" t="str">
        <f>IF(AND(mgmt_dpg_reuse_chosen="Use ESX management network",mgmt_vcf_management_network_chosen="Use VM management network"),CONCATENATE(prefix_mgmt_az1_cidr,"11.45"),
IF(mgmt_vcf_management_network_chosen="Use VM management network",CONCATENATE(prefix_mgmt_az1_cidr,"10.45"),
CONCATENATE(prefix_flt_shared_cidr,".45")))</f>
        <v>10.11.99.45</v>
      </c>
      <c r="L372" s="8" t="str">
        <f>flt_vcfms_node_pool_end_ip</f>
        <v>Value Missing</v>
      </c>
      <c r="M372" s="8" t="s">
        <v>4003</v>
      </c>
    </row>
    <row r="373" spans="5:13" ht="20" customHeight="1" x14ac:dyDescent="0.2">
      <c r="E373" s="7"/>
      <c r="F373" s="7"/>
      <c r="G373" s="7"/>
      <c r="H373" s="7"/>
      <c r="I373" s="7"/>
      <c r="J373" s="63" t="s">
        <v>3469</v>
      </c>
      <c r="K373" s="63" t="s">
        <v>817</v>
      </c>
      <c r="L373" s="119" t="s">
        <v>818</v>
      </c>
      <c r="M373" s="63" t="s">
        <v>21</v>
      </c>
    </row>
    <row r="374" spans="5:13" ht="20" customHeight="1" x14ac:dyDescent="0.2">
      <c r="E374" s="7"/>
      <c r="F374" s="7"/>
      <c r="G374" s="7"/>
      <c r="H374" s="7"/>
      <c r="I374" s="7"/>
      <c r="J374" s="66" t="str">
        <f>xreg_vrops_nodea_fqdn</f>
        <v>Value Missing</v>
      </c>
      <c r="K374" s="103" t="str">
        <f>IF(mgmt_vcf_management_network_chosen="Use a separate dedicated network",CONCATENATE(prefix_flt_shared_cidr,".52"),IF(mgmt_dpg_reuse_result="Excluded",CONCATENATE(prefix_mgmt_az1_cidr,"11.52"),CONCATENATE(prefix_mgmt_az1_cidr,"10.52")))</f>
        <v>10.11.99.52</v>
      </c>
      <c r="L374" s="66"/>
      <c r="M374" s="120" t="str">
        <f>IF(mgmt_domain_ops_automation_later_chosen="Selected","Inputs are masked out as you have opted to deploy VCF Ops and Automation post MGMT Domain deployment","Primary node of VCF Operations")</f>
        <v>Primary node of VCF Operations</v>
      </c>
    </row>
    <row r="375" spans="5:13" ht="20" customHeight="1" x14ac:dyDescent="0.2">
      <c r="E375" s="7"/>
      <c r="F375" s="7"/>
      <c r="G375" s="7"/>
      <c r="H375" s="7"/>
      <c r="I375" s="7"/>
      <c r="J375" s="66" t="str">
        <f>xreg_vrops_nodeb_fqdn</f>
        <v>Value Missing</v>
      </c>
      <c r="K375" s="103" t="str">
        <f>IF(mgmt_vcf_management_network_chosen="Use a separate dedicated network",CONCATENATE(prefix_flt_shared_cidr,".53"),IF(mgmt_dpg_reuse_result="Excluded",CONCATENATE(prefix_mgmt_az1_cidr,"11.53"),CONCATENATE(prefix_mgmt_az1_cidr,"10.53")))</f>
        <v>10.11.99.53</v>
      </c>
      <c r="L375" s="66"/>
      <c r="M375" s="120" t="str">
        <f>IF(mgmt_domain_ops_automation_later_chosen="Selected","Inputs are masked out as you have opted to deploy VCF Ops and Automation post MGMT Domain deployment","Primary replica node of VCF Operations")</f>
        <v>Primary replica node of VCF Operations</v>
      </c>
    </row>
    <row r="376" spans="5:13" ht="20" customHeight="1" x14ac:dyDescent="0.2">
      <c r="E376" s="7"/>
      <c r="F376" s="7"/>
      <c r="G376" s="7"/>
      <c r="H376" s="7"/>
      <c r="I376" s="7"/>
      <c r="J376" s="66" t="str">
        <f>xreg_vrops_nodec_fqdn</f>
        <v>Value Missing</v>
      </c>
      <c r="K376" s="103" t="str">
        <f>IF(mgmt_vcf_management_network_chosen="Use a separate dedicated network",CONCATENATE(prefix_flt_shared_cidr,".54"),IF(mgmt_dpg_reuse_result="Excluded",CONCATENATE(prefix_mgmt_az1_cidr,"11.54"),CONCATENATE(prefix_mgmt_az1_cidr,"10.54")))</f>
        <v>10.11.99.54</v>
      </c>
      <c r="L376" s="66"/>
      <c r="M376" s="120" t="str">
        <f>IF(mgmt_domain_ops_automation_later_chosen="Selected","Inputs are masked out as you have opted to deploy VCF Ops and Automation post MGMT Domain deployment","Data node 1 of VCF Operations")</f>
        <v>Data node 1 of VCF Operations</v>
      </c>
    </row>
    <row r="377" spans="5:13" ht="20" customHeight="1" x14ac:dyDescent="0.2">
      <c r="E377" s="7"/>
      <c r="F377" s="7"/>
      <c r="G377" s="7"/>
      <c r="H377" s="7"/>
      <c r="I377" s="7"/>
      <c r="J377" s="66" t="str">
        <f>xreg_vrops_collector_fqdn</f>
        <v>Value Missing</v>
      </c>
      <c r="K377" s="103" t="str">
        <f>IF(mgmt_dpg_reuse_result="Excluded",CONCATENATE(prefix_mgmt_az1_cidr,"11.12"),CONCATENATE(prefix_mgmt_az1_cidr,"10.12"))</f>
        <v>10.11.10.12</v>
      </c>
      <c r="L377" s="66"/>
      <c r="M377" s="120" t="str">
        <f>IF(mgmt_domain_ops_automation_later_chosen="Selected","Inputs are masked out as you have opted to deploy VCF Ops and Automation post MGMT Domain deployment","Cloud Proxy IP")</f>
        <v>Cloud Proxy IP</v>
      </c>
    </row>
    <row r="378" spans="5:13" ht="20" customHeight="1" x14ac:dyDescent="0.2">
      <c r="E378" s="7"/>
      <c r="F378" s="7"/>
      <c r="G378" s="7"/>
      <c r="H378" s="7"/>
      <c r="I378" s="7"/>
      <c r="J378" s="63" t="s">
        <v>3757</v>
      </c>
      <c r="K378" s="63" t="s">
        <v>817</v>
      </c>
      <c r="L378" s="119" t="s">
        <v>818</v>
      </c>
      <c r="M378" s="63" t="s">
        <v>21</v>
      </c>
    </row>
    <row r="379" spans="5:13" ht="20" customHeight="1" x14ac:dyDescent="0.2">
      <c r="E379" s="7"/>
      <c r="F379" s="7"/>
      <c r="G379" s="7"/>
      <c r="H379" s="7"/>
      <c r="I379" s="7"/>
      <c r="J379" s="66" t="str">
        <f>xreg_vrops_virtual_fqdn</f>
        <v>Value Missing</v>
      </c>
      <c r="K379" s="103" t="str">
        <f>IF(mgmt_vcf_management_network_chosen="Use a separate dedicated network",CONCATENATE(prefix_flt_shared_cidr,".21"),
IF(mgmt_dpg_reuse_result="Excluded",CONCATENATE(prefix_mgmt_az1_cidr,"11.21"),CONCATENATE(prefix_mgmt_az1_cidr,"10.21")))</f>
        <v>10.11.99.21</v>
      </c>
      <c r="L379" s="66"/>
      <c r="M379" s="8" t="str">
        <f>IF(mgmt_domain_ops_automation_later_chosen="Selected","Inputs are masked out as you have opted to deploy VCF Ops and Automation post MGMT Domain deployment","VCF Operations VIP - Optional: For a high availability deployment, you can connect an external load balancer")</f>
        <v>VCF Operations VIP - Optional: For a high availability deployment, you can connect an external load balancer</v>
      </c>
    </row>
    <row r="380" spans="5:13" ht="20" customHeight="1" x14ac:dyDescent="0.2">
      <c r="E380" s="7"/>
      <c r="F380" s="7"/>
      <c r="G380" s="7"/>
      <c r="H380" s="7"/>
      <c r="I380" s="7"/>
      <c r="J380" s="63" t="s">
        <v>3399</v>
      </c>
      <c r="K380" s="63" t="s">
        <v>817</v>
      </c>
      <c r="L380" s="119" t="s">
        <v>818</v>
      </c>
      <c r="M380" s="63" t="s">
        <v>21</v>
      </c>
    </row>
    <row r="381" spans="5:13" ht="20" customHeight="1" x14ac:dyDescent="0.2">
      <c r="E381" s="7"/>
      <c r="F381" s="7"/>
      <c r="G381" s="7"/>
      <c r="H381" s="7"/>
      <c r="I381" s="7"/>
      <c r="J381" s="66" t="str">
        <f>xreg_vra_virtual_fqdn</f>
        <v>Value Missing</v>
      </c>
      <c r="K381" s="103" t="str">
        <f>IF(mgmt_vcf_management_network_chosen="Use a separate dedicated network",CONCATENATE(prefix_flt_shared_cidr,".25"),
IF(mgmt_dpg_reuse_result="Excluded",CONCATENATE(prefix_mgmt_az1_cidr,"11.25"),CONCATENATE(prefix_mgmt_az1_cidr,"10.25")))</f>
        <v>10.11.99.25</v>
      </c>
      <c r="L381" s="66"/>
      <c r="M381" s="120" t="str">
        <f>IF(mgmt_domain_ops_automation_later_chosen="Selected","Inputs are masked out as you have opted to deploy VCF Ops and Automation post MGMT Domain deployment","")</f>
        <v/>
      </c>
    </row>
    <row r="382" spans="5:13" ht="20" customHeight="1" x14ac:dyDescent="0.2">
      <c r="E382" s="7"/>
      <c r="F382" s="7"/>
      <c r="G382" s="7"/>
      <c r="H382" s="7"/>
      <c r="I382" s="7"/>
      <c r="J382" s="66" t="str" cm="1">
        <f t="array" ref="J382">flt_auto_sr_fqdn</f>
        <v>Value Missing</v>
      </c>
      <c r="K382" s="103" t="str">
        <f>IF(mgmt_vcf_management_network_chosen="Use a separate dedicated network",CONCATENATE(prefix_flt_shared_cidr,".24"),
IF(mgmt_dpg_reuse_result="Excluded",CONCATENATE(prefix_mgmt_az1_cidr,"11.24"),CONCATENATE(prefix_mgmt_az1_cidr,"10.24")))</f>
        <v>10.11.99.24</v>
      </c>
      <c r="L382" s="66"/>
      <c r="M382" s="120" t="s">
        <v>4001</v>
      </c>
    </row>
    <row r="383" spans="5:13" ht="20" customHeight="1" x14ac:dyDescent="0.2">
      <c r="E383" s="7"/>
      <c r="F383" s="7"/>
      <c r="G383" s="7"/>
      <c r="H383" s="7"/>
      <c r="I383" s="7"/>
      <c r="J383" s="66" t="s">
        <v>2354</v>
      </c>
      <c r="K383" s="103" t="str">
        <f>IF(mgmt_vcf_management_network_chosen="Use a separate dedicated network",CONCATENATE(prefix_flt_shared_cidr,".46"),IF(mgmt_dpg_reuse_result="Excluded",CONCATENATE(prefix_mgmt_az1_cidr,"11.46"),CONCATENATE(prefix_mgmt_az1_cidr,"10.46")))</f>
        <v>10.11.99.46</v>
      </c>
      <c r="L383" s="8" t="str">
        <f>flt_auto_node_pool_start_ip</f>
        <v>Value Missing</v>
      </c>
      <c r="M383" s="8" t="s">
        <v>3722</v>
      </c>
    </row>
    <row r="384" spans="5:13" ht="20" customHeight="1" x14ac:dyDescent="0.2">
      <c r="E384" s="7"/>
      <c r="F384" s="7"/>
      <c r="G384" s="7"/>
      <c r="H384" s="7"/>
      <c r="I384" s="7"/>
      <c r="J384" s="66" t="s">
        <v>2354</v>
      </c>
      <c r="K384" s="103" t="str">
        <f>IF(mgmt_vcf_management_network_chosen="Use a separate dedicated network",CONCATENATE(prefix_flt_shared_cidr,".51"),IF(mgmt_dpg_reuse_result="Excluded",CONCATENATE(prefix_mgmt_az1_cidr,"11.51"),CONCATENATE(prefix_mgmt_az1_cidr,"10.51")))</f>
        <v>10.11.99.51</v>
      </c>
      <c r="L384" s="8" t="str">
        <f>flt_auto_node_pool_end_ip</f>
        <v>Value Missing</v>
      </c>
      <c r="M384" s="8" t="s">
        <v>3723</v>
      </c>
    </row>
    <row r="385" spans="5:13" ht="20" customHeight="1" x14ac:dyDescent="0.2">
      <c r="E385" s="7"/>
      <c r="F385" s="7"/>
      <c r="G385" s="7"/>
      <c r="H385" s="7"/>
      <c r="I385" s="7"/>
      <c r="J385" s="63" t="s">
        <v>3861</v>
      </c>
      <c r="K385" s="63" t="s">
        <v>817</v>
      </c>
      <c r="L385" s="119" t="s">
        <v>818</v>
      </c>
      <c r="M385" s="63" t="s">
        <v>21</v>
      </c>
    </row>
    <row r="386" spans="5:13" ht="20" customHeight="1" x14ac:dyDescent="0.2">
      <c r="E386" s="7"/>
      <c r="F386" s="7"/>
      <c r="G386" s="7"/>
      <c r="H386" s="7"/>
      <c r="I386" s="7"/>
      <c r="J386" s="123"/>
      <c r="K386" s="109" t="str">
        <f>IF(mgmt_dpg_reuse_result="Excluded",CONCATENATE(prefix_mgmt_az1_cidr,"11.9"),CONCATENATE(prefix_mgmt_az1_cidr,"10.9"))</f>
        <v>10.11.10.9</v>
      </c>
      <c r="L386" s="66"/>
      <c r="M386" s="121" t="s">
        <v>3752</v>
      </c>
    </row>
    <row r="387" spans="5:13" ht="20" customHeight="1" x14ac:dyDescent="0.2">
      <c r="E387" s="7"/>
      <c r="F387" s="7"/>
      <c r="G387" s="7"/>
      <c r="H387" s="7"/>
      <c r="I387" s="7"/>
      <c r="J387" s="26" t="str">
        <f>sddc_mgr_fqdn</f>
        <v>Value Missing</v>
      </c>
      <c r="K387" s="109" t="str">
        <f>IF(mgmt_dpg_reuse_result="Excluded",CONCATENATE(prefix_mgmt_az1_cidr,"11.13"),CONCATENATE(prefix_mgmt_az1_cidr,"10.13"))</f>
        <v>10.11.10.13</v>
      </c>
      <c r="L387" s="66"/>
      <c r="M387" s="121" t="str">
        <f>IF(mgmt_vcf_installer_location_chosen="Deployed outside management domain","SDDC Manager",CONCATENATE("SDDC Manager  / Private Cloud Installer. ","Ensure this FQDN is used when setting the VCF Installer FQDN"))</f>
        <v>SDDC Manager  / Private Cloud Installer. Ensure this FQDN is used when setting the VCF Installer FQDN</v>
      </c>
    </row>
    <row r="388" spans="5:13" ht="20" customHeight="1" x14ac:dyDescent="0.2">
      <c r="E388" s="7"/>
      <c r="F388" s="7"/>
      <c r="G388" s="7"/>
      <c r="H388" s="7"/>
      <c r="I388" s="7"/>
      <c r="J388" s="26" t="str">
        <f>mgmt_vc_fqdn</f>
        <v>Value Missing</v>
      </c>
      <c r="K388" s="109" t="str">
        <f>IF(mgmt_dpg_reuse_result="Excluded",CONCATENATE(prefix_mgmt_az1_cidr,"11.70"),CONCATENATE(prefix_mgmt_az1_cidr,"10.70"))</f>
        <v>10.11.10.70</v>
      </c>
      <c r="L388" s="66"/>
      <c r="M388" s="121" t="s">
        <v>713</v>
      </c>
    </row>
    <row r="389" spans="5:13" ht="20" customHeight="1" x14ac:dyDescent="0.2">
      <c r="E389" s="7"/>
      <c r="F389" s="7"/>
      <c r="G389" s="7"/>
      <c r="H389" s="7"/>
      <c r="I389" s="7"/>
      <c r="J389" s="63" t="s">
        <v>1914</v>
      </c>
      <c r="K389" s="63" t="s">
        <v>817</v>
      </c>
      <c r="L389" s="119" t="s">
        <v>818</v>
      </c>
      <c r="M389" s="63" t="s">
        <v>21</v>
      </c>
    </row>
    <row r="390" spans="5:13" ht="20" customHeight="1" x14ac:dyDescent="0.2">
      <c r="E390" s="7"/>
      <c r="F390" s="7"/>
      <c r="G390" s="7"/>
      <c r="H390" s="7"/>
      <c r="I390" s="7"/>
      <c r="J390" s="26" t="str">
        <f>mgmt_nsxt_vip_fqdn</f>
        <v>Value Missing</v>
      </c>
      <c r="K390" s="109" t="str">
        <f>IF(mgmt_dpg_reuse_result="Excluded",CONCATENATE(prefix_mgmt_az1_cidr,"11.71"),CONCATENATE(prefix_mgmt_az1_cidr,"10.71"))</f>
        <v>10.11.10.71</v>
      </c>
      <c r="L390" s="66"/>
      <c r="M390" s="121" t="str">
        <f>IF(mgmt_domain_existing_nsx_manager_chosen="Included","Existing NSX Manager / Local Manager VIP","NSX Manager / Local Manager VIP")</f>
        <v>NSX Manager / Local Manager VIP</v>
      </c>
    </row>
    <row r="391" spans="5:13" ht="20" customHeight="1" x14ac:dyDescent="0.2">
      <c r="E391" s="7"/>
      <c r="F391" s="7"/>
      <c r="G391" s="7"/>
      <c r="H391" s="7"/>
      <c r="I391" s="7"/>
      <c r="J391" s="26" t="str">
        <f>mgmt_nsxt_mgra_fqdn</f>
        <v>Value Missing</v>
      </c>
      <c r="K391" s="109" t="str">
        <f>IF(mgmt_dpg_reuse_result="Excluded",CONCATENATE(prefix_mgmt_az1_cidr,"11.72"),CONCATENATE(prefix_mgmt_az1_cidr,"10.72"))</f>
        <v>10.11.10.72</v>
      </c>
      <c r="L391" s="66"/>
      <c r="M391" s="121" t="str">
        <f>IF(mgmt_domain_existing_nsx_manager_chosen="Included","Existing NSX Manager / Local Manager Node A","NSX Manager / Local Manager Node A")</f>
        <v>NSX Manager / Local Manager Node A</v>
      </c>
    </row>
    <row r="392" spans="5:13" ht="20" customHeight="1" x14ac:dyDescent="0.2">
      <c r="E392" s="7"/>
      <c r="F392" s="7"/>
      <c r="G392" s="7"/>
      <c r="H392" s="7"/>
      <c r="I392" s="7"/>
      <c r="J392" s="26" t="str">
        <f>mgmt_nsxt_mgrb_fqdn</f>
        <v>Value Missing</v>
      </c>
      <c r="K392" s="109" t="str">
        <f>IF(mgmt_dpg_reuse_result="Excluded",CONCATENATE(prefix_mgmt_az1_cidr,"11.73"),CONCATENATE(prefix_mgmt_az1_cidr,"10.73"))</f>
        <v>10.11.10.73</v>
      </c>
      <c r="L392" s="66"/>
      <c r="M392" s="121" t="str">
        <f>IF(mgmt_domain_existing_nsx_manager_chosen="Included","Existing NSX Manager / Local Manager Node B","NSX Manager / Local Manager Node B")</f>
        <v>NSX Manager / Local Manager Node B</v>
      </c>
    </row>
    <row r="393" spans="5:13" ht="20" customHeight="1" x14ac:dyDescent="0.2">
      <c r="E393" s="7"/>
      <c r="F393" s="7"/>
      <c r="G393" s="7"/>
      <c r="H393" s="7"/>
      <c r="I393" s="7"/>
      <c r="J393" s="26" t="str">
        <f>mgmt_nsxt_mgrc_fqdn</f>
        <v>Value Missing</v>
      </c>
      <c r="K393" s="109" t="str">
        <f>IF(mgmt_dpg_reuse_result="Excluded",CONCATENATE(prefix_mgmt_az1_cidr,"11.74"),CONCATENATE(prefix_mgmt_az1_cidr,"10.74"))</f>
        <v>10.11.10.74</v>
      </c>
      <c r="L393" s="66"/>
      <c r="M393" s="121" t="str">
        <f>IF(mgmt_domain_existing_nsx_manager_chosen="Included","Existing NSX Manager / Local Manager Node C","NSX Manager / Local Manager Node C")</f>
        <v>NSX Manager / Local Manager Node C</v>
      </c>
    </row>
    <row r="394" spans="5:13" ht="20" customHeight="1" x14ac:dyDescent="0.2">
      <c r="E394" s="7"/>
      <c r="F394" s="7"/>
      <c r="G394" s="7"/>
      <c r="H394" s="7"/>
      <c r="I394" s="7"/>
      <c r="J394" s="124" t="s">
        <v>207</v>
      </c>
      <c r="K394" s="63" t="s">
        <v>817</v>
      </c>
      <c r="L394" s="119" t="s">
        <v>818</v>
      </c>
      <c r="M394" s="63" t="s">
        <v>21</v>
      </c>
    </row>
    <row r="395" spans="5:13" ht="20" customHeight="1" x14ac:dyDescent="0.2">
      <c r="E395" s="7"/>
      <c r="F395" s="7"/>
      <c r="G395" s="7"/>
      <c r="H395" s="7"/>
      <c r="I395" s="7"/>
      <c r="J395" s="26" t="str">
        <f t="array" ref="J395:J410">mgmt_az1_host_fqdns</f>
        <v>Value Missing</v>
      </c>
      <c r="K395" s="109" t="str">
        <f>CONCATENATE(prefix_mgmt_az1_cidr,"11.101")</f>
        <v>10.11.11.101</v>
      </c>
      <c r="L395" s="66"/>
      <c r="M395" s="121" t="s">
        <v>209</v>
      </c>
    </row>
    <row r="396" spans="5:13" ht="20" customHeight="1" x14ac:dyDescent="0.2">
      <c r="E396" s="7"/>
      <c r="F396" s="7"/>
      <c r="G396" s="7"/>
      <c r="H396" s="7"/>
      <c r="I396" s="7"/>
      <c r="J396" s="26" t="str">
        <v>Value Missing</v>
      </c>
      <c r="K396" s="109" t="str">
        <f>CONCATENATE(prefix_mgmt_az1_cidr,"11.102")</f>
        <v>10.11.11.102</v>
      </c>
      <c r="L396" s="66"/>
      <c r="M396" s="121" t="s">
        <v>211</v>
      </c>
    </row>
    <row r="397" spans="5:13" ht="20" customHeight="1" x14ac:dyDescent="0.2">
      <c r="J397" s="26" t="str">
        <v>Value Missing</v>
      </c>
      <c r="K397" s="109" t="str">
        <f>CONCATENATE(prefix_mgmt_az1_cidr,"11.103")</f>
        <v>10.11.11.103</v>
      </c>
      <c r="L397" s="66"/>
      <c r="M397" s="121" t="s">
        <v>213</v>
      </c>
    </row>
    <row r="398" spans="5:13" ht="20" customHeight="1" x14ac:dyDescent="0.2">
      <c r="J398" s="26" t="str">
        <v>Value Missing</v>
      </c>
      <c r="K398" s="109" t="str">
        <f>CONCATENATE(prefix_mgmt_az1_cidr,"11.104")</f>
        <v>10.11.11.104</v>
      </c>
      <c r="L398" s="66"/>
      <c r="M398" s="121" t="s">
        <v>215</v>
      </c>
    </row>
    <row r="399" spans="5:13" ht="20" customHeight="1" x14ac:dyDescent="0.2">
      <c r="J399" s="26" t="str">
        <v>Value Missing</v>
      </c>
      <c r="K399" s="109" t="str">
        <f>CONCATENATE(prefix_mgmt_az1_cidr,"11.105")</f>
        <v>10.11.11.105</v>
      </c>
      <c r="L399" s="66"/>
      <c r="M399" s="121" t="s">
        <v>217</v>
      </c>
    </row>
    <row r="400" spans="5:13" ht="20" customHeight="1" x14ac:dyDescent="0.2">
      <c r="J400" s="26" t="str">
        <v>Value Missing</v>
      </c>
      <c r="K400" s="109" t="str">
        <f>CONCATENATE(prefix_mgmt_az1_cidr,"11.106")</f>
        <v>10.11.11.106</v>
      </c>
      <c r="L400" s="66"/>
      <c r="M400" s="121" t="s">
        <v>219</v>
      </c>
    </row>
    <row r="401" spans="1:13" ht="20" customHeight="1" x14ac:dyDescent="0.2">
      <c r="A401" s="9"/>
      <c r="B401" s="9"/>
      <c r="C401" s="9"/>
      <c r="D401" s="9"/>
      <c r="E401" s="7"/>
      <c r="F401" s="7"/>
      <c r="G401" s="7"/>
      <c r="H401" s="7"/>
      <c r="I401" s="7"/>
      <c r="J401" s="26" t="str">
        <v>Value Missing</v>
      </c>
      <c r="K401" s="109" t="str">
        <f>CONCATENATE(prefix_mgmt_az1_cidr,"11.107")</f>
        <v>10.11.11.107</v>
      </c>
      <c r="L401" s="66"/>
      <c r="M401" s="121" t="s">
        <v>221</v>
      </c>
    </row>
    <row r="402" spans="1:13" ht="20" customHeight="1" x14ac:dyDescent="0.2">
      <c r="E402" s="7"/>
      <c r="F402" s="7"/>
      <c r="G402" s="7"/>
      <c r="H402" s="7"/>
      <c r="I402" s="7"/>
      <c r="J402" s="26" t="str">
        <v>Value Missing</v>
      </c>
      <c r="K402" s="109" t="str">
        <f>CONCATENATE(prefix_mgmt_az1_cidr,"11.108")</f>
        <v>10.11.11.108</v>
      </c>
      <c r="L402" s="66"/>
      <c r="M402" s="121" t="s">
        <v>223</v>
      </c>
    </row>
    <row r="403" spans="1:13" ht="20" customHeight="1" x14ac:dyDescent="0.2">
      <c r="E403" s="7"/>
      <c r="F403" s="7"/>
      <c r="G403" s="7"/>
      <c r="H403" s="7"/>
      <c r="I403" s="7"/>
      <c r="J403" s="26" t="str">
        <v>Value Missing</v>
      </c>
      <c r="K403" s="109" t="str">
        <f>CONCATENATE(prefix_mgmt_az1_cidr,"11.109")</f>
        <v>10.11.11.109</v>
      </c>
      <c r="L403" s="66"/>
      <c r="M403" s="121" t="s">
        <v>225</v>
      </c>
    </row>
    <row r="404" spans="1:13" ht="20" customHeight="1" x14ac:dyDescent="0.2">
      <c r="E404" s="7"/>
      <c r="F404" s="7"/>
      <c r="G404" s="7"/>
      <c r="H404" s="7"/>
      <c r="I404" s="7"/>
      <c r="J404" s="26" t="str">
        <v>Value Missing</v>
      </c>
      <c r="K404" s="109" t="str">
        <f>CONCATENATE(prefix_mgmt_az1_cidr,"11.110")</f>
        <v>10.11.11.110</v>
      </c>
      <c r="L404" s="66"/>
      <c r="M404" s="121" t="s">
        <v>227</v>
      </c>
    </row>
    <row r="405" spans="1:13" ht="20" customHeight="1" x14ac:dyDescent="0.2">
      <c r="E405" s="7"/>
      <c r="F405" s="7"/>
      <c r="G405" s="7"/>
      <c r="H405" s="7"/>
      <c r="I405" s="7"/>
      <c r="J405" s="26" t="str">
        <v>Value Missing</v>
      </c>
      <c r="K405" s="109" t="str">
        <f>CONCATENATE(prefix_mgmt_az1_cidr,"11.111")</f>
        <v>10.11.11.111</v>
      </c>
      <c r="L405" s="66"/>
      <c r="M405" s="121" t="s">
        <v>229</v>
      </c>
    </row>
    <row r="406" spans="1:13" ht="20" customHeight="1" x14ac:dyDescent="0.2">
      <c r="E406" s="7"/>
      <c r="F406" s="7"/>
      <c r="G406" s="7"/>
      <c r="H406" s="7"/>
      <c r="I406" s="7"/>
      <c r="J406" s="26" t="str">
        <v>Value Missing</v>
      </c>
      <c r="K406" s="109" t="str">
        <f>CONCATENATE(prefix_mgmt_az1_cidr,"11.112")</f>
        <v>10.11.11.112</v>
      </c>
      <c r="L406" s="66"/>
      <c r="M406" s="121" t="s">
        <v>231</v>
      </c>
    </row>
    <row r="407" spans="1:13" ht="20" customHeight="1" x14ac:dyDescent="0.2">
      <c r="E407" s="7"/>
      <c r="F407" s="7"/>
      <c r="G407" s="7"/>
      <c r="H407" s="7"/>
      <c r="I407" s="7"/>
      <c r="J407" s="26" t="str">
        <v>Value Missing</v>
      </c>
      <c r="K407" s="109" t="str">
        <f>CONCATENATE(prefix_mgmt_az1_cidr,"11.113")</f>
        <v>10.11.11.113</v>
      </c>
      <c r="L407" s="66"/>
      <c r="M407" s="121" t="s">
        <v>233</v>
      </c>
    </row>
    <row r="408" spans="1:13" ht="20" customHeight="1" x14ac:dyDescent="0.2">
      <c r="E408" s="7"/>
      <c r="F408" s="7"/>
      <c r="G408" s="7"/>
      <c r="H408" s="7"/>
      <c r="I408" s="7"/>
      <c r="J408" s="26" t="str">
        <v>Value Missing</v>
      </c>
      <c r="K408" s="109" t="str">
        <f>CONCATENATE(prefix_mgmt_az1_cidr,"11.114")</f>
        <v>10.11.11.114</v>
      </c>
      <c r="L408" s="66"/>
      <c r="M408" s="121" t="s">
        <v>235</v>
      </c>
    </row>
    <row r="409" spans="1:13" ht="20" customHeight="1" x14ac:dyDescent="0.2">
      <c r="E409" s="7"/>
      <c r="F409" s="7"/>
      <c r="G409" s="7"/>
      <c r="H409" s="7"/>
      <c r="I409" s="7"/>
      <c r="J409" s="26" t="str">
        <v>Value Missing</v>
      </c>
      <c r="K409" s="109" t="str">
        <f>CONCATENATE(prefix_mgmt_az1_cidr,"11.115")</f>
        <v>10.11.11.115</v>
      </c>
      <c r="L409" s="66"/>
      <c r="M409" s="121" t="s">
        <v>237</v>
      </c>
    </row>
    <row r="410" spans="1:13" ht="20" customHeight="1" x14ac:dyDescent="0.2">
      <c r="E410" s="7"/>
      <c r="F410" s="7"/>
      <c r="G410" s="7"/>
      <c r="H410" s="7"/>
      <c r="I410" s="7"/>
      <c r="J410" s="26" t="str">
        <v>Value Missing</v>
      </c>
      <c r="K410" s="109" t="str">
        <f>CONCATENATE(prefix_mgmt_az1_cidr,"11.116")</f>
        <v>10.11.11.116</v>
      </c>
      <c r="L410" s="66"/>
      <c r="M410" s="121" t="s">
        <v>239</v>
      </c>
    </row>
    <row r="411" spans="1:13" ht="20" customHeight="1" x14ac:dyDescent="0.2">
      <c r="E411" s="7"/>
      <c r="F411" s="7"/>
      <c r="G411" s="7"/>
      <c r="H411" s="7"/>
      <c r="I411" s="7"/>
    </row>
    <row r="412" spans="1:13" ht="20" customHeight="1" x14ac:dyDescent="0.2">
      <c r="E412" s="7"/>
      <c r="F412" s="7"/>
      <c r="G412" s="7"/>
      <c r="H412" s="7"/>
      <c r="I412" s="7"/>
    </row>
    <row r="413" spans="1:13" ht="20" customHeight="1" x14ac:dyDescent="0.2">
      <c r="E413" s="7"/>
      <c r="F413" s="7"/>
      <c r="G413" s="7"/>
      <c r="H413" s="7"/>
      <c r="I413" s="7"/>
    </row>
    <row r="414" spans="1:13" ht="20" customHeight="1" x14ac:dyDescent="0.2">
      <c r="E414" s="7"/>
      <c r="F414" s="7"/>
      <c r="G414" s="7"/>
      <c r="H414" s="7"/>
      <c r="I414" s="7"/>
    </row>
    <row r="415" spans="1:13" ht="20" customHeight="1" x14ac:dyDescent="0.2">
      <c r="E415" s="7"/>
      <c r="F415" s="7"/>
      <c r="G415" s="7"/>
      <c r="H415" s="7"/>
      <c r="I415" s="7"/>
    </row>
    <row r="416" spans="1:13" ht="20" customHeight="1" x14ac:dyDescent="0.2">
      <c r="E416" s="7"/>
      <c r="F416" s="7"/>
      <c r="G416" s="7"/>
      <c r="H416" s="7"/>
      <c r="I416" s="7"/>
    </row>
    <row r="417" spans="5:9" ht="20" customHeight="1" x14ac:dyDescent="0.2">
      <c r="E417" s="7"/>
      <c r="F417" s="7"/>
      <c r="G417" s="7"/>
      <c r="H417" s="7"/>
      <c r="I417" s="7"/>
    </row>
    <row r="418" spans="5:9" ht="20" customHeight="1" x14ac:dyDescent="0.2">
      <c r="E418" s="7"/>
      <c r="F418" s="7"/>
      <c r="G418" s="7"/>
      <c r="H418" s="7"/>
      <c r="I418" s="7"/>
    </row>
    <row r="419" spans="5:9" ht="20" customHeight="1" x14ac:dyDescent="0.2">
      <c r="E419" s="7"/>
      <c r="F419" s="7"/>
      <c r="G419" s="7"/>
      <c r="H419" s="7"/>
      <c r="I419" s="7"/>
    </row>
    <row r="420" spans="5:9" ht="20" customHeight="1" x14ac:dyDescent="0.2">
      <c r="E420" s="7"/>
      <c r="F420" s="7"/>
      <c r="G420" s="7"/>
      <c r="H420" s="7"/>
      <c r="I420" s="7"/>
    </row>
    <row r="421" spans="5:9" ht="20" customHeight="1" x14ac:dyDescent="0.2">
      <c r="E421" s="7"/>
      <c r="F421" s="7"/>
      <c r="G421" s="7"/>
      <c r="H421" s="7"/>
      <c r="I421" s="7"/>
    </row>
    <row r="422" spans="5:9" ht="20" customHeight="1" x14ac:dyDescent="0.2">
      <c r="E422" s="7"/>
      <c r="F422" s="7"/>
      <c r="G422" s="7"/>
      <c r="H422" s="7"/>
      <c r="I422" s="7"/>
    </row>
    <row r="423" spans="5:9" ht="20" customHeight="1" x14ac:dyDescent="0.2">
      <c r="E423" s="7"/>
      <c r="F423" s="7"/>
      <c r="G423" s="7"/>
      <c r="H423" s="7"/>
      <c r="I423" s="7"/>
    </row>
    <row r="424" spans="5:9" ht="20" customHeight="1" x14ac:dyDescent="0.2">
      <c r="E424" s="7"/>
      <c r="F424" s="7"/>
      <c r="G424" s="7"/>
      <c r="H424" s="7"/>
      <c r="I424" s="7"/>
    </row>
    <row r="425" spans="5:9" ht="20" customHeight="1" x14ac:dyDescent="0.2">
      <c r="E425" s="7"/>
      <c r="F425" s="7"/>
      <c r="G425" s="7"/>
      <c r="H425" s="7"/>
      <c r="I425" s="7"/>
    </row>
    <row r="426" spans="5:9" ht="20" customHeight="1" x14ac:dyDescent="0.2">
      <c r="E426" s="7"/>
      <c r="F426" s="7"/>
      <c r="G426" s="7"/>
      <c r="H426" s="7"/>
      <c r="I426" s="7"/>
    </row>
    <row r="427" spans="5:9" ht="20" customHeight="1" x14ac:dyDescent="0.2">
      <c r="E427" s="7"/>
      <c r="F427" s="7"/>
      <c r="G427" s="7"/>
      <c r="H427" s="7"/>
      <c r="I427" s="7"/>
    </row>
    <row r="428" spans="5:9" ht="20" customHeight="1" x14ac:dyDescent="0.2">
      <c r="E428" s="7"/>
      <c r="F428" s="7"/>
      <c r="G428" s="7"/>
      <c r="H428" s="7"/>
      <c r="I428" s="7"/>
    </row>
    <row r="429" spans="5:9" ht="20" customHeight="1" x14ac:dyDescent="0.2">
      <c r="E429" s="7"/>
      <c r="F429" s="7"/>
      <c r="G429" s="7"/>
      <c r="H429" s="7"/>
      <c r="I429" s="7"/>
    </row>
    <row r="430" spans="5:9" ht="20" customHeight="1" x14ac:dyDescent="0.2">
      <c r="E430" s="7"/>
      <c r="F430" s="7"/>
      <c r="G430" s="7"/>
      <c r="H430" s="7"/>
      <c r="I430" s="7"/>
    </row>
    <row r="431" spans="5:9" ht="20" customHeight="1" x14ac:dyDescent="0.2">
      <c r="E431" s="7"/>
      <c r="F431" s="7"/>
      <c r="G431" s="7"/>
      <c r="H431" s="7"/>
      <c r="I431" s="7"/>
    </row>
    <row r="432" spans="5:9" ht="20" customHeight="1" x14ac:dyDescent="0.2">
      <c r="E432" s="7"/>
      <c r="F432" s="7"/>
      <c r="G432" s="7"/>
      <c r="H432" s="7"/>
      <c r="I432" s="7"/>
    </row>
    <row r="433" spans="5:14" ht="20" customHeight="1" x14ac:dyDescent="0.2">
      <c r="E433" s="7"/>
      <c r="F433" s="7"/>
      <c r="G433" s="7"/>
      <c r="H433" s="7"/>
      <c r="I433" s="7"/>
      <c r="L433" s="9">
        <v>1</v>
      </c>
    </row>
    <row r="434" spans="5:14" ht="20" customHeight="1" x14ac:dyDescent="0.2">
      <c r="E434" s="7"/>
      <c r="F434" s="7"/>
      <c r="G434" s="7"/>
      <c r="H434" s="7"/>
      <c r="I434" s="7"/>
    </row>
    <row r="435" spans="5:14" ht="20" customHeight="1" x14ac:dyDescent="0.2">
      <c r="E435" s="7"/>
      <c r="F435" s="7"/>
      <c r="G435" s="7"/>
      <c r="H435" s="7"/>
      <c r="I435" s="7"/>
    </row>
    <row r="436" spans="5:14" ht="20" customHeight="1" x14ac:dyDescent="0.2">
      <c r="E436" s="7"/>
      <c r="F436" s="7"/>
      <c r="G436" s="7"/>
      <c r="H436" s="7"/>
      <c r="I436" s="7"/>
    </row>
    <row r="437" spans="5:14" ht="20" customHeight="1" x14ac:dyDescent="0.2">
      <c r="E437" s="7"/>
      <c r="F437" s="7"/>
      <c r="G437" s="7"/>
      <c r="H437" s="7"/>
      <c r="I437" s="7"/>
    </row>
    <row r="438" spans="5:14" ht="20" customHeight="1" x14ac:dyDescent="0.2">
      <c r="E438" s="7"/>
      <c r="F438" s="7"/>
      <c r="G438" s="7"/>
      <c r="H438" s="7"/>
      <c r="I438" s="7"/>
    </row>
    <row r="439" spans="5:14" ht="20" customHeight="1" x14ac:dyDescent="0.2">
      <c r="E439" s="7"/>
      <c r="F439" s="7"/>
      <c r="G439" s="7"/>
      <c r="H439" s="7"/>
      <c r="I439" s="7"/>
    </row>
    <row r="440" spans="5:14" ht="20" customHeight="1" x14ac:dyDescent="0.2">
      <c r="E440" s="7"/>
      <c r="F440" s="7"/>
      <c r="G440" s="7"/>
      <c r="H440" s="7"/>
      <c r="I440" s="7"/>
    </row>
    <row r="441" spans="5:14" ht="20" customHeight="1" x14ac:dyDescent="0.2">
      <c r="E441" s="7"/>
      <c r="F441" s="7"/>
      <c r="G441" s="7"/>
      <c r="H441" s="7"/>
      <c r="I441" s="7"/>
    </row>
    <row r="442" spans="5:14" ht="20" customHeight="1" x14ac:dyDescent="0.2">
      <c r="E442" s="7"/>
      <c r="F442" s="7"/>
      <c r="G442" s="7"/>
      <c r="H442" s="7"/>
      <c r="I442" s="7"/>
    </row>
    <row r="443" spans="5:14" ht="20" customHeight="1" x14ac:dyDescent="0.2">
      <c r="E443" s="7"/>
      <c r="F443" s="7"/>
      <c r="G443" s="7"/>
      <c r="H443" s="7"/>
      <c r="I443" s="7"/>
      <c r="N443" s="47"/>
    </row>
    <row r="444" spans="5:14" ht="20" customHeight="1" x14ac:dyDescent="0.2">
      <c r="E444" s="7"/>
      <c r="F444" s="7"/>
      <c r="G444" s="7"/>
      <c r="H444" s="7"/>
      <c r="I444" s="7"/>
      <c r="N444" s="2"/>
    </row>
    <row r="445" spans="5:14" ht="20" customHeight="1" x14ac:dyDescent="0.2">
      <c r="E445" s="7"/>
      <c r="F445" s="7"/>
      <c r="G445" s="7"/>
      <c r="H445" s="7"/>
      <c r="I445" s="7"/>
      <c r="N445" s="2"/>
    </row>
    <row r="446" spans="5:14" ht="20" customHeight="1" x14ac:dyDescent="0.2">
      <c r="E446" s="7"/>
      <c r="F446" s="7"/>
      <c r="G446" s="7"/>
      <c r="H446" s="7"/>
      <c r="I446" s="7"/>
      <c r="N446" s="2"/>
    </row>
    <row r="447" spans="5:14" ht="20" customHeight="1" x14ac:dyDescent="0.2">
      <c r="E447" s="7"/>
      <c r="F447" s="7"/>
      <c r="G447" s="7"/>
      <c r="H447" s="7"/>
      <c r="I447" s="7"/>
    </row>
    <row r="448" spans="5:14" ht="20" customHeight="1" x14ac:dyDescent="0.2">
      <c r="E448" s="7"/>
      <c r="F448" s="7"/>
      <c r="G448" s="7"/>
      <c r="H448" s="7"/>
      <c r="I448" s="7"/>
    </row>
    <row r="449" spans="5:9" ht="20" customHeight="1" x14ac:dyDescent="0.2">
      <c r="E449" s="7"/>
      <c r="F449" s="7"/>
      <c r="G449" s="7"/>
      <c r="H449" s="7"/>
      <c r="I449" s="7"/>
    </row>
    <row r="450" spans="5:9" ht="20" customHeight="1" x14ac:dyDescent="0.2">
      <c r="E450" s="7"/>
      <c r="F450" s="7"/>
      <c r="G450" s="7"/>
      <c r="H450" s="7"/>
      <c r="I450" s="7"/>
    </row>
    <row r="451" spans="5:9" ht="20" customHeight="1" x14ac:dyDescent="0.2">
      <c r="E451" s="7"/>
      <c r="F451" s="7"/>
      <c r="G451" s="7"/>
      <c r="H451" s="7"/>
      <c r="I451" s="7"/>
    </row>
    <row r="452" spans="5:9" ht="20" customHeight="1" x14ac:dyDescent="0.2">
      <c r="E452" s="7"/>
      <c r="F452" s="7"/>
      <c r="G452" s="7"/>
      <c r="H452" s="7"/>
      <c r="I452" s="7"/>
    </row>
    <row r="453" spans="5:9" ht="20" customHeight="1" x14ac:dyDescent="0.2">
      <c r="E453" s="7"/>
      <c r="F453" s="7"/>
      <c r="G453" s="7"/>
      <c r="H453" s="7"/>
      <c r="I453" s="7"/>
    </row>
    <row r="454" spans="5:9" ht="20" customHeight="1" x14ac:dyDescent="0.2">
      <c r="E454" s="7"/>
      <c r="F454" s="7"/>
      <c r="G454" s="7"/>
      <c r="H454" s="7"/>
      <c r="I454" s="7"/>
    </row>
    <row r="455" spans="5:9" ht="20" customHeight="1" x14ac:dyDescent="0.2">
      <c r="E455" s="7"/>
      <c r="F455" s="7"/>
      <c r="G455" s="7"/>
      <c r="H455" s="7"/>
      <c r="I455" s="7"/>
    </row>
    <row r="456" spans="5:9" ht="20" customHeight="1" x14ac:dyDescent="0.2">
      <c r="E456" s="7"/>
      <c r="F456" s="7"/>
      <c r="G456" s="7"/>
      <c r="H456" s="7"/>
      <c r="I456" s="7"/>
    </row>
    <row r="457" spans="5:9" ht="20" customHeight="1" x14ac:dyDescent="0.2">
      <c r="E457" s="7"/>
      <c r="F457" s="7"/>
      <c r="G457" s="7"/>
      <c r="H457" s="7"/>
      <c r="I457" s="7"/>
    </row>
    <row r="458" spans="5:9" ht="20" customHeight="1" x14ac:dyDescent="0.2">
      <c r="E458" s="7"/>
      <c r="F458" s="7"/>
      <c r="G458" s="7"/>
      <c r="H458" s="7"/>
      <c r="I458" s="7"/>
    </row>
    <row r="459" spans="5:9" ht="20" customHeight="1" x14ac:dyDescent="0.2">
      <c r="E459" s="7"/>
      <c r="F459" s="7"/>
      <c r="G459" s="7"/>
      <c r="H459" s="7"/>
      <c r="I459" s="7"/>
    </row>
    <row r="460" spans="5:9" ht="20" customHeight="1" x14ac:dyDescent="0.2">
      <c r="E460" s="7"/>
      <c r="F460" s="7"/>
      <c r="G460" s="7"/>
      <c r="H460" s="7"/>
      <c r="I460" s="7"/>
    </row>
    <row r="461" spans="5:9" ht="20" customHeight="1" x14ac:dyDescent="0.2">
      <c r="E461" s="7"/>
      <c r="F461" s="7"/>
      <c r="G461" s="7"/>
      <c r="H461" s="7"/>
      <c r="I461" s="7"/>
    </row>
    <row r="462" spans="5:9" ht="20" customHeight="1" x14ac:dyDescent="0.2">
      <c r="E462" s="7"/>
      <c r="F462" s="7"/>
      <c r="G462" s="7"/>
      <c r="H462" s="7"/>
      <c r="I462" s="7"/>
    </row>
    <row r="463" spans="5:9" ht="20" customHeight="1" x14ac:dyDescent="0.2">
      <c r="E463" s="7"/>
      <c r="F463" s="7"/>
      <c r="G463" s="7"/>
      <c r="H463" s="7"/>
      <c r="I463" s="7"/>
    </row>
    <row r="464" spans="5:9" ht="20" customHeight="1" x14ac:dyDescent="0.2">
      <c r="E464" s="7"/>
      <c r="F464" s="7"/>
      <c r="G464" s="7"/>
      <c r="H464" s="7"/>
      <c r="I464" s="7"/>
    </row>
    <row r="465" spans="5:9" ht="20" customHeight="1" x14ac:dyDescent="0.2">
      <c r="E465" s="7"/>
      <c r="F465" s="7"/>
      <c r="G465" s="7"/>
      <c r="H465" s="7"/>
      <c r="I465" s="7"/>
    </row>
    <row r="466" spans="5:9" ht="20" customHeight="1" x14ac:dyDescent="0.2">
      <c r="E466" s="7"/>
      <c r="F466" s="7"/>
      <c r="G466" s="7"/>
      <c r="H466" s="7"/>
      <c r="I466" s="7"/>
    </row>
    <row r="467" spans="5:9" ht="20" customHeight="1" x14ac:dyDescent="0.2">
      <c r="E467" s="7"/>
      <c r="F467" s="7"/>
      <c r="G467" s="7"/>
      <c r="H467" s="7"/>
      <c r="I467" s="7"/>
    </row>
    <row r="468" spans="5:9" ht="20" customHeight="1" x14ac:dyDescent="0.2">
      <c r="E468" s="7"/>
      <c r="F468" s="7"/>
      <c r="G468" s="7"/>
      <c r="H468" s="7"/>
      <c r="I468" s="7"/>
    </row>
    <row r="469" spans="5:9" ht="20" customHeight="1" x14ac:dyDescent="0.2">
      <c r="E469" s="7"/>
      <c r="F469" s="7"/>
      <c r="G469" s="7"/>
      <c r="H469" s="7"/>
      <c r="I469" s="7"/>
    </row>
    <row r="470" spans="5:9" ht="20" customHeight="1" x14ac:dyDescent="0.2">
      <c r="E470" s="7"/>
      <c r="F470" s="7"/>
      <c r="G470" s="7"/>
      <c r="H470" s="7"/>
      <c r="I470" s="7"/>
    </row>
    <row r="471" spans="5:9" x14ac:dyDescent="0.2">
      <c r="E471" s="7"/>
      <c r="F471" s="7"/>
      <c r="G471" s="7"/>
      <c r="H471" s="7"/>
      <c r="I471" s="7"/>
    </row>
    <row r="472" spans="5:9" hidden="1" x14ac:dyDescent="0.2">
      <c r="E472" s="7"/>
      <c r="F472" s="7"/>
      <c r="G472" s="7"/>
      <c r="H472" s="7"/>
      <c r="I472" s="7"/>
    </row>
    <row r="473" spans="5:9" hidden="1" x14ac:dyDescent="0.2">
      <c r="E473" s="7"/>
      <c r="F473" s="7"/>
      <c r="G473" s="7"/>
      <c r="H473" s="7"/>
      <c r="I473" s="7"/>
    </row>
    <row r="474" spans="5:9" hidden="1" x14ac:dyDescent="0.2">
      <c r="E474" s="7"/>
      <c r="F474" s="7"/>
      <c r="G474" s="7"/>
      <c r="H474" s="7"/>
      <c r="I474" s="7"/>
    </row>
    <row r="475" spans="5:9" hidden="1" x14ac:dyDescent="0.2">
      <c r="E475" s="7"/>
      <c r="F475" s="7"/>
      <c r="G475" s="7"/>
      <c r="H475" s="7"/>
      <c r="I475" s="7"/>
    </row>
    <row r="476" spans="5:9" hidden="1" x14ac:dyDescent="0.2">
      <c r="E476" s="7"/>
      <c r="F476" s="7"/>
      <c r="G476" s="7"/>
      <c r="H476" s="7"/>
      <c r="I476" s="7"/>
    </row>
    <row r="477" spans="5:9" hidden="1" x14ac:dyDescent="0.2">
      <c r="E477" s="7"/>
      <c r="F477" s="7"/>
      <c r="G477" s="7"/>
      <c r="H477" s="7"/>
      <c r="I477" s="7"/>
    </row>
    <row r="478" spans="5:9" hidden="1" x14ac:dyDescent="0.2">
      <c r="E478" s="7"/>
      <c r="F478" s="7"/>
      <c r="G478" s="7"/>
      <c r="H478" s="7"/>
      <c r="I478" s="7"/>
    </row>
    <row r="479" spans="5:9" x14ac:dyDescent="0.2">
      <c r="E479" s="7"/>
      <c r="F479" s="7"/>
      <c r="G479" s="7"/>
      <c r="H479" s="7"/>
      <c r="I479" s="7"/>
    </row>
    <row r="480" spans="5:9" x14ac:dyDescent="0.2">
      <c r="E480" s="7"/>
      <c r="F480" s="7"/>
      <c r="G480" s="7"/>
      <c r="H480" s="7"/>
      <c r="I480" s="7"/>
    </row>
    <row r="481" spans="5:9" x14ac:dyDescent="0.2">
      <c r="E481" s="7"/>
      <c r="F481" s="7"/>
      <c r="G481" s="7"/>
      <c r="H481" s="7"/>
      <c r="I481" s="7"/>
    </row>
    <row r="482" spans="5:9" x14ac:dyDescent="0.2">
      <c r="E482" s="7"/>
      <c r="F482" s="7"/>
      <c r="G482" s="7"/>
      <c r="H482" s="7"/>
      <c r="I482" s="7"/>
    </row>
    <row r="483" spans="5:9" x14ac:dyDescent="0.2">
      <c r="E483" s="7"/>
      <c r="F483" s="7"/>
      <c r="G483" s="7"/>
      <c r="H483" s="7"/>
      <c r="I483" s="7"/>
    </row>
    <row r="484" spans="5:9" x14ac:dyDescent="0.2">
      <c r="E484" s="7"/>
      <c r="F484" s="7"/>
      <c r="G484" s="7"/>
      <c r="H484" s="7"/>
      <c r="I484" s="7"/>
    </row>
    <row r="485" spans="5:9" x14ac:dyDescent="0.2">
      <c r="E485" s="7"/>
      <c r="F485" s="7"/>
      <c r="G485" s="7"/>
      <c r="H485" s="7"/>
      <c r="I485" s="7"/>
    </row>
    <row r="486" spans="5:9" x14ac:dyDescent="0.2">
      <c r="E486" s="7"/>
      <c r="F486" s="7"/>
      <c r="G486" s="7"/>
      <c r="H486" s="7"/>
      <c r="I486" s="7"/>
    </row>
    <row r="487" spans="5:9" x14ac:dyDescent="0.2">
      <c r="E487" s="7"/>
      <c r="F487" s="7"/>
      <c r="G487" s="7"/>
      <c r="H487" s="7"/>
      <c r="I487" s="7"/>
    </row>
    <row r="488" spans="5:9" x14ac:dyDescent="0.2">
      <c r="E488" s="7"/>
      <c r="F488" s="7"/>
      <c r="G488" s="7"/>
      <c r="H488" s="7"/>
      <c r="I488" s="7"/>
    </row>
    <row r="489" spans="5:9" x14ac:dyDescent="0.2">
      <c r="E489" s="7"/>
      <c r="F489" s="7"/>
      <c r="G489" s="7"/>
      <c r="H489" s="7"/>
      <c r="I489" s="7"/>
    </row>
    <row r="490" spans="5:9" x14ac:dyDescent="0.2">
      <c r="E490" s="7"/>
      <c r="F490" s="7"/>
      <c r="G490" s="7"/>
      <c r="H490" s="7"/>
      <c r="I490" s="7"/>
    </row>
    <row r="491" spans="5:9" x14ac:dyDescent="0.2">
      <c r="E491" s="7"/>
      <c r="F491" s="7"/>
      <c r="G491" s="7"/>
      <c r="H491" s="7"/>
      <c r="I491" s="7"/>
    </row>
    <row r="492" spans="5:9" x14ac:dyDescent="0.2">
      <c r="E492" s="7"/>
      <c r="F492" s="7"/>
      <c r="G492" s="7"/>
      <c r="H492" s="7"/>
      <c r="I492" s="7"/>
    </row>
    <row r="493" spans="5:9" x14ac:dyDescent="0.2">
      <c r="E493" s="7"/>
      <c r="F493" s="7"/>
      <c r="G493" s="7"/>
      <c r="H493" s="7"/>
      <c r="I493" s="7"/>
    </row>
    <row r="494" spans="5:9" x14ac:dyDescent="0.2">
      <c r="E494" s="7"/>
      <c r="F494" s="7"/>
      <c r="G494" s="7"/>
      <c r="H494" s="7"/>
      <c r="I494" s="7"/>
    </row>
    <row r="495" spans="5:9" x14ac:dyDescent="0.2">
      <c r="E495" s="7"/>
      <c r="F495" s="7"/>
      <c r="G495" s="7"/>
      <c r="H495" s="7"/>
      <c r="I495" s="7"/>
    </row>
    <row r="496" spans="5:9" x14ac:dyDescent="0.2">
      <c r="E496" s="7"/>
      <c r="F496" s="7"/>
      <c r="G496" s="7"/>
      <c r="H496" s="7"/>
      <c r="I496" s="7"/>
    </row>
    <row r="497" spans="5:9" x14ac:dyDescent="0.2">
      <c r="E497" s="7"/>
      <c r="F497" s="7"/>
      <c r="G497" s="7"/>
      <c r="H497" s="7"/>
      <c r="I497" s="7"/>
    </row>
    <row r="498" spans="5:9" x14ac:dyDescent="0.2">
      <c r="E498" s="7"/>
      <c r="F498" s="7"/>
      <c r="G498" s="7"/>
      <c r="H498" s="7"/>
      <c r="I498" s="7"/>
    </row>
    <row r="499" spans="5:9" x14ac:dyDescent="0.2">
      <c r="E499" s="7"/>
      <c r="F499" s="7"/>
      <c r="G499" s="7"/>
      <c r="H499" s="7"/>
      <c r="I499" s="7"/>
    </row>
    <row r="500" spans="5:9" x14ac:dyDescent="0.2">
      <c r="E500" s="7"/>
      <c r="F500" s="7"/>
      <c r="G500" s="7"/>
      <c r="H500" s="7"/>
      <c r="I500" s="7"/>
    </row>
    <row r="501" spans="5:9" x14ac:dyDescent="0.2">
      <c r="E501" s="7"/>
      <c r="F501" s="7"/>
      <c r="G501" s="7"/>
      <c r="H501" s="7"/>
      <c r="I501" s="7"/>
    </row>
    <row r="502" spans="5:9" x14ac:dyDescent="0.2">
      <c r="E502" s="7"/>
      <c r="F502" s="7"/>
      <c r="G502" s="7"/>
      <c r="H502" s="7"/>
      <c r="I502" s="7"/>
    </row>
    <row r="503" spans="5:9" x14ac:dyDescent="0.2">
      <c r="E503" s="7"/>
      <c r="F503" s="7"/>
      <c r="G503" s="7"/>
      <c r="H503" s="7"/>
      <c r="I503" s="7"/>
    </row>
    <row r="504" spans="5:9" x14ac:dyDescent="0.2">
      <c r="E504" s="7"/>
      <c r="F504" s="7"/>
      <c r="G504" s="7"/>
      <c r="H504" s="7"/>
      <c r="I504" s="7"/>
    </row>
    <row r="505" spans="5:9" x14ac:dyDescent="0.2">
      <c r="E505" s="7"/>
      <c r="F505" s="7"/>
      <c r="G505" s="7"/>
      <c r="H505" s="7"/>
      <c r="I505" s="7"/>
    </row>
    <row r="506" spans="5:9" x14ac:dyDescent="0.2">
      <c r="E506" s="7"/>
      <c r="F506" s="7"/>
      <c r="G506" s="7"/>
      <c r="H506" s="7"/>
      <c r="I506" s="7"/>
    </row>
    <row r="507" spans="5:9" x14ac:dyDescent="0.2">
      <c r="E507" s="7"/>
      <c r="F507" s="7"/>
      <c r="G507" s="7"/>
      <c r="H507" s="7"/>
      <c r="I507" s="7"/>
    </row>
    <row r="508" spans="5:9" x14ac:dyDescent="0.2">
      <c r="E508" s="7"/>
      <c r="F508" s="7"/>
      <c r="G508" s="7"/>
      <c r="H508" s="7"/>
      <c r="I508" s="7"/>
    </row>
    <row r="509" spans="5:9" x14ac:dyDescent="0.2">
      <c r="E509" s="7"/>
      <c r="F509" s="7"/>
      <c r="G509" s="7"/>
      <c r="H509" s="7"/>
      <c r="I509" s="7"/>
    </row>
    <row r="510" spans="5:9" x14ac:dyDescent="0.2">
      <c r="E510" s="7"/>
      <c r="F510" s="7"/>
      <c r="G510" s="7"/>
      <c r="H510" s="7"/>
      <c r="I510" s="7"/>
    </row>
    <row r="511" spans="5:9" x14ac:dyDescent="0.2">
      <c r="E511" s="7"/>
      <c r="F511" s="7"/>
      <c r="G511" s="7"/>
      <c r="H511" s="7"/>
      <c r="I511" s="7"/>
    </row>
    <row r="512" spans="5:9" x14ac:dyDescent="0.2">
      <c r="E512" s="7"/>
      <c r="F512" s="7"/>
      <c r="G512" s="7"/>
      <c r="H512" s="7"/>
      <c r="I512" s="7"/>
    </row>
    <row r="513" spans="5:9" x14ac:dyDescent="0.2">
      <c r="E513" s="7"/>
      <c r="F513" s="7"/>
      <c r="G513" s="7"/>
      <c r="H513" s="7"/>
      <c r="I513" s="7"/>
    </row>
    <row r="514" spans="5:9" x14ac:dyDescent="0.2">
      <c r="E514" s="7"/>
      <c r="F514" s="7"/>
      <c r="G514" s="7"/>
      <c r="H514" s="7"/>
      <c r="I514" s="7"/>
    </row>
    <row r="515" spans="5:9" x14ac:dyDescent="0.2">
      <c r="E515" s="7"/>
      <c r="F515" s="7"/>
      <c r="G515" s="7"/>
      <c r="H515" s="7"/>
      <c r="I515" s="7"/>
    </row>
    <row r="516" spans="5:9" x14ac:dyDescent="0.2">
      <c r="E516" s="7"/>
      <c r="F516" s="7"/>
      <c r="G516" s="7"/>
      <c r="H516" s="7"/>
      <c r="I516" s="7"/>
    </row>
    <row r="517" spans="5:9" x14ac:dyDescent="0.2">
      <c r="E517" s="7"/>
      <c r="F517" s="7"/>
      <c r="G517" s="7"/>
      <c r="H517" s="7"/>
      <c r="I517" s="7"/>
    </row>
    <row r="518" spans="5:9" x14ac:dyDescent="0.2">
      <c r="E518" s="7"/>
      <c r="F518" s="7"/>
      <c r="G518" s="7"/>
      <c r="H518" s="7"/>
      <c r="I518" s="7"/>
    </row>
    <row r="519" spans="5:9" x14ac:dyDescent="0.2">
      <c r="E519" s="7"/>
      <c r="F519" s="7"/>
      <c r="G519" s="7"/>
      <c r="H519" s="7"/>
      <c r="I519" s="7"/>
    </row>
    <row r="520" spans="5:9" x14ac:dyDescent="0.2">
      <c r="E520" s="7"/>
      <c r="F520" s="7"/>
      <c r="G520" s="7"/>
      <c r="H520" s="7"/>
      <c r="I520" s="7"/>
    </row>
    <row r="521" spans="5:9" x14ac:dyDescent="0.2">
      <c r="E521" s="7"/>
      <c r="F521" s="7"/>
      <c r="G521" s="7"/>
      <c r="H521" s="7"/>
      <c r="I521" s="7"/>
    </row>
    <row r="522" spans="5:9" x14ac:dyDescent="0.2">
      <c r="E522" s="7"/>
      <c r="F522" s="7"/>
      <c r="G522" s="7"/>
      <c r="H522" s="7"/>
      <c r="I522" s="7"/>
    </row>
    <row r="523" spans="5:9" x14ac:dyDescent="0.2">
      <c r="E523" s="7"/>
      <c r="F523" s="7"/>
      <c r="G523" s="7"/>
      <c r="H523" s="7"/>
      <c r="I523" s="7"/>
    </row>
    <row r="524" spans="5:9" x14ac:dyDescent="0.2">
      <c r="E524" s="7"/>
      <c r="F524" s="7"/>
      <c r="G524" s="7"/>
      <c r="H524" s="7"/>
      <c r="I524" s="7"/>
    </row>
    <row r="525" spans="5:9" x14ac:dyDescent="0.2">
      <c r="E525" s="7"/>
      <c r="F525" s="7"/>
      <c r="G525" s="7"/>
      <c r="H525" s="7"/>
      <c r="I525" s="7"/>
    </row>
    <row r="526" spans="5:9" x14ac:dyDescent="0.2">
      <c r="E526" s="7"/>
      <c r="F526" s="7"/>
      <c r="G526" s="7"/>
      <c r="H526" s="7"/>
      <c r="I526" s="7"/>
    </row>
    <row r="527" spans="5:9" x14ac:dyDescent="0.2">
      <c r="E527" s="7"/>
      <c r="F527" s="7"/>
      <c r="G527" s="7"/>
      <c r="H527" s="7"/>
      <c r="I527" s="7"/>
    </row>
    <row r="528" spans="5:9" x14ac:dyDescent="0.2">
      <c r="E528" s="7"/>
      <c r="F528" s="7"/>
      <c r="G528" s="7"/>
      <c r="H528" s="7"/>
      <c r="I528" s="7"/>
    </row>
    <row r="529" spans="5:9" x14ac:dyDescent="0.2">
      <c r="E529" s="7"/>
      <c r="F529" s="7"/>
      <c r="G529" s="7"/>
      <c r="H529" s="7"/>
      <c r="I529" s="7"/>
    </row>
    <row r="530" spans="5:9" x14ac:dyDescent="0.2">
      <c r="E530" s="7"/>
      <c r="F530" s="7"/>
      <c r="G530" s="7"/>
      <c r="H530" s="7"/>
      <c r="I530" s="7"/>
    </row>
    <row r="531" spans="5:9" x14ac:dyDescent="0.2">
      <c r="E531" s="7"/>
      <c r="F531" s="7"/>
      <c r="G531" s="7"/>
      <c r="H531" s="7"/>
      <c r="I531" s="7"/>
    </row>
    <row r="532" spans="5:9" x14ac:dyDescent="0.2">
      <c r="E532" s="7"/>
      <c r="F532" s="7"/>
      <c r="G532" s="7"/>
      <c r="H532" s="7"/>
      <c r="I532" s="7"/>
    </row>
    <row r="533" spans="5:9" x14ac:dyDescent="0.2">
      <c r="E533" s="7"/>
      <c r="F533" s="7"/>
      <c r="G533" s="7"/>
      <c r="H533" s="7"/>
      <c r="I533" s="7"/>
    </row>
    <row r="534" spans="5:9" x14ac:dyDescent="0.2">
      <c r="E534" s="7"/>
      <c r="F534" s="7"/>
      <c r="G534" s="7"/>
      <c r="H534" s="7"/>
      <c r="I534" s="7"/>
    </row>
    <row r="535" spans="5:9" x14ac:dyDescent="0.2">
      <c r="E535" s="7"/>
      <c r="F535" s="7"/>
      <c r="G535" s="7"/>
      <c r="H535" s="7"/>
      <c r="I535" s="7"/>
    </row>
    <row r="536" spans="5:9" x14ac:dyDescent="0.2">
      <c r="E536" s="7"/>
      <c r="F536" s="7"/>
      <c r="G536" s="7"/>
      <c r="H536" s="7"/>
      <c r="I536" s="7"/>
    </row>
    <row r="537" spans="5:9" x14ac:dyDescent="0.2">
      <c r="E537" s="7"/>
      <c r="F537" s="7"/>
      <c r="G537" s="7"/>
      <c r="H537" s="7"/>
      <c r="I537" s="7"/>
    </row>
    <row r="538" spans="5:9" x14ac:dyDescent="0.2">
      <c r="E538" s="7"/>
      <c r="F538" s="7"/>
      <c r="G538" s="7"/>
      <c r="H538" s="7"/>
      <c r="I538" s="7"/>
    </row>
    <row r="539" spans="5:9" x14ac:dyDescent="0.2">
      <c r="E539" s="7"/>
      <c r="F539" s="7"/>
      <c r="G539" s="7"/>
      <c r="H539" s="7"/>
      <c r="I539" s="7"/>
    </row>
    <row r="540" spans="5:9" x14ac:dyDescent="0.2">
      <c r="E540" s="7"/>
      <c r="F540" s="7"/>
      <c r="G540" s="7"/>
      <c r="H540" s="7"/>
      <c r="I540" s="7"/>
    </row>
    <row r="541" spans="5:9" x14ac:dyDescent="0.2">
      <c r="E541" s="7"/>
      <c r="F541" s="7"/>
      <c r="G541" s="7"/>
      <c r="H541" s="7"/>
      <c r="I541" s="7"/>
    </row>
    <row r="542" spans="5:9" x14ac:dyDescent="0.2">
      <c r="E542" s="7"/>
      <c r="F542" s="7"/>
      <c r="G542" s="7"/>
      <c r="H542" s="7"/>
      <c r="I542" s="7"/>
    </row>
    <row r="543" spans="5:9" x14ac:dyDescent="0.2">
      <c r="E543" s="7"/>
      <c r="F543" s="7"/>
      <c r="G543" s="7"/>
      <c r="H543" s="7"/>
      <c r="I543" s="7"/>
    </row>
    <row r="544" spans="5:9" x14ac:dyDescent="0.2">
      <c r="E544" s="7"/>
      <c r="F544" s="7"/>
      <c r="G544" s="7"/>
      <c r="H544" s="7"/>
      <c r="I544" s="7"/>
    </row>
    <row r="545" spans="5:9" x14ac:dyDescent="0.2">
      <c r="E545" s="7"/>
      <c r="F545" s="7"/>
      <c r="G545" s="7"/>
      <c r="H545" s="7"/>
      <c r="I545" s="7"/>
    </row>
    <row r="546" spans="5:9" x14ac:dyDescent="0.2">
      <c r="E546" s="7"/>
      <c r="F546" s="7"/>
      <c r="G546" s="7"/>
      <c r="H546" s="7"/>
      <c r="I546" s="7"/>
    </row>
    <row r="547" spans="5:9" x14ac:dyDescent="0.2">
      <c r="E547" s="7"/>
      <c r="F547" s="7"/>
      <c r="G547" s="7"/>
      <c r="H547" s="7"/>
      <c r="I547" s="7"/>
    </row>
    <row r="548" spans="5:9" x14ac:dyDescent="0.2">
      <c r="E548" s="7"/>
      <c r="F548" s="7"/>
      <c r="G548" s="7"/>
      <c r="H548" s="7"/>
      <c r="I548" s="7"/>
    </row>
    <row r="549" spans="5:9" x14ac:dyDescent="0.2">
      <c r="E549" s="7"/>
      <c r="F549" s="7"/>
      <c r="G549" s="7"/>
      <c r="H549" s="7"/>
      <c r="I549" s="7"/>
    </row>
    <row r="550" spans="5:9" x14ac:dyDescent="0.2">
      <c r="E550" s="7"/>
      <c r="F550" s="7"/>
      <c r="G550" s="7"/>
      <c r="H550" s="7"/>
      <c r="I550" s="7"/>
    </row>
    <row r="551" spans="5:9" x14ac:dyDescent="0.2">
      <c r="E551" s="7"/>
      <c r="F551" s="7"/>
      <c r="G551" s="7"/>
      <c r="H551" s="7"/>
      <c r="I551" s="7"/>
    </row>
    <row r="552" spans="5:9" x14ac:dyDescent="0.2">
      <c r="E552" s="7"/>
      <c r="F552" s="7"/>
      <c r="G552" s="7"/>
      <c r="H552" s="7"/>
      <c r="I552" s="7"/>
    </row>
    <row r="553" spans="5:9" x14ac:dyDescent="0.2">
      <c r="E553" s="7"/>
      <c r="F553" s="7"/>
      <c r="G553" s="7"/>
      <c r="H553" s="7"/>
      <c r="I553" s="7"/>
    </row>
    <row r="554" spans="5:9" x14ac:dyDescent="0.2">
      <c r="E554" s="7"/>
      <c r="F554" s="7"/>
      <c r="G554" s="7"/>
      <c r="H554" s="7"/>
      <c r="I554" s="7"/>
    </row>
    <row r="555" spans="5:9" x14ac:dyDescent="0.2">
      <c r="E555" s="7"/>
      <c r="F555" s="7"/>
      <c r="G555" s="7"/>
      <c r="H555" s="7"/>
      <c r="I555" s="7"/>
    </row>
    <row r="556" spans="5:9" x14ac:dyDescent="0.2">
      <c r="E556" s="7"/>
      <c r="F556" s="7"/>
      <c r="G556" s="7"/>
      <c r="H556" s="7"/>
      <c r="I556" s="7"/>
    </row>
    <row r="557" spans="5:9" x14ac:dyDescent="0.2">
      <c r="E557" s="7"/>
      <c r="F557" s="7"/>
      <c r="G557" s="7"/>
      <c r="H557" s="7"/>
      <c r="I557" s="7"/>
    </row>
    <row r="558" spans="5:9" x14ac:dyDescent="0.2">
      <c r="E558" s="7"/>
      <c r="F558" s="7"/>
      <c r="G558" s="7"/>
      <c r="H558" s="7"/>
      <c r="I558" s="7"/>
    </row>
    <row r="559" spans="5:9" x14ac:dyDescent="0.2">
      <c r="E559" s="7"/>
      <c r="F559" s="7"/>
      <c r="G559" s="7"/>
      <c r="H559" s="7"/>
      <c r="I559" s="7"/>
    </row>
    <row r="560" spans="5:9" x14ac:dyDescent="0.2">
      <c r="E560" s="7"/>
      <c r="F560" s="7"/>
      <c r="G560" s="7"/>
      <c r="H560" s="7"/>
      <c r="I560" s="7"/>
    </row>
    <row r="561" spans="5:9" x14ac:dyDescent="0.2">
      <c r="E561" s="7"/>
      <c r="F561" s="7"/>
      <c r="G561" s="7"/>
      <c r="H561" s="7"/>
      <c r="I561" s="7"/>
    </row>
    <row r="562" spans="5:9" x14ac:dyDescent="0.2">
      <c r="E562" s="7"/>
      <c r="F562" s="7"/>
      <c r="G562" s="7"/>
      <c r="H562" s="7"/>
      <c r="I562" s="7"/>
    </row>
    <row r="563" spans="5:9" x14ac:dyDescent="0.2">
      <c r="E563" s="7"/>
      <c r="F563" s="7"/>
      <c r="G563" s="7"/>
      <c r="H563" s="7"/>
      <c r="I563" s="7"/>
    </row>
    <row r="564" spans="5:9" x14ac:dyDescent="0.2">
      <c r="E564" s="7"/>
      <c r="F564" s="7"/>
      <c r="G564" s="7"/>
      <c r="H564" s="7"/>
      <c r="I564" s="7"/>
    </row>
    <row r="565" spans="5:9" x14ac:dyDescent="0.2">
      <c r="E565" s="7"/>
      <c r="F565" s="7"/>
      <c r="G565" s="7"/>
      <c r="H565" s="7"/>
      <c r="I565" s="7"/>
    </row>
    <row r="566" spans="5:9" x14ac:dyDescent="0.2">
      <c r="E566" s="7"/>
      <c r="F566" s="7"/>
      <c r="G566" s="7"/>
      <c r="H566" s="7"/>
      <c r="I566" s="7"/>
    </row>
    <row r="567" spans="5:9" x14ac:dyDescent="0.2">
      <c r="E567" s="7"/>
      <c r="F567" s="7"/>
      <c r="G567" s="7"/>
      <c r="H567" s="7"/>
      <c r="I567" s="7"/>
    </row>
    <row r="568" spans="5:9" x14ac:dyDescent="0.2">
      <c r="E568" s="7"/>
      <c r="F568" s="7"/>
      <c r="G568" s="7"/>
      <c r="H568" s="7"/>
      <c r="I568" s="7"/>
    </row>
    <row r="569" spans="5:9" x14ac:dyDescent="0.2">
      <c r="E569" s="7"/>
      <c r="F569" s="7"/>
      <c r="G569" s="7"/>
      <c r="H569" s="7"/>
      <c r="I569" s="7"/>
    </row>
    <row r="570" spans="5:9" x14ac:dyDescent="0.2">
      <c r="E570" s="7"/>
      <c r="F570" s="7"/>
      <c r="G570" s="7"/>
      <c r="H570" s="7"/>
      <c r="I570" s="7"/>
    </row>
    <row r="571" spans="5:9" x14ac:dyDescent="0.2">
      <c r="E571" s="7"/>
      <c r="F571" s="7"/>
      <c r="G571" s="7"/>
      <c r="H571" s="7"/>
      <c r="I571" s="7"/>
    </row>
    <row r="572" spans="5:9" x14ac:dyDescent="0.2">
      <c r="E572" s="7"/>
      <c r="F572" s="7"/>
      <c r="G572" s="7"/>
      <c r="H572" s="7"/>
      <c r="I572" s="7"/>
    </row>
    <row r="573" spans="5:9" x14ac:dyDescent="0.2">
      <c r="E573" s="7"/>
      <c r="F573" s="7"/>
      <c r="G573" s="7"/>
      <c r="H573" s="7"/>
      <c r="I573" s="7"/>
    </row>
    <row r="574" spans="5:9" x14ac:dyDescent="0.2">
      <c r="E574" s="7"/>
      <c r="F574" s="7"/>
      <c r="G574" s="7"/>
      <c r="H574" s="7"/>
      <c r="I574" s="7"/>
    </row>
    <row r="575" spans="5:9" x14ac:dyDescent="0.2">
      <c r="E575" s="7"/>
      <c r="F575" s="7"/>
      <c r="G575" s="7"/>
      <c r="H575" s="7"/>
      <c r="I575" s="7"/>
    </row>
    <row r="576" spans="5:9" x14ac:dyDescent="0.2">
      <c r="E576" s="7"/>
      <c r="F576" s="7"/>
      <c r="G576" s="7"/>
      <c r="H576" s="7"/>
      <c r="I576" s="7"/>
    </row>
    <row r="577" spans="5:9" x14ac:dyDescent="0.2">
      <c r="E577" s="7"/>
      <c r="F577" s="7"/>
      <c r="G577" s="7"/>
      <c r="H577" s="7"/>
      <c r="I577" s="7"/>
    </row>
    <row r="578" spans="5:9" x14ac:dyDescent="0.2">
      <c r="E578" s="7"/>
      <c r="F578" s="7"/>
      <c r="G578" s="7"/>
      <c r="H578" s="7"/>
      <c r="I578" s="7"/>
    </row>
    <row r="579" spans="5:9" x14ac:dyDescent="0.2">
      <c r="E579" s="7"/>
      <c r="F579" s="7"/>
      <c r="G579" s="7"/>
      <c r="H579" s="7"/>
      <c r="I579" s="7"/>
    </row>
    <row r="580" spans="5:9" x14ac:dyDescent="0.2">
      <c r="E580" s="7"/>
      <c r="F580" s="7"/>
      <c r="G580" s="7"/>
      <c r="H580" s="7"/>
      <c r="I580" s="7"/>
    </row>
    <row r="581" spans="5:9" x14ac:dyDescent="0.2">
      <c r="E581" s="7"/>
      <c r="F581" s="7"/>
      <c r="G581" s="7"/>
      <c r="H581" s="7"/>
      <c r="I581" s="7"/>
    </row>
    <row r="582" spans="5:9" x14ac:dyDescent="0.2">
      <c r="E582" s="7"/>
      <c r="F582" s="7"/>
      <c r="G582" s="7"/>
      <c r="H582" s="7"/>
      <c r="I582" s="7"/>
    </row>
    <row r="583" spans="5:9" x14ac:dyDescent="0.2">
      <c r="E583" s="7"/>
      <c r="F583" s="7"/>
      <c r="G583" s="7"/>
      <c r="H583" s="7"/>
      <c r="I583" s="7"/>
    </row>
    <row r="584" spans="5:9" x14ac:dyDescent="0.2">
      <c r="E584" s="7"/>
      <c r="F584" s="7"/>
      <c r="G584" s="7"/>
      <c r="H584" s="7"/>
      <c r="I584" s="7"/>
    </row>
    <row r="585" spans="5:9" x14ac:dyDescent="0.2">
      <c r="E585" s="7"/>
      <c r="F585" s="7"/>
      <c r="G585" s="7"/>
      <c r="H585" s="7"/>
      <c r="I585" s="7"/>
    </row>
    <row r="586" spans="5:9" x14ac:dyDescent="0.2">
      <c r="E586" s="7"/>
      <c r="F586" s="7"/>
      <c r="G586" s="7"/>
      <c r="H586" s="7"/>
      <c r="I586" s="7"/>
    </row>
    <row r="587" spans="5:9" x14ac:dyDescent="0.2">
      <c r="E587" s="7"/>
      <c r="F587" s="7"/>
      <c r="G587" s="7"/>
      <c r="H587" s="7"/>
      <c r="I587" s="7"/>
    </row>
    <row r="588" spans="5:9" x14ac:dyDescent="0.2">
      <c r="E588" s="7"/>
      <c r="F588" s="7"/>
      <c r="G588" s="7"/>
      <c r="H588" s="7"/>
      <c r="I588" s="7"/>
    </row>
    <row r="589" spans="5:9" x14ac:dyDescent="0.2">
      <c r="E589" s="7"/>
      <c r="F589" s="7"/>
      <c r="G589" s="7"/>
      <c r="H589" s="7"/>
      <c r="I589" s="7"/>
    </row>
    <row r="590" spans="5:9" x14ac:dyDescent="0.2">
      <c r="E590" s="7"/>
      <c r="F590" s="7"/>
      <c r="G590" s="7"/>
      <c r="H590" s="7"/>
      <c r="I590" s="7"/>
    </row>
    <row r="591" spans="5:9" x14ac:dyDescent="0.2">
      <c r="E591" s="7"/>
      <c r="F591" s="7"/>
      <c r="G591" s="7"/>
      <c r="H591" s="7"/>
      <c r="I591" s="7"/>
    </row>
    <row r="592" spans="5:9" x14ac:dyDescent="0.2">
      <c r="E592" s="7"/>
      <c r="F592" s="7"/>
      <c r="G592" s="7"/>
      <c r="H592" s="7"/>
      <c r="I592" s="7"/>
    </row>
    <row r="593" spans="5:9" x14ac:dyDescent="0.2">
      <c r="E593" s="7"/>
      <c r="F593" s="7"/>
      <c r="G593" s="7"/>
      <c r="H593" s="7"/>
      <c r="I593" s="7"/>
    </row>
    <row r="594" spans="5:9" x14ac:dyDescent="0.2">
      <c r="E594" s="7"/>
      <c r="F594" s="7"/>
      <c r="G594" s="7"/>
      <c r="H594" s="7"/>
      <c r="I594" s="7"/>
    </row>
    <row r="595" spans="5:9" x14ac:dyDescent="0.2">
      <c r="E595" s="7"/>
      <c r="F595" s="7"/>
      <c r="G595" s="7"/>
      <c r="H595" s="7"/>
      <c r="I595" s="7"/>
    </row>
    <row r="596" spans="5:9" x14ac:dyDescent="0.2">
      <c r="E596" s="7"/>
      <c r="F596" s="7"/>
      <c r="G596" s="7"/>
      <c r="H596" s="7"/>
      <c r="I596" s="7"/>
    </row>
    <row r="597" spans="5:9" x14ac:dyDescent="0.2">
      <c r="E597" s="7"/>
      <c r="F597" s="7"/>
      <c r="G597" s="7"/>
      <c r="H597" s="7"/>
      <c r="I597" s="7"/>
    </row>
    <row r="598" spans="5:9" x14ac:dyDescent="0.2">
      <c r="E598" s="7"/>
      <c r="F598" s="7"/>
      <c r="G598" s="7"/>
      <c r="H598" s="7"/>
      <c r="I598" s="7"/>
    </row>
    <row r="599" spans="5:9" x14ac:dyDescent="0.2">
      <c r="E599" s="7"/>
      <c r="F599" s="7"/>
      <c r="G599" s="7"/>
      <c r="H599" s="7"/>
      <c r="I599" s="7"/>
    </row>
    <row r="600" spans="5:9" x14ac:dyDescent="0.2">
      <c r="E600" s="7"/>
      <c r="F600" s="7"/>
      <c r="G600" s="7"/>
      <c r="H600" s="7"/>
      <c r="I600" s="7"/>
    </row>
    <row r="601" spans="5:9" x14ac:dyDescent="0.2">
      <c r="E601" s="7"/>
      <c r="F601" s="7"/>
      <c r="G601" s="7"/>
      <c r="H601" s="7"/>
      <c r="I601" s="7"/>
    </row>
    <row r="602" spans="5:9" x14ac:dyDescent="0.2">
      <c r="E602" s="7"/>
      <c r="F602" s="7"/>
      <c r="G602" s="7"/>
      <c r="H602" s="7"/>
      <c r="I602" s="7"/>
    </row>
    <row r="603" spans="5:9" x14ac:dyDescent="0.2">
      <c r="E603" s="7"/>
      <c r="F603" s="7"/>
      <c r="G603" s="7"/>
      <c r="H603" s="7"/>
      <c r="I603" s="7"/>
    </row>
    <row r="604" spans="5:9" x14ac:dyDescent="0.2">
      <c r="E604" s="7"/>
      <c r="F604" s="7"/>
      <c r="G604" s="7"/>
      <c r="H604" s="7"/>
      <c r="I604" s="7"/>
    </row>
    <row r="605" spans="5:9" x14ac:dyDescent="0.2">
      <c r="E605" s="7"/>
      <c r="F605" s="7"/>
      <c r="G605" s="7"/>
      <c r="H605" s="7"/>
      <c r="I605" s="7"/>
    </row>
    <row r="606" spans="5:9" x14ac:dyDescent="0.2">
      <c r="E606" s="7"/>
      <c r="F606" s="7"/>
      <c r="G606" s="7"/>
      <c r="H606" s="7"/>
      <c r="I606" s="7"/>
    </row>
    <row r="607" spans="5:9" x14ac:dyDescent="0.2">
      <c r="E607" s="7"/>
      <c r="F607" s="7"/>
      <c r="G607" s="7"/>
      <c r="H607" s="7"/>
      <c r="I607" s="7"/>
    </row>
    <row r="608" spans="5:9" x14ac:dyDescent="0.2">
      <c r="E608" s="7"/>
      <c r="F608" s="7"/>
      <c r="G608" s="7"/>
      <c r="H608" s="7"/>
      <c r="I608" s="7"/>
    </row>
    <row r="609" spans="5:9" x14ac:dyDescent="0.2">
      <c r="E609" s="7"/>
      <c r="F609" s="7"/>
      <c r="G609" s="7"/>
      <c r="H609" s="7"/>
      <c r="I609" s="7"/>
    </row>
    <row r="610" spans="5:9" x14ac:dyDescent="0.2">
      <c r="E610" s="7"/>
      <c r="F610" s="7"/>
      <c r="G610" s="7"/>
      <c r="H610" s="7"/>
      <c r="I610" s="7"/>
    </row>
    <row r="611" spans="5:9" x14ac:dyDescent="0.2">
      <c r="E611" s="7"/>
      <c r="F611" s="7"/>
      <c r="G611" s="7"/>
      <c r="H611" s="7"/>
      <c r="I611" s="7"/>
    </row>
    <row r="612" spans="5:9" x14ac:dyDescent="0.2">
      <c r="E612" s="7"/>
      <c r="F612" s="7"/>
      <c r="G612" s="7"/>
      <c r="H612" s="7"/>
      <c r="I612" s="7"/>
    </row>
    <row r="613" spans="5:9" x14ac:dyDescent="0.2">
      <c r="E613" s="7"/>
      <c r="F613" s="7"/>
      <c r="G613" s="7"/>
      <c r="H613" s="7"/>
      <c r="I613" s="7"/>
    </row>
    <row r="614" spans="5:9" x14ac:dyDescent="0.2">
      <c r="E614" s="7"/>
      <c r="F614" s="7"/>
      <c r="G614" s="7"/>
      <c r="H614" s="7"/>
      <c r="I614" s="7"/>
    </row>
    <row r="615" spans="5:9" x14ac:dyDescent="0.2">
      <c r="E615" s="7"/>
      <c r="F615" s="7"/>
      <c r="G615" s="7"/>
      <c r="H615" s="7"/>
      <c r="I615" s="7"/>
    </row>
    <row r="616" spans="5:9" x14ac:dyDescent="0.2">
      <c r="E616" s="7"/>
      <c r="F616" s="7"/>
      <c r="G616" s="7"/>
      <c r="H616" s="7"/>
      <c r="I616" s="7"/>
    </row>
    <row r="617" spans="5:9" x14ac:dyDescent="0.2">
      <c r="E617" s="7"/>
      <c r="F617" s="7"/>
      <c r="G617" s="7"/>
      <c r="H617" s="7"/>
      <c r="I617" s="7"/>
    </row>
    <row r="618" spans="5:9" x14ac:dyDescent="0.2">
      <c r="E618" s="7"/>
      <c r="F618" s="7"/>
      <c r="G618" s="7"/>
      <c r="H618" s="7"/>
      <c r="I618" s="7"/>
    </row>
    <row r="619" spans="5:9" x14ac:dyDescent="0.2">
      <c r="E619" s="7"/>
      <c r="F619" s="7"/>
      <c r="G619" s="7"/>
      <c r="H619" s="7"/>
      <c r="I619" s="7"/>
    </row>
    <row r="620" spans="5:9" x14ac:dyDescent="0.2">
      <c r="E620" s="7"/>
      <c r="F620" s="7"/>
      <c r="G620" s="7"/>
      <c r="H620" s="7"/>
      <c r="I620" s="7"/>
    </row>
    <row r="621" spans="5:9" x14ac:dyDescent="0.2">
      <c r="E621" s="7"/>
      <c r="F621" s="7"/>
      <c r="G621" s="7"/>
      <c r="H621" s="7"/>
      <c r="I621" s="7"/>
    </row>
    <row r="622" spans="5:9" x14ac:dyDescent="0.2">
      <c r="E622" s="7"/>
      <c r="F622" s="7"/>
      <c r="G622" s="7"/>
      <c r="H622" s="7"/>
      <c r="I622" s="7"/>
    </row>
    <row r="623" spans="5:9" x14ac:dyDescent="0.2">
      <c r="E623" s="7"/>
      <c r="F623" s="7"/>
      <c r="G623" s="7"/>
      <c r="H623" s="7"/>
      <c r="I623" s="7"/>
    </row>
    <row r="624" spans="5:9" x14ac:dyDescent="0.2">
      <c r="E624" s="7"/>
      <c r="F624" s="7"/>
      <c r="G624" s="7"/>
      <c r="H624" s="7"/>
      <c r="I624" s="7"/>
    </row>
    <row r="625" spans="5:9" x14ac:dyDescent="0.2">
      <c r="E625" s="7"/>
      <c r="F625" s="7"/>
      <c r="G625" s="7"/>
      <c r="H625" s="7"/>
      <c r="I625" s="7"/>
    </row>
    <row r="626" spans="5:9" x14ac:dyDescent="0.2">
      <c r="E626" s="7"/>
      <c r="F626" s="7"/>
      <c r="G626" s="7"/>
      <c r="H626" s="7"/>
      <c r="I626" s="7"/>
    </row>
    <row r="627" spans="5:9" x14ac:dyDescent="0.2">
      <c r="E627" s="7"/>
      <c r="F627" s="7"/>
      <c r="G627" s="7"/>
      <c r="H627" s="7"/>
      <c r="I627" s="7"/>
    </row>
    <row r="628" spans="5:9" x14ac:dyDescent="0.2">
      <c r="E628" s="7"/>
      <c r="F628" s="7"/>
      <c r="G628" s="7"/>
      <c r="H628" s="7"/>
      <c r="I628" s="7"/>
    </row>
    <row r="629" spans="5:9" x14ac:dyDescent="0.2">
      <c r="E629" s="7"/>
      <c r="F629" s="7"/>
      <c r="G629" s="7"/>
      <c r="H629" s="7"/>
      <c r="I629" s="7"/>
    </row>
    <row r="630" spans="5:9" x14ac:dyDescent="0.2">
      <c r="E630" s="7"/>
      <c r="F630" s="7"/>
      <c r="G630" s="7"/>
      <c r="H630" s="7"/>
      <c r="I630" s="7"/>
    </row>
    <row r="631" spans="5:9" x14ac:dyDescent="0.2">
      <c r="E631" s="7"/>
      <c r="F631" s="7"/>
      <c r="G631" s="7"/>
      <c r="H631" s="7"/>
      <c r="I631" s="7"/>
    </row>
    <row r="632" spans="5:9" x14ac:dyDescent="0.2">
      <c r="E632" s="7"/>
      <c r="F632" s="7"/>
      <c r="G632" s="7"/>
      <c r="H632" s="7"/>
      <c r="I632" s="7"/>
    </row>
    <row r="633" spans="5:9" x14ac:dyDescent="0.2">
      <c r="E633" s="7"/>
      <c r="F633" s="7"/>
      <c r="G633" s="7"/>
      <c r="H633" s="7"/>
      <c r="I633" s="7"/>
    </row>
    <row r="634" spans="5:9" x14ac:dyDescent="0.2">
      <c r="E634" s="7"/>
      <c r="F634" s="7"/>
      <c r="G634" s="7"/>
      <c r="H634" s="7"/>
      <c r="I634" s="7"/>
    </row>
    <row r="635" spans="5:9" x14ac:dyDescent="0.2">
      <c r="E635" s="7"/>
      <c r="F635" s="7"/>
      <c r="G635" s="7"/>
      <c r="H635" s="7"/>
      <c r="I635" s="7"/>
    </row>
    <row r="636" spans="5:9" x14ac:dyDescent="0.2">
      <c r="E636" s="7"/>
      <c r="F636" s="7"/>
      <c r="G636" s="7"/>
      <c r="H636" s="7"/>
      <c r="I636" s="7"/>
    </row>
    <row r="637" spans="5:9" x14ac:dyDescent="0.2">
      <c r="E637" s="7"/>
      <c r="F637" s="7"/>
      <c r="G637" s="7"/>
      <c r="H637" s="7"/>
      <c r="I637" s="7"/>
    </row>
    <row r="638" spans="5:9" x14ac:dyDescent="0.2">
      <c r="E638" s="7"/>
      <c r="F638" s="7"/>
      <c r="G638" s="7"/>
      <c r="H638" s="7"/>
      <c r="I638" s="7"/>
    </row>
    <row r="639" spans="5:9" x14ac:dyDescent="0.2">
      <c r="E639" s="7"/>
      <c r="F639" s="7"/>
      <c r="G639" s="7"/>
      <c r="H639" s="7"/>
      <c r="I639" s="7"/>
    </row>
    <row r="640" spans="5:9" x14ac:dyDescent="0.2">
      <c r="E640" s="7"/>
      <c r="F640" s="7"/>
      <c r="G640" s="7"/>
      <c r="H640" s="7"/>
      <c r="I640" s="7"/>
    </row>
    <row r="641" spans="5:9" x14ac:dyDescent="0.2">
      <c r="E641" s="7"/>
      <c r="F641" s="7"/>
      <c r="G641" s="7"/>
      <c r="H641" s="7"/>
      <c r="I641" s="7"/>
    </row>
    <row r="642" spans="5:9" x14ac:dyDescent="0.2">
      <c r="E642" s="7"/>
      <c r="F642" s="7"/>
      <c r="G642" s="7"/>
      <c r="H642" s="7"/>
      <c r="I642" s="7"/>
    </row>
    <row r="643" spans="5:9" x14ac:dyDescent="0.2">
      <c r="E643" s="7"/>
      <c r="F643" s="7"/>
      <c r="G643" s="7"/>
      <c r="H643" s="7"/>
      <c r="I643" s="7"/>
    </row>
    <row r="644" spans="5:9" x14ac:dyDescent="0.2">
      <c r="E644" s="7"/>
      <c r="F644" s="7"/>
      <c r="G644" s="7"/>
      <c r="H644" s="7"/>
      <c r="I644" s="7"/>
    </row>
    <row r="645" spans="5:9" x14ac:dyDescent="0.2">
      <c r="E645" s="7"/>
      <c r="F645" s="7"/>
      <c r="G645" s="7"/>
      <c r="H645" s="7"/>
      <c r="I645" s="7"/>
    </row>
    <row r="646" spans="5:9" x14ac:dyDescent="0.2">
      <c r="E646" s="7"/>
      <c r="F646" s="7"/>
      <c r="G646" s="7"/>
      <c r="H646" s="7"/>
      <c r="I646" s="7"/>
    </row>
    <row r="647" spans="5:9" x14ac:dyDescent="0.2">
      <c r="E647" s="7"/>
      <c r="F647" s="7"/>
      <c r="G647" s="7"/>
      <c r="H647" s="7"/>
      <c r="I647" s="7"/>
    </row>
    <row r="648" spans="5:9" x14ac:dyDescent="0.2">
      <c r="E648" s="7"/>
      <c r="F648" s="7"/>
      <c r="G648" s="7"/>
      <c r="H648" s="7"/>
      <c r="I648" s="7"/>
    </row>
    <row r="649" spans="5:9" x14ac:dyDescent="0.2">
      <c r="E649" s="7"/>
      <c r="F649" s="7"/>
      <c r="G649" s="7"/>
      <c r="H649" s="7"/>
      <c r="I649" s="7"/>
    </row>
    <row r="650" spans="5:9" x14ac:dyDescent="0.2">
      <c r="E650" s="7"/>
      <c r="F650" s="7"/>
      <c r="G650" s="7"/>
      <c r="H650" s="7"/>
      <c r="I650" s="7"/>
    </row>
    <row r="651" spans="5:9" x14ac:dyDescent="0.2">
      <c r="E651" s="7"/>
      <c r="F651" s="7"/>
      <c r="G651" s="7"/>
      <c r="H651" s="7"/>
      <c r="I651" s="7"/>
    </row>
    <row r="652" spans="5:9" x14ac:dyDescent="0.2">
      <c r="E652" s="7"/>
      <c r="F652" s="7"/>
      <c r="G652" s="7"/>
      <c r="H652" s="7"/>
      <c r="I652" s="7"/>
    </row>
    <row r="653" spans="5:9" x14ac:dyDescent="0.2">
      <c r="E653" s="7"/>
      <c r="F653" s="7"/>
      <c r="G653" s="7"/>
      <c r="H653" s="7"/>
      <c r="I653" s="7"/>
    </row>
    <row r="654" spans="5:9" x14ac:dyDescent="0.2">
      <c r="E654" s="7"/>
      <c r="F654" s="7"/>
      <c r="G654" s="7"/>
      <c r="H654" s="7"/>
      <c r="I654" s="7"/>
    </row>
    <row r="655" spans="5:9" x14ac:dyDescent="0.2">
      <c r="E655" s="7"/>
      <c r="F655" s="7"/>
      <c r="G655" s="7"/>
      <c r="H655" s="7"/>
      <c r="I655" s="7"/>
    </row>
    <row r="656" spans="5:9" x14ac:dyDescent="0.2">
      <c r="E656" s="7"/>
      <c r="F656" s="7"/>
      <c r="G656" s="7"/>
      <c r="H656" s="7"/>
      <c r="I656" s="7"/>
    </row>
    <row r="657" spans="5:9" x14ac:dyDescent="0.2">
      <c r="E657" s="7"/>
      <c r="F657" s="7"/>
      <c r="G657" s="7"/>
      <c r="H657" s="7"/>
      <c r="I657" s="7"/>
    </row>
    <row r="658" spans="5:9" x14ac:dyDescent="0.2">
      <c r="E658" s="7"/>
      <c r="F658" s="7"/>
      <c r="G658" s="7"/>
      <c r="H658" s="7"/>
      <c r="I658" s="7"/>
    </row>
    <row r="659" spans="5:9" x14ac:dyDescent="0.2">
      <c r="E659" s="7"/>
      <c r="F659" s="7"/>
      <c r="G659" s="7"/>
      <c r="H659" s="7"/>
      <c r="I659" s="7"/>
    </row>
    <row r="660" spans="5:9" x14ac:dyDescent="0.2">
      <c r="E660" s="7"/>
      <c r="F660" s="7"/>
      <c r="G660" s="7"/>
      <c r="H660" s="7"/>
      <c r="I660" s="7"/>
    </row>
    <row r="661" spans="5:9" x14ac:dyDescent="0.2">
      <c r="E661" s="7"/>
      <c r="F661" s="7"/>
      <c r="G661" s="7"/>
      <c r="H661" s="7"/>
      <c r="I661" s="7"/>
    </row>
    <row r="662" spans="5:9" x14ac:dyDescent="0.2">
      <c r="E662" s="7"/>
      <c r="F662" s="7"/>
      <c r="G662" s="7"/>
      <c r="H662" s="7"/>
      <c r="I662" s="7"/>
    </row>
    <row r="663" spans="5:9" x14ac:dyDescent="0.2">
      <c r="E663" s="7"/>
      <c r="F663" s="7"/>
      <c r="G663" s="7"/>
      <c r="H663" s="7"/>
      <c r="I663" s="7"/>
    </row>
    <row r="664" spans="5:9" x14ac:dyDescent="0.2">
      <c r="E664" s="7"/>
      <c r="F664" s="7"/>
      <c r="G664" s="7"/>
      <c r="H664" s="7"/>
      <c r="I664" s="7"/>
    </row>
    <row r="665" spans="5:9" x14ac:dyDescent="0.2">
      <c r="E665" s="7"/>
      <c r="F665" s="7"/>
      <c r="G665" s="7"/>
      <c r="H665" s="7"/>
      <c r="I665" s="7"/>
    </row>
    <row r="666" spans="5:9" x14ac:dyDescent="0.2">
      <c r="E666" s="7"/>
      <c r="F666" s="7"/>
      <c r="G666" s="7"/>
      <c r="H666" s="7"/>
      <c r="I666" s="7"/>
    </row>
    <row r="667" spans="5:9" x14ac:dyDescent="0.2">
      <c r="E667" s="7"/>
      <c r="F667" s="7"/>
      <c r="G667" s="7"/>
      <c r="H667" s="7"/>
      <c r="I667" s="7"/>
    </row>
    <row r="668" spans="5:9" x14ac:dyDescent="0.2">
      <c r="E668" s="7"/>
      <c r="F668" s="7"/>
      <c r="G668" s="7"/>
      <c r="H668" s="7"/>
      <c r="I668" s="7"/>
    </row>
    <row r="669" spans="5:9" x14ac:dyDescent="0.2">
      <c r="E669" s="7"/>
      <c r="F669" s="7"/>
      <c r="G669" s="7"/>
      <c r="H669" s="7"/>
      <c r="I669" s="7"/>
    </row>
    <row r="670" spans="5:9" x14ac:dyDescent="0.2">
      <c r="E670" s="7"/>
      <c r="F670" s="7"/>
      <c r="G670" s="7"/>
      <c r="H670" s="7"/>
      <c r="I670" s="7"/>
    </row>
    <row r="671" spans="5:9" x14ac:dyDescent="0.2">
      <c r="E671" s="7"/>
      <c r="F671" s="7"/>
      <c r="G671" s="7"/>
      <c r="H671" s="7"/>
      <c r="I671" s="7"/>
    </row>
    <row r="672" spans="5:9" x14ac:dyDescent="0.2">
      <c r="E672" s="7"/>
      <c r="F672" s="7"/>
      <c r="G672" s="7"/>
      <c r="H672" s="7"/>
      <c r="I672" s="7"/>
    </row>
    <row r="673" spans="5:9" x14ac:dyDescent="0.2">
      <c r="E673" s="7"/>
      <c r="F673" s="7"/>
      <c r="G673" s="7"/>
      <c r="H673" s="7"/>
      <c r="I673" s="7"/>
    </row>
    <row r="674" spans="5:9" x14ac:dyDescent="0.2">
      <c r="E674" s="7"/>
      <c r="F674" s="7"/>
      <c r="G674" s="7"/>
      <c r="H674" s="7"/>
      <c r="I674" s="7"/>
    </row>
    <row r="675" spans="5:9" x14ac:dyDescent="0.2">
      <c r="E675" s="7"/>
      <c r="F675" s="7"/>
      <c r="G675" s="7"/>
      <c r="H675" s="7"/>
      <c r="I675" s="7"/>
    </row>
    <row r="676" spans="5:9" x14ac:dyDescent="0.2">
      <c r="E676" s="7"/>
      <c r="F676" s="7"/>
      <c r="G676" s="7"/>
      <c r="H676" s="7"/>
      <c r="I676" s="7"/>
    </row>
    <row r="677" spans="5:9" x14ac:dyDescent="0.2">
      <c r="E677" s="7"/>
      <c r="F677" s="7"/>
      <c r="G677" s="7"/>
      <c r="H677" s="7"/>
      <c r="I677" s="7"/>
    </row>
    <row r="678" spans="5:9" x14ac:dyDescent="0.2">
      <c r="E678" s="7"/>
      <c r="F678" s="7"/>
      <c r="G678" s="7"/>
      <c r="H678" s="7"/>
      <c r="I678" s="7"/>
    </row>
    <row r="679" spans="5:9" x14ac:dyDescent="0.2">
      <c r="E679" s="7"/>
      <c r="F679" s="7"/>
      <c r="G679" s="7"/>
      <c r="H679" s="7"/>
      <c r="I679" s="7"/>
    </row>
    <row r="680" spans="5:9" x14ac:dyDescent="0.2">
      <c r="E680" s="7"/>
      <c r="F680" s="7"/>
      <c r="G680" s="7"/>
      <c r="H680" s="7"/>
      <c r="I680" s="7"/>
    </row>
    <row r="681" spans="5:9" x14ac:dyDescent="0.2">
      <c r="E681" s="7"/>
      <c r="F681" s="7"/>
      <c r="G681" s="7"/>
      <c r="H681" s="7"/>
      <c r="I681" s="7"/>
    </row>
    <row r="682" spans="5:9" x14ac:dyDescent="0.2">
      <c r="E682" s="7"/>
      <c r="F682" s="7"/>
      <c r="G682" s="7"/>
      <c r="H682" s="7"/>
      <c r="I682" s="7"/>
    </row>
    <row r="683" spans="5:9" x14ac:dyDescent="0.2">
      <c r="E683" s="7"/>
      <c r="F683" s="7"/>
      <c r="G683" s="7"/>
      <c r="H683" s="7"/>
      <c r="I683" s="7"/>
    </row>
    <row r="684" spans="5:9" x14ac:dyDescent="0.2">
      <c r="E684" s="7"/>
      <c r="F684" s="7"/>
      <c r="G684" s="7"/>
      <c r="H684" s="7"/>
      <c r="I684" s="7"/>
    </row>
    <row r="685" spans="5:9" x14ac:dyDescent="0.2">
      <c r="E685" s="7"/>
      <c r="F685" s="7"/>
      <c r="G685" s="7"/>
      <c r="H685" s="7"/>
      <c r="I685" s="7"/>
    </row>
    <row r="686" spans="5:9" x14ac:dyDescent="0.2">
      <c r="E686" s="7"/>
      <c r="F686" s="7"/>
      <c r="G686" s="7"/>
      <c r="H686" s="7"/>
      <c r="I686" s="7"/>
    </row>
    <row r="687" spans="5:9" x14ac:dyDescent="0.2">
      <c r="E687" s="7"/>
      <c r="F687" s="7"/>
      <c r="G687" s="7"/>
      <c r="H687" s="7"/>
      <c r="I687" s="7"/>
    </row>
    <row r="688" spans="5:9" x14ac:dyDescent="0.2">
      <c r="E688" s="7"/>
      <c r="F688" s="7"/>
      <c r="G688" s="7"/>
      <c r="H688" s="7"/>
      <c r="I688" s="7"/>
    </row>
    <row r="689" spans="5:9" x14ac:dyDescent="0.2">
      <c r="E689" s="7"/>
      <c r="F689" s="7"/>
      <c r="G689" s="7"/>
      <c r="H689" s="7"/>
      <c r="I689" s="7"/>
    </row>
    <row r="690" spans="5:9" x14ac:dyDescent="0.2">
      <c r="E690" s="7"/>
      <c r="F690" s="7"/>
      <c r="G690" s="7"/>
      <c r="H690" s="7"/>
      <c r="I690" s="7"/>
    </row>
    <row r="691" spans="5:9" x14ac:dyDescent="0.2">
      <c r="E691" s="7"/>
      <c r="F691" s="7"/>
      <c r="G691" s="7"/>
      <c r="H691" s="7"/>
      <c r="I691" s="7"/>
    </row>
    <row r="692" spans="5:9" x14ac:dyDescent="0.2">
      <c r="E692" s="7"/>
      <c r="F692" s="7"/>
      <c r="G692" s="7"/>
      <c r="H692" s="7"/>
      <c r="I692" s="7"/>
    </row>
    <row r="693" spans="5:9" x14ac:dyDescent="0.2">
      <c r="E693" s="7"/>
      <c r="F693" s="7"/>
      <c r="G693" s="7"/>
      <c r="H693" s="7"/>
      <c r="I693" s="7"/>
    </row>
    <row r="694" spans="5:9" x14ac:dyDescent="0.2">
      <c r="E694" s="7"/>
      <c r="F694" s="7"/>
      <c r="G694" s="7"/>
      <c r="H694" s="7"/>
      <c r="I694" s="7"/>
    </row>
    <row r="695" spans="5:9" x14ac:dyDescent="0.2">
      <c r="E695" s="7"/>
      <c r="F695" s="7"/>
      <c r="G695" s="7"/>
      <c r="H695" s="7"/>
      <c r="I695" s="7"/>
    </row>
    <row r="696" spans="5:9" x14ac:dyDescent="0.2">
      <c r="E696" s="7"/>
      <c r="F696" s="7"/>
      <c r="G696" s="7"/>
      <c r="H696" s="7"/>
      <c r="I696" s="7"/>
    </row>
    <row r="697" spans="5:9" x14ac:dyDescent="0.2">
      <c r="E697" s="7"/>
      <c r="F697" s="7"/>
      <c r="G697" s="7"/>
      <c r="H697" s="7"/>
      <c r="I697" s="7"/>
    </row>
    <row r="698" spans="5:9" x14ac:dyDescent="0.2">
      <c r="E698" s="7"/>
      <c r="F698" s="7"/>
      <c r="G698" s="7"/>
      <c r="H698" s="7"/>
      <c r="I698" s="7"/>
    </row>
    <row r="699" spans="5:9" x14ac:dyDescent="0.2">
      <c r="E699" s="7"/>
      <c r="F699" s="7"/>
      <c r="G699" s="7"/>
      <c r="H699" s="7"/>
      <c r="I699" s="7"/>
    </row>
    <row r="700" spans="5:9" x14ac:dyDescent="0.2">
      <c r="E700" s="7"/>
      <c r="F700" s="7"/>
      <c r="G700" s="7"/>
      <c r="H700" s="7"/>
      <c r="I700" s="7"/>
    </row>
    <row r="701" spans="5:9" x14ac:dyDescent="0.2">
      <c r="E701" s="7"/>
      <c r="F701" s="7"/>
      <c r="G701" s="7"/>
      <c r="H701" s="7"/>
      <c r="I701" s="7"/>
    </row>
    <row r="702" spans="5:9" x14ac:dyDescent="0.2">
      <c r="E702" s="7"/>
      <c r="F702" s="7"/>
      <c r="G702" s="7"/>
      <c r="H702" s="7"/>
      <c r="I702" s="7"/>
    </row>
    <row r="703" spans="5:9" x14ac:dyDescent="0.2">
      <c r="E703" s="7"/>
      <c r="F703" s="7"/>
      <c r="G703" s="7"/>
      <c r="H703" s="7"/>
      <c r="I703" s="7"/>
    </row>
    <row r="704" spans="5:9" x14ac:dyDescent="0.2">
      <c r="E704" s="7"/>
      <c r="F704" s="7"/>
      <c r="G704" s="7"/>
      <c r="H704" s="7"/>
      <c r="I704" s="7"/>
    </row>
    <row r="705" spans="5:9" x14ac:dyDescent="0.2">
      <c r="E705" s="7"/>
      <c r="F705" s="7"/>
      <c r="G705" s="7"/>
      <c r="H705" s="7"/>
      <c r="I705" s="7"/>
    </row>
    <row r="706" spans="5:9" x14ac:dyDescent="0.2">
      <c r="E706" s="7"/>
      <c r="F706" s="7"/>
      <c r="G706" s="7"/>
      <c r="H706" s="7"/>
      <c r="I706" s="7"/>
    </row>
    <row r="707" spans="5:9" x14ac:dyDescent="0.2">
      <c r="E707" s="7"/>
      <c r="F707" s="7"/>
      <c r="G707" s="7"/>
      <c r="H707" s="7"/>
      <c r="I707" s="7"/>
    </row>
    <row r="708" spans="5:9" x14ac:dyDescent="0.2">
      <c r="E708" s="7"/>
      <c r="F708" s="7"/>
      <c r="G708" s="7"/>
      <c r="H708" s="7"/>
      <c r="I708" s="7"/>
    </row>
    <row r="709" spans="5:9" x14ac:dyDescent="0.2">
      <c r="E709" s="7"/>
      <c r="F709" s="7"/>
      <c r="G709" s="7"/>
      <c r="H709" s="7"/>
      <c r="I709" s="7"/>
    </row>
    <row r="710" spans="5:9" x14ac:dyDescent="0.2">
      <c r="E710" s="7"/>
      <c r="F710" s="7"/>
      <c r="G710" s="7"/>
      <c r="H710" s="7"/>
      <c r="I710" s="7"/>
    </row>
    <row r="711" spans="5:9" x14ac:dyDescent="0.2">
      <c r="E711" s="7"/>
      <c r="F711" s="7"/>
      <c r="G711" s="7"/>
      <c r="H711" s="7"/>
      <c r="I711" s="7"/>
    </row>
    <row r="712" spans="5:9" x14ac:dyDescent="0.2">
      <c r="E712" s="7"/>
      <c r="F712" s="7"/>
      <c r="G712" s="7"/>
      <c r="H712" s="7"/>
      <c r="I712" s="7"/>
    </row>
    <row r="713" spans="5:9" x14ac:dyDescent="0.2">
      <c r="E713" s="7"/>
      <c r="F713" s="7"/>
      <c r="G713" s="7"/>
      <c r="H713" s="7"/>
      <c r="I713" s="7"/>
    </row>
    <row r="714" spans="5:9" x14ac:dyDescent="0.2">
      <c r="E714" s="7"/>
      <c r="F714" s="7"/>
      <c r="G714" s="7"/>
      <c r="H714" s="7"/>
      <c r="I714" s="7"/>
    </row>
    <row r="715" spans="5:9" x14ac:dyDescent="0.2">
      <c r="E715" s="7"/>
      <c r="F715" s="7"/>
      <c r="G715" s="7"/>
      <c r="H715" s="7"/>
      <c r="I715" s="7"/>
    </row>
    <row r="716" spans="5:9" x14ac:dyDescent="0.2">
      <c r="E716" s="7"/>
      <c r="F716" s="7"/>
      <c r="G716" s="7"/>
      <c r="H716" s="7"/>
      <c r="I716" s="7"/>
    </row>
    <row r="717" spans="5:9" x14ac:dyDescent="0.2">
      <c r="E717" s="7"/>
      <c r="F717" s="7"/>
      <c r="G717" s="7"/>
      <c r="H717" s="7"/>
      <c r="I717" s="7"/>
    </row>
    <row r="718" spans="5:9" x14ac:dyDescent="0.2">
      <c r="E718" s="7"/>
      <c r="F718" s="7"/>
      <c r="G718" s="7"/>
      <c r="H718" s="7"/>
      <c r="I718" s="7"/>
    </row>
    <row r="719" spans="5:9" x14ac:dyDescent="0.2">
      <c r="E719" s="7"/>
      <c r="F719" s="7"/>
      <c r="G719" s="7"/>
      <c r="H719" s="7"/>
      <c r="I719" s="7"/>
    </row>
    <row r="720" spans="5:9" x14ac:dyDescent="0.2">
      <c r="E720" s="7"/>
      <c r="F720" s="7"/>
      <c r="G720" s="7"/>
      <c r="H720" s="7"/>
      <c r="I720" s="7"/>
    </row>
    <row r="721" spans="5:9" x14ac:dyDescent="0.2">
      <c r="E721" s="7"/>
      <c r="F721" s="7"/>
      <c r="G721" s="7"/>
      <c r="H721" s="7"/>
      <c r="I721" s="7"/>
    </row>
    <row r="722" spans="5:9" x14ac:dyDescent="0.2">
      <c r="E722" s="7"/>
      <c r="F722" s="7"/>
      <c r="G722" s="7"/>
      <c r="H722" s="7"/>
      <c r="I722" s="7"/>
    </row>
    <row r="723" spans="5:9" x14ac:dyDescent="0.2">
      <c r="E723" s="7"/>
      <c r="F723" s="7"/>
      <c r="G723" s="7"/>
      <c r="H723" s="7"/>
      <c r="I723" s="7"/>
    </row>
    <row r="724" spans="5:9" x14ac:dyDescent="0.2">
      <c r="E724" s="7"/>
      <c r="F724" s="7"/>
      <c r="G724" s="7"/>
      <c r="H724" s="7"/>
      <c r="I724" s="7"/>
    </row>
    <row r="725" spans="5:9" x14ac:dyDescent="0.2">
      <c r="E725" s="7"/>
      <c r="F725" s="7"/>
      <c r="G725" s="7"/>
      <c r="H725" s="7"/>
      <c r="I725" s="7"/>
    </row>
    <row r="726" spans="5:9" x14ac:dyDescent="0.2">
      <c r="E726" s="7"/>
      <c r="F726" s="7"/>
      <c r="G726" s="7"/>
      <c r="H726" s="7"/>
      <c r="I726" s="7"/>
    </row>
    <row r="727" spans="5:9" x14ac:dyDescent="0.2">
      <c r="E727" s="7"/>
      <c r="F727" s="7"/>
      <c r="G727" s="7"/>
      <c r="H727" s="7"/>
      <c r="I727" s="7"/>
    </row>
    <row r="728" spans="5:9" x14ac:dyDescent="0.2">
      <c r="E728" s="7"/>
      <c r="F728" s="7"/>
      <c r="G728" s="7"/>
      <c r="H728" s="7"/>
      <c r="I728" s="7"/>
    </row>
    <row r="729" spans="5:9" x14ac:dyDescent="0.2">
      <c r="E729" s="7"/>
      <c r="F729" s="7"/>
      <c r="G729" s="7"/>
      <c r="H729" s="7"/>
      <c r="I729" s="7"/>
    </row>
    <row r="730" spans="5:9" x14ac:dyDescent="0.2">
      <c r="E730" s="7"/>
      <c r="F730" s="7"/>
      <c r="G730" s="7"/>
      <c r="H730" s="7"/>
      <c r="I730" s="7"/>
    </row>
    <row r="731" spans="5:9" x14ac:dyDescent="0.2">
      <c r="E731" s="7"/>
      <c r="F731" s="7"/>
      <c r="G731" s="7"/>
      <c r="H731" s="7"/>
      <c r="I731" s="7"/>
    </row>
    <row r="732" spans="5:9" x14ac:dyDescent="0.2">
      <c r="E732" s="7"/>
      <c r="F732" s="7"/>
      <c r="G732" s="7"/>
      <c r="H732" s="7"/>
      <c r="I732" s="7"/>
    </row>
    <row r="733" spans="5:9" x14ac:dyDescent="0.2">
      <c r="E733" s="7"/>
      <c r="F733" s="7"/>
      <c r="G733" s="7"/>
      <c r="H733" s="7"/>
      <c r="I733" s="7"/>
    </row>
    <row r="734" spans="5:9" x14ac:dyDescent="0.2">
      <c r="E734" s="7"/>
      <c r="F734" s="7"/>
      <c r="G734" s="7"/>
      <c r="H734" s="7"/>
      <c r="I734" s="7"/>
    </row>
    <row r="735" spans="5:9" x14ac:dyDescent="0.2">
      <c r="E735" s="7"/>
      <c r="F735" s="7"/>
      <c r="G735" s="7"/>
      <c r="H735" s="7"/>
      <c r="I735" s="7"/>
    </row>
    <row r="736" spans="5:9" x14ac:dyDescent="0.2">
      <c r="E736" s="7"/>
      <c r="F736" s="7"/>
      <c r="G736" s="7"/>
      <c r="H736" s="7"/>
      <c r="I736" s="7"/>
    </row>
    <row r="737" spans="5:9" x14ac:dyDescent="0.2">
      <c r="E737" s="7"/>
      <c r="F737" s="7"/>
      <c r="G737" s="7"/>
      <c r="H737" s="7"/>
      <c r="I737" s="7"/>
    </row>
    <row r="738" spans="5:9" x14ac:dyDescent="0.2">
      <c r="E738" s="7"/>
      <c r="F738" s="7"/>
      <c r="G738" s="7"/>
      <c r="H738" s="7"/>
      <c r="I738" s="7"/>
    </row>
    <row r="739" spans="5:9" x14ac:dyDescent="0.2">
      <c r="E739" s="7"/>
      <c r="F739" s="7"/>
      <c r="G739" s="7"/>
      <c r="H739" s="7"/>
      <c r="I739" s="7"/>
    </row>
    <row r="740" spans="5:9" x14ac:dyDescent="0.2">
      <c r="E740" s="7"/>
      <c r="F740" s="7"/>
      <c r="G740" s="7"/>
      <c r="H740" s="7"/>
      <c r="I740" s="7"/>
    </row>
    <row r="741" spans="5:9" x14ac:dyDescent="0.2">
      <c r="E741" s="7"/>
      <c r="F741" s="7"/>
      <c r="G741" s="7"/>
      <c r="H741" s="7"/>
      <c r="I741" s="7"/>
    </row>
    <row r="742" spans="5:9" x14ac:dyDescent="0.2">
      <c r="E742" s="7"/>
      <c r="F742" s="7"/>
      <c r="G742" s="7"/>
      <c r="H742" s="7"/>
      <c r="I742" s="7"/>
    </row>
    <row r="743" spans="5:9" x14ac:dyDescent="0.2">
      <c r="E743" s="7"/>
      <c r="F743" s="7"/>
      <c r="G743" s="7"/>
      <c r="H743" s="7"/>
      <c r="I743" s="7"/>
    </row>
    <row r="744" spans="5:9" x14ac:dyDescent="0.2">
      <c r="E744" s="7"/>
      <c r="F744" s="7"/>
      <c r="G744" s="7"/>
      <c r="H744" s="7"/>
      <c r="I744" s="7"/>
    </row>
    <row r="745" spans="5:9" x14ac:dyDescent="0.2">
      <c r="E745" s="7"/>
      <c r="F745" s="7"/>
      <c r="G745" s="7"/>
      <c r="H745" s="7"/>
      <c r="I745" s="7"/>
    </row>
    <row r="746" spans="5:9" x14ac:dyDescent="0.2">
      <c r="E746" s="7"/>
      <c r="F746" s="7"/>
      <c r="G746" s="7"/>
      <c r="H746" s="7"/>
      <c r="I746" s="7"/>
    </row>
    <row r="747" spans="5:9" x14ac:dyDescent="0.2">
      <c r="E747" s="7"/>
      <c r="F747" s="7"/>
      <c r="G747" s="7"/>
      <c r="H747" s="7"/>
      <c r="I747" s="7"/>
    </row>
    <row r="748" spans="5:9" x14ac:dyDescent="0.2">
      <c r="E748" s="7"/>
      <c r="F748" s="7"/>
      <c r="G748" s="7"/>
      <c r="H748" s="7"/>
      <c r="I748" s="7"/>
    </row>
    <row r="749" spans="5:9" x14ac:dyDescent="0.2">
      <c r="E749" s="7"/>
      <c r="F749" s="7"/>
      <c r="G749" s="7"/>
      <c r="H749" s="7"/>
      <c r="I749" s="7"/>
    </row>
    <row r="750" spans="5:9" x14ac:dyDescent="0.2">
      <c r="E750" s="7"/>
      <c r="F750" s="7"/>
      <c r="G750" s="7"/>
      <c r="H750" s="7"/>
      <c r="I750" s="7"/>
    </row>
    <row r="751" spans="5:9" x14ac:dyDescent="0.2">
      <c r="E751" s="7"/>
      <c r="F751" s="7"/>
      <c r="G751" s="7"/>
      <c r="H751" s="7"/>
      <c r="I751" s="7"/>
    </row>
    <row r="752" spans="5:9" x14ac:dyDescent="0.2">
      <c r="E752" s="7"/>
      <c r="F752" s="7"/>
      <c r="G752" s="7"/>
      <c r="H752" s="7"/>
      <c r="I752" s="7"/>
    </row>
    <row r="753" spans="5:9" x14ac:dyDescent="0.2">
      <c r="E753" s="7"/>
      <c r="F753" s="7"/>
      <c r="G753" s="7"/>
      <c r="H753" s="7"/>
      <c r="I753" s="7"/>
    </row>
    <row r="754" spans="5:9" x14ac:dyDescent="0.2">
      <c r="E754" s="7"/>
      <c r="F754" s="7"/>
      <c r="G754" s="7"/>
      <c r="H754" s="7"/>
      <c r="I754" s="7"/>
    </row>
    <row r="755" spans="5:9" x14ac:dyDescent="0.2">
      <c r="E755" s="7"/>
      <c r="F755" s="7"/>
      <c r="G755" s="7"/>
      <c r="H755" s="7"/>
      <c r="I755" s="7"/>
    </row>
    <row r="756" spans="5:9" x14ac:dyDescent="0.2">
      <c r="E756" s="7"/>
      <c r="F756" s="7"/>
      <c r="G756" s="7"/>
      <c r="H756" s="7"/>
      <c r="I756" s="7"/>
    </row>
    <row r="757" spans="5:9" x14ac:dyDescent="0.2">
      <c r="E757" s="7"/>
      <c r="F757" s="7"/>
      <c r="G757" s="7"/>
      <c r="H757" s="7"/>
      <c r="I757" s="7"/>
    </row>
    <row r="758" spans="5:9" x14ac:dyDescent="0.2">
      <c r="E758" s="7"/>
      <c r="F758" s="7"/>
      <c r="G758" s="7"/>
      <c r="H758" s="7"/>
      <c r="I758" s="7"/>
    </row>
    <row r="759" spans="5:9" x14ac:dyDescent="0.2">
      <c r="E759" s="7"/>
      <c r="F759" s="7"/>
      <c r="G759" s="7"/>
      <c r="H759" s="7"/>
      <c r="I759" s="7"/>
    </row>
    <row r="760" spans="5:9" x14ac:dyDescent="0.2">
      <c r="E760" s="7"/>
      <c r="F760" s="7"/>
      <c r="G760" s="7"/>
      <c r="H760" s="7"/>
      <c r="I760" s="7"/>
    </row>
    <row r="761" spans="5:9" x14ac:dyDescent="0.2">
      <c r="E761" s="7"/>
      <c r="F761" s="7"/>
      <c r="G761" s="7"/>
      <c r="H761" s="7"/>
      <c r="I761" s="7"/>
    </row>
    <row r="762" spans="5:9" x14ac:dyDescent="0.2">
      <c r="E762" s="7"/>
      <c r="F762" s="7"/>
      <c r="G762" s="7"/>
      <c r="H762" s="7"/>
      <c r="I762" s="7"/>
    </row>
    <row r="763" spans="5:9" x14ac:dyDescent="0.2">
      <c r="E763" s="7"/>
      <c r="F763" s="7"/>
      <c r="G763" s="7"/>
      <c r="H763" s="7"/>
      <c r="I763" s="7"/>
    </row>
    <row r="764" spans="5:9" x14ac:dyDescent="0.2">
      <c r="E764" s="7"/>
      <c r="F764" s="7"/>
      <c r="G764" s="7"/>
      <c r="H764" s="7"/>
      <c r="I764" s="7"/>
    </row>
    <row r="765" spans="5:9" x14ac:dyDescent="0.2">
      <c r="E765" s="7"/>
      <c r="F765" s="7"/>
      <c r="G765" s="7"/>
      <c r="H765" s="7"/>
      <c r="I765" s="7"/>
    </row>
    <row r="766" spans="5:9" x14ac:dyDescent="0.2">
      <c r="E766" s="7"/>
      <c r="F766" s="7"/>
      <c r="G766" s="7"/>
      <c r="H766" s="7"/>
      <c r="I766" s="7"/>
    </row>
    <row r="767" spans="5:9" x14ac:dyDescent="0.2">
      <c r="E767" s="7"/>
      <c r="F767" s="7"/>
      <c r="G767" s="7"/>
      <c r="H767" s="7"/>
      <c r="I767" s="7"/>
    </row>
    <row r="768" spans="5:9" x14ac:dyDescent="0.2">
      <c r="E768" s="7"/>
      <c r="F768" s="7"/>
      <c r="G768" s="7"/>
      <c r="H768" s="7"/>
      <c r="I768" s="7"/>
    </row>
    <row r="769" spans="5:9" x14ac:dyDescent="0.2">
      <c r="E769" s="7"/>
      <c r="F769" s="7"/>
      <c r="G769" s="7"/>
      <c r="H769" s="7"/>
      <c r="I769" s="7"/>
    </row>
    <row r="770" spans="5:9" x14ac:dyDescent="0.2">
      <c r="E770" s="7"/>
      <c r="F770" s="7"/>
      <c r="G770" s="7"/>
      <c r="H770" s="7"/>
      <c r="I770" s="7"/>
    </row>
    <row r="771" spans="5:9" x14ac:dyDescent="0.2">
      <c r="E771" s="7"/>
      <c r="F771" s="7"/>
      <c r="G771" s="7"/>
      <c r="H771" s="7"/>
      <c r="I771" s="7"/>
    </row>
    <row r="772" spans="5:9" x14ac:dyDescent="0.2">
      <c r="E772" s="7"/>
      <c r="F772" s="7"/>
      <c r="G772" s="7"/>
      <c r="H772" s="7"/>
      <c r="I772" s="7"/>
    </row>
    <row r="773" spans="5:9" x14ac:dyDescent="0.2">
      <c r="E773" s="7"/>
      <c r="F773" s="7"/>
      <c r="G773" s="7"/>
      <c r="H773" s="7"/>
      <c r="I773" s="7"/>
    </row>
    <row r="774" spans="5:9" x14ac:dyDescent="0.2">
      <c r="E774" s="7"/>
      <c r="F774" s="7"/>
      <c r="G774" s="7"/>
      <c r="H774" s="7"/>
      <c r="I774" s="7"/>
    </row>
    <row r="775" spans="5:9" x14ac:dyDescent="0.2">
      <c r="E775" s="7"/>
      <c r="F775" s="7"/>
      <c r="G775" s="7"/>
      <c r="H775" s="7"/>
      <c r="I775" s="7"/>
    </row>
    <row r="776" spans="5:9" x14ac:dyDescent="0.2">
      <c r="E776" s="7"/>
      <c r="F776" s="7"/>
      <c r="G776" s="7"/>
      <c r="H776" s="7"/>
      <c r="I776" s="7"/>
    </row>
    <row r="777" spans="5:9" x14ac:dyDescent="0.2">
      <c r="E777" s="7"/>
      <c r="F777" s="7"/>
      <c r="G777" s="7"/>
      <c r="H777" s="7"/>
      <c r="I777" s="7"/>
    </row>
    <row r="778" spans="5:9" x14ac:dyDescent="0.2">
      <c r="E778" s="7"/>
      <c r="F778" s="7"/>
      <c r="G778" s="7"/>
      <c r="H778" s="7"/>
      <c r="I778" s="7"/>
    </row>
    <row r="779" spans="5:9" x14ac:dyDescent="0.2">
      <c r="E779" s="7"/>
      <c r="F779" s="7"/>
      <c r="G779" s="7"/>
      <c r="H779" s="7"/>
      <c r="I779" s="7"/>
    </row>
    <row r="780" spans="5:9" x14ac:dyDescent="0.2">
      <c r="E780" s="7"/>
      <c r="F780" s="7"/>
      <c r="G780" s="7"/>
      <c r="H780" s="7"/>
      <c r="I780" s="7"/>
    </row>
    <row r="781" spans="5:9" x14ac:dyDescent="0.2">
      <c r="E781" s="7"/>
      <c r="F781" s="7"/>
      <c r="G781" s="7"/>
      <c r="H781" s="7"/>
      <c r="I781" s="7"/>
    </row>
    <row r="782" spans="5:9" x14ac:dyDescent="0.2">
      <c r="E782" s="7"/>
      <c r="F782" s="7"/>
      <c r="G782" s="7"/>
      <c r="H782" s="7"/>
      <c r="I782" s="7"/>
    </row>
    <row r="783" spans="5:9" x14ac:dyDescent="0.2">
      <c r="E783" s="7"/>
      <c r="F783" s="7"/>
      <c r="G783" s="7"/>
      <c r="H783" s="7"/>
      <c r="I783" s="7"/>
    </row>
    <row r="784" spans="5:9" x14ac:dyDescent="0.2">
      <c r="E784" s="7"/>
      <c r="F784" s="7"/>
      <c r="G784" s="7"/>
      <c r="H784" s="7"/>
      <c r="I784" s="7"/>
    </row>
    <row r="785" spans="5:9" x14ac:dyDescent="0.2">
      <c r="E785" s="7"/>
      <c r="F785" s="7"/>
      <c r="G785" s="7"/>
      <c r="H785" s="7"/>
      <c r="I785" s="7"/>
    </row>
    <row r="786" spans="5:9" x14ac:dyDescent="0.2">
      <c r="E786" s="7"/>
      <c r="F786" s="7"/>
      <c r="G786" s="7"/>
      <c r="H786" s="7"/>
      <c r="I786" s="7"/>
    </row>
    <row r="787" spans="5:9" x14ac:dyDescent="0.2">
      <c r="E787" s="7"/>
      <c r="F787" s="7"/>
      <c r="G787" s="7"/>
      <c r="H787" s="7"/>
      <c r="I787" s="7"/>
    </row>
    <row r="788" spans="5:9" x14ac:dyDescent="0.2">
      <c r="E788" s="7"/>
      <c r="F788" s="7"/>
      <c r="G788" s="7"/>
      <c r="H788" s="7"/>
      <c r="I788" s="7"/>
    </row>
    <row r="789" spans="5:9" x14ac:dyDescent="0.2">
      <c r="E789" s="7"/>
      <c r="F789" s="7"/>
      <c r="G789" s="7"/>
      <c r="H789" s="7"/>
      <c r="I789" s="7"/>
    </row>
    <row r="790" spans="5:9" x14ac:dyDescent="0.2">
      <c r="E790" s="7"/>
      <c r="F790" s="7"/>
      <c r="G790" s="7"/>
      <c r="H790" s="7"/>
      <c r="I790" s="7"/>
    </row>
    <row r="791" spans="5:9" x14ac:dyDescent="0.2">
      <c r="E791" s="7"/>
      <c r="F791" s="7"/>
      <c r="G791" s="7"/>
      <c r="H791" s="7"/>
      <c r="I791" s="7"/>
    </row>
    <row r="792" spans="5:9" x14ac:dyDescent="0.2">
      <c r="E792" s="7"/>
      <c r="F792" s="7"/>
      <c r="G792" s="7"/>
      <c r="H792" s="7"/>
      <c r="I792" s="7"/>
    </row>
    <row r="793" spans="5:9" x14ac:dyDescent="0.2">
      <c r="E793" s="7"/>
      <c r="F793" s="7"/>
      <c r="G793" s="7"/>
      <c r="H793" s="7"/>
      <c r="I793" s="7"/>
    </row>
    <row r="794" spans="5:9" x14ac:dyDescent="0.2">
      <c r="E794" s="7"/>
      <c r="F794" s="7"/>
      <c r="G794" s="7"/>
      <c r="H794" s="7"/>
      <c r="I794" s="7"/>
    </row>
    <row r="795" spans="5:9" x14ac:dyDescent="0.2">
      <c r="E795" s="7"/>
      <c r="F795" s="7"/>
      <c r="G795" s="7"/>
      <c r="H795" s="7"/>
      <c r="I795" s="7"/>
    </row>
    <row r="796" spans="5:9" x14ac:dyDescent="0.2">
      <c r="E796" s="7"/>
      <c r="F796" s="7"/>
      <c r="G796" s="7"/>
      <c r="H796" s="7"/>
      <c r="I796" s="7"/>
    </row>
    <row r="797" spans="5:9" x14ac:dyDescent="0.2">
      <c r="E797" s="7"/>
      <c r="F797" s="7"/>
      <c r="G797" s="7"/>
      <c r="H797" s="7"/>
      <c r="I797" s="7"/>
    </row>
    <row r="798" spans="5:9" x14ac:dyDescent="0.2">
      <c r="E798" s="7"/>
      <c r="F798" s="7"/>
      <c r="G798" s="7"/>
      <c r="H798" s="7"/>
      <c r="I798" s="7"/>
    </row>
    <row r="799" spans="5:9" x14ac:dyDescent="0.2">
      <c r="E799" s="7"/>
      <c r="F799" s="7"/>
      <c r="G799" s="7"/>
      <c r="H799" s="7"/>
      <c r="I799" s="7"/>
    </row>
    <row r="800" spans="5:9" x14ac:dyDescent="0.2">
      <c r="E800" s="7"/>
      <c r="F800" s="7"/>
      <c r="G800" s="7"/>
      <c r="H800" s="7"/>
      <c r="I800" s="7"/>
    </row>
    <row r="801" spans="5:9" x14ac:dyDescent="0.2">
      <c r="E801" s="7"/>
      <c r="F801" s="7"/>
      <c r="G801" s="7"/>
      <c r="H801" s="7"/>
      <c r="I801" s="7"/>
    </row>
    <row r="802" spans="5:9" x14ac:dyDescent="0.2">
      <c r="E802" s="7"/>
      <c r="F802" s="7"/>
      <c r="G802" s="7"/>
      <c r="H802" s="7"/>
      <c r="I802" s="7"/>
    </row>
    <row r="803" spans="5:9" x14ac:dyDescent="0.2">
      <c r="E803" s="7"/>
      <c r="F803" s="7"/>
      <c r="G803" s="7"/>
      <c r="H803" s="7"/>
      <c r="I803" s="7"/>
    </row>
    <row r="804" spans="5:9" x14ac:dyDescent="0.2">
      <c r="E804" s="7"/>
      <c r="F804" s="7"/>
      <c r="G804" s="7"/>
      <c r="H804" s="7"/>
      <c r="I804" s="7"/>
    </row>
    <row r="805" spans="5:9" x14ac:dyDescent="0.2">
      <c r="E805" s="7"/>
      <c r="F805" s="7"/>
      <c r="G805" s="7"/>
      <c r="H805" s="7"/>
      <c r="I805" s="7"/>
    </row>
    <row r="806" spans="5:9" x14ac:dyDescent="0.2">
      <c r="E806" s="7"/>
      <c r="F806" s="7"/>
      <c r="G806" s="7"/>
      <c r="H806" s="7"/>
      <c r="I806" s="7"/>
    </row>
    <row r="807" spans="5:9" x14ac:dyDescent="0.2">
      <c r="E807" s="7"/>
      <c r="F807" s="7"/>
      <c r="G807" s="7"/>
      <c r="H807" s="7"/>
      <c r="I807" s="7"/>
    </row>
    <row r="808" spans="5:9" x14ac:dyDescent="0.2">
      <c r="E808" s="7"/>
      <c r="F808" s="7"/>
      <c r="G808" s="7"/>
      <c r="H808" s="7"/>
      <c r="I808" s="7"/>
    </row>
    <row r="809" spans="5:9" x14ac:dyDescent="0.2">
      <c r="E809" s="7"/>
      <c r="F809" s="7"/>
      <c r="G809" s="7"/>
      <c r="H809" s="7"/>
      <c r="I809" s="7"/>
    </row>
    <row r="810" spans="5:9" x14ac:dyDescent="0.2">
      <c r="E810" s="7"/>
      <c r="F810" s="7"/>
      <c r="G810" s="7"/>
      <c r="H810" s="7"/>
      <c r="I810" s="7"/>
    </row>
    <row r="811" spans="5:9" x14ac:dyDescent="0.2">
      <c r="E811" s="7"/>
      <c r="F811" s="7"/>
      <c r="G811" s="7"/>
      <c r="H811" s="7"/>
      <c r="I811" s="7"/>
    </row>
    <row r="812" spans="5:9" x14ac:dyDescent="0.2">
      <c r="E812" s="7"/>
      <c r="F812" s="7"/>
      <c r="G812" s="7"/>
      <c r="H812" s="7"/>
      <c r="I812" s="7"/>
    </row>
    <row r="813" spans="5:9" x14ac:dyDescent="0.2">
      <c r="E813" s="7"/>
      <c r="F813" s="7"/>
      <c r="G813" s="7"/>
      <c r="H813" s="7"/>
      <c r="I813" s="7"/>
    </row>
    <row r="814" spans="5:9" x14ac:dyDescent="0.2">
      <c r="E814" s="7"/>
      <c r="F814" s="7"/>
      <c r="G814" s="7"/>
      <c r="H814" s="7"/>
      <c r="I814" s="7"/>
    </row>
    <row r="815" spans="5:9" x14ac:dyDescent="0.2">
      <c r="E815" s="7"/>
      <c r="F815" s="7"/>
      <c r="G815" s="7"/>
      <c r="H815" s="7"/>
      <c r="I815" s="7"/>
    </row>
    <row r="816" spans="5:9" x14ac:dyDescent="0.2">
      <c r="E816" s="7"/>
      <c r="F816" s="7"/>
      <c r="G816" s="7"/>
      <c r="H816" s="7"/>
      <c r="I816" s="7"/>
    </row>
    <row r="817" spans="5:9" x14ac:dyDescent="0.2">
      <c r="E817" s="7"/>
      <c r="F817" s="7"/>
      <c r="G817" s="7"/>
      <c r="H817" s="7"/>
      <c r="I817" s="7"/>
    </row>
    <row r="818" spans="5:9" x14ac:dyDescent="0.2">
      <c r="E818" s="7"/>
      <c r="F818" s="7"/>
      <c r="G818" s="7"/>
      <c r="H818" s="7"/>
      <c r="I818" s="7"/>
    </row>
    <row r="819" spans="5:9" x14ac:dyDescent="0.2">
      <c r="E819" s="7"/>
      <c r="F819" s="7"/>
      <c r="G819" s="7"/>
      <c r="H819" s="7"/>
      <c r="I819" s="7"/>
    </row>
    <row r="820" spans="5:9" x14ac:dyDescent="0.2">
      <c r="E820" s="7"/>
      <c r="F820" s="7"/>
      <c r="G820" s="7"/>
      <c r="H820" s="7"/>
      <c r="I820" s="7"/>
    </row>
    <row r="821" spans="5:9" x14ac:dyDescent="0.2">
      <c r="E821" s="7"/>
      <c r="F821" s="7"/>
      <c r="G821" s="7"/>
      <c r="H821" s="7"/>
      <c r="I821" s="7"/>
    </row>
    <row r="822" spans="5:9" x14ac:dyDescent="0.2">
      <c r="E822" s="7"/>
      <c r="F822" s="7"/>
      <c r="G822" s="7"/>
      <c r="H822" s="7"/>
      <c r="I822" s="7"/>
    </row>
    <row r="823" spans="5:9" x14ac:dyDescent="0.2">
      <c r="E823" s="7"/>
      <c r="F823" s="7"/>
      <c r="G823" s="7"/>
      <c r="H823" s="7"/>
      <c r="I823" s="7"/>
    </row>
    <row r="824" spans="5:9" x14ac:dyDescent="0.2">
      <c r="E824" s="7"/>
      <c r="F824" s="7"/>
      <c r="G824" s="7"/>
      <c r="H824" s="7"/>
      <c r="I824" s="7"/>
    </row>
    <row r="825" spans="5:9" x14ac:dyDescent="0.2">
      <c r="E825" s="7"/>
      <c r="F825" s="7"/>
      <c r="G825" s="7"/>
      <c r="H825" s="7"/>
      <c r="I825" s="7"/>
    </row>
    <row r="826" spans="5:9" x14ac:dyDescent="0.2">
      <c r="E826" s="7"/>
      <c r="F826" s="7"/>
      <c r="G826" s="7"/>
      <c r="H826" s="7"/>
      <c r="I826" s="7"/>
    </row>
    <row r="827" spans="5:9" x14ac:dyDescent="0.2">
      <c r="E827" s="7"/>
      <c r="F827" s="7"/>
      <c r="G827" s="7"/>
      <c r="H827" s="7"/>
      <c r="I827" s="7"/>
    </row>
    <row r="828" spans="5:9" x14ac:dyDescent="0.2">
      <c r="E828" s="7"/>
      <c r="F828" s="7"/>
      <c r="G828" s="7"/>
      <c r="H828" s="7"/>
      <c r="I828" s="7"/>
    </row>
    <row r="829" spans="5:9" x14ac:dyDescent="0.2">
      <c r="E829" s="7"/>
      <c r="F829" s="7"/>
      <c r="G829" s="7"/>
      <c r="H829" s="7"/>
      <c r="I829" s="7"/>
    </row>
    <row r="830" spans="5:9" x14ac:dyDescent="0.2">
      <c r="E830" s="7"/>
      <c r="F830" s="7"/>
      <c r="G830" s="7"/>
      <c r="H830" s="7"/>
      <c r="I830" s="7"/>
    </row>
    <row r="831" spans="5:9" x14ac:dyDescent="0.2">
      <c r="E831" s="7"/>
      <c r="F831" s="7"/>
      <c r="G831" s="7"/>
      <c r="H831" s="7"/>
      <c r="I831" s="7"/>
    </row>
    <row r="832" spans="5:9" x14ac:dyDescent="0.2">
      <c r="E832" s="7"/>
      <c r="F832" s="7"/>
      <c r="G832" s="7"/>
      <c r="H832" s="7"/>
      <c r="I832" s="7"/>
    </row>
    <row r="833" spans="5:9" x14ac:dyDescent="0.2">
      <c r="E833" s="7"/>
      <c r="F833" s="7"/>
      <c r="G833" s="7"/>
      <c r="H833" s="7"/>
      <c r="I833" s="7"/>
    </row>
    <row r="834" spans="5:9" x14ac:dyDescent="0.2">
      <c r="E834" s="7"/>
      <c r="F834" s="7"/>
      <c r="G834" s="7"/>
      <c r="H834" s="7"/>
      <c r="I834" s="7"/>
    </row>
    <row r="835" spans="5:9" x14ac:dyDescent="0.2">
      <c r="E835" s="7"/>
      <c r="F835" s="7"/>
      <c r="G835" s="7"/>
      <c r="H835" s="7"/>
      <c r="I835" s="7"/>
    </row>
    <row r="836" spans="5:9" x14ac:dyDescent="0.2">
      <c r="E836" s="7"/>
      <c r="F836" s="7"/>
      <c r="G836" s="7"/>
      <c r="H836" s="7"/>
      <c r="I836" s="7"/>
    </row>
    <row r="837" spans="5:9" x14ac:dyDescent="0.2">
      <c r="E837" s="7"/>
      <c r="F837" s="7"/>
      <c r="G837" s="7"/>
      <c r="H837" s="7"/>
      <c r="I837" s="7"/>
    </row>
    <row r="838" spans="5:9" x14ac:dyDescent="0.2">
      <c r="E838" s="7"/>
      <c r="F838" s="7"/>
      <c r="G838" s="7"/>
      <c r="H838" s="7"/>
      <c r="I838" s="7"/>
    </row>
    <row r="839" spans="5:9" x14ac:dyDescent="0.2">
      <c r="E839" s="7"/>
      <c r="F839" s="7"/>
      <c r="G839" s="7"/>
      <c r="H839" s="7"/>
      <c r="I839" s="7"/>
    </row>
    <row r="840" spans="5:9" x14ac:dyDescent="0.2">
      <c r="E840" s="7"/>
      <c r="F840" s="7"/>
      <c r="G840" s="7"/>
      <c r="H840" s="7"/>
      <c r="I840" s="7"/>
    </row>
    <row r="841" spans="5:9" x14ac:dyDescent="0.2">
      <c r="E841" s="7"/>
      <c r="F841" s="7"/>
      <c r="G841" s="7"/>
      <c r="H841" s="7"/>
      <c r="I841" s="7"/>
    </row>
    <row r="842" spans="5:9" x14ac:dyDescent="0.2">
      <c r="E842" s="7"/>
      <c r="F842" s="7"/>
      <c r="G842" s="7"/>
      <c r="H842" s="7"/>
      <c r="I842" s="7"/>
    </row>
    <row r="843" spans="5:9" x14ac:dyDescent="0.2">
      <c r="E843" s="7"/>
      <c r="F843" s="7"/>
      <c r="G843" s="7"/>
      <c r="H843" s="7"/>
      <c r="I843" s="7"/>
    </row>
    <row r="844" spans="5:9" x14ac:dyDescent="0.2">
      <c r="E844" s="7"/>
      <c r="F844" s="7"/>
      <c r="G844" s="7"/>
      <c r="H844" s="7"/>
      <c r="I844" s="7"/>
    </row>
    <row r="845" spans="5:9" x14ac:dyDescent="0.2">
      <c r="E845" s="7"/>
      <c r="F845" s="7"/>
      <c r="G845" s="7"/>
      <c r="H845" s="7"/>
      <c r="I845" s="7"/>
    </row>
    <row r="846" spans="5:9" x14ac:dyDescent="0.2">
      <c r="E846" s="7"/>
      <c r="F846" s="7"/>
      <c r="G846" s="7"/>
      <c r="H846" s="7"/>
      <c r="I846" s="7"/>
    </row>
    <row r="847" spans="5:9" x14ac:dyDescent="0.2">
      <c r="E847" s="7"/>
      <c r="F847" s="7"/>
      <c r="G847" s="7"/>
      <c r="H847" s="7"/>
      <c r="I847" s="7"/>
    </row>
    <row r="848" spans="5:9" x14ac:dyDescent="0.2">
      <c r="E848" s="7"/>
      <c r="F848" s="7"/>
      <c r="G848" s="7"/>
      <c r="H848" s="7"/>
      <c r="I848" s="7"/>
    </row>
    <row r="849" spans="5:9" x14ac:dyDescent="0.2">
      <c r="E849" s="7"/>
      <c r="F849" s="7"/>
      <c r="G849" s="7"/>
      <c r="H849" s="7"/>
      <c r="I849" s="7"/>
    </row>
    <row r="850" spans="5:9" x14ac:dyDescent="0.2">
      <c r="E850" s="7"/>
      <c r="F850" s="7"/>
      <c r="G850" s="7"/>
      <c r="H850" s="7"/>
      <c r="I850" s="7"/>
    </row>
    <row r="851" spans="5:9" x14ac:dyDescent="0.2">
      <c r="E851" s="7"/>
      <c r="F851" s="7"/>
      <c r="G851" s="7"/>
      <c r="H851" s="7"/>
      <c r="I851" s="7"/>
    </row>
    <row r="852" spans="5:9" x14ac:dyDescent="0.2">
      <c r="E852" s="7"/>
      <c r="F852" s="7"/>
      <c r="G852" s="7"/>
      <c r="H852" s="7"/>
      <c r="I852" s="7"/>
    </row>
    <row r="853" spans="5:9" x14ac:dyDescent="0.2">
      <c r="E853" s="7"/>
      <c r="F853" s="7"/>
      <c r="G853" s="7"/>
      <c r="H853" s="7"/>
      <c r="I853" s="7"/>
    </row>
    <row r="854" spans="5:9" x14ac:dyDescent="0.2">
      <c r="E854" s="7"/>
      <c r="F854" s="7"/>
      <c r="G854" s="7"/>
      <c r="H854" s="7"/>
      <c r="I854" s="7"/>
    </row>
    <row r="855" spans="5:9" x14ac:dyDescent="0.2">
      <c r="E855" s="7"/>
      <c r="F855" s="7"/>
      <c r="G855" s="7"/>
      <c r="H855" s="7"/>
      <c r="I855" s="7"/>
    </row>
    <row r="856" spans="5:9" x14ac:dyDescent="0.2">
      <c r="E856" s="7"/>
      <c r="F856" s="7"/>
      <c r="G856" s="7"/>
      <c r="H856" s="7"/>
      <c r="I856" s="7"/>
    </row>
    <row r="857" spans="5:9" x14ac:dyDescent="0.2">
      <c r="E857" s="7"/>
      <c r="F857" s="7"/>
      <c r="G857" s="7"/>
      <c r="H857" s="7"/>
      <c r="I857" s="7"/>
    </row>
    <row r="858" spans="5:9" x14ac:dyDescent="0.2">
      <c r="E858" s="7"/>
      <c r="F858" s="7"/>
      <c r="G858" s="7"/>
      <c r="H858" s="7"/>
      <c r="I858" s="7"/>
    </row>
    <row r="859" spans="5:9" x14ac:dyDescent="0.2">
      <c r="E859" s="7"/>
      <c r="F859" s="7"/>
      <c r="G859" s="7"/>
      <c r="H859" s="7"/>
      <c r="I859" s="7"/>
    </row>
    <row r="860" spans="5:9" x14ac:dyDescent="0.2">
      <c r="E860" s="7"/>
      <c r="F860" s="7"/>
      <c r="G860" s="7"/>
      <c r="H860" s="7"/>
      <c r="I860" s="7"/>
    </row>
    <row r="861" spans="5:9" x14ac:dyDescent="0.2">
      <c r="E861" s="7"/>
      <c r="F861" s="7"/>
      <c r="G861" s="7"/>
      <c r="H861" s="7"/>
      <c r="I861" s="7"/>
    </row>
    <row r="862" spans="5:9" x14ac:dyDescent="0.2">
      <c r="E862" s="7"/>
      <c r="F862" s="7"/>
      <c r="G862" s="7"/>
      <c r="H862" s="7"/>
      <c r="I862" s="7"/>
    </row>
    <row r="863" spans="5:9" x14ac:dyDescent="0.2">
      <c r="E863" s="7"/>
      <c r="F863" s="7"/>
      <c r="G863" s="7"/>
      <c r="H863" s="7"/>
      <c r="I863" s="7"/>
    </row>
    <row r="864" spans="5:9" x14ac:dyDescent="0.2">
      <c r="E864" s="7"/>
      <c r="F864" s="7"/>
      <c r="G864" s="7"/>
      <c r="H864" s="7"/>
      <c r="I864" s="7"/>
    </row>
    <row r="865" spans="5:9" x14ac:dyDescent="0.2">
      <c r="E865" s="7"/>
      <c r="F865" s="7"/>
      <c r="G865" s="7"/>
      <c r="H865" s="7"/>
      <c r="I865" s="7"/>
    </row>
    <row r="866" spans="5:9" x14ac:dyDescent="0.2">
      <c r="E866" s="7"/>
      <c r="F866" s="7"/>
      <c r="G866" s="7"/>
      <c r="H866" s="7"/>
      <c r="I866" s="7"/>
    </row>
    <row r="867" spans="5:9" x14ac:dyDescent="0.2">
      <c r="E867" s="7"/>
      <c r="F867" s="7"/>
      <c r="G867" s="7"/>
      <c r="H867" s="7"/>
      <c r="I867" s="7"/>
    </row>
    <row r="868" spans="5:9" x14ac:dyDescent="0.2">
      <c r="E868" s="7"/>
      <c r="F868" s="7"/>
      <c r="G868" s="7"/>
      <c r="H868" s="7"/>
      <c r="I868" s="7"/>
    </row>
    <row r="869" spans="5:9" x14ac:dyDescent="0.2">
      <c r="E869" s="7"/>
      <c r="F869" s="7"/>
      <c r="G869" s="7"/>
      <c r="H869" s="7"/>
      <c r="I869" s="7"/>
    </row>
    <row r="870" spans="5:9" x14ac:dyDescent="0.2">
      <c r="E870" s="7"/>
      <c r="F870" s="7"/>
      <c r="G870" s="7"/>
      <c r="H870" s="7"/>
      <c r="I870" s="7"/>
    </row>
    <row r="871" spans="5:9" x14ac:dyDescent="0.2">
      <c r="E871" s="7"/>
      <c r="F871" s="7"/>
      <c r="G871" s="7"/>
      <c r="H871" s="7"/>
      <c r="I871" s="7"/>
    </row>
    <row r="872" spans="5:9" x14ac:dyDescent="0.2">
      <c r="E872" s="7"/>
      <c r="F872" s="7"/>
      <c r="G872" s="7"/>
      <c r="H872" s="7"/>
      <c r="I872" s="7"/>
    </row>
    <row r="873" spans="5:9" x14ac:dyDescent="0.2">
      <c r="E873" s="7"/>
      <c r="F873" s="7"/>
      <c r="G873" s="7"/>
      <c r="H873" s="7"/>
      <c r="I873" s="7"/>
    </row>
    <row r="874" spans="5:9" x14ac:dyDescent="0.2">
      <c r="E874" s="7"/>
      <c r="F874" s="7"/>
      <c r="G874" s="7"/>
      <c r="H874" s="7"/>
      <c r="I874" s="7"/>
    </row>
    <row r="875" spans="5:9" x14ac:dyDescent="0.2">
      <c r="E875" s="7"/>
      <c r="F875" s="7"/>
      <c r="G875" s="7"/>
      <c r="H875" s="7"/>
      <c r="I875" s="7"/>
    </row>
    <row r="876" spans="5:9" x14ac:dyDescent="0.2">
      <c r="E876" s="7"/>
      <c r="F876" s="7"/>
      <c r="G876" s="7"/>
      <c r="H876" s="7"/>
      <c r="I876" s="7"/>
    </row>
    <row r="877" spans="5:9" x14ac:dyDescent="0.2">
      <c r="E877" s="7"/>
      <c r="F877" s="7"/>
      <c r="G877" s="7"/>
      <c r="H877" s="7"/>
      <c r="I877" s="7"/>
    </row>
    <row r="878" spans="5:9" x14ac:dyDescent="0.2">
      <c r="E878" s="7"/>
      <c r="F878" s="7"/>
      <c r="G878" s="7"/>
      <c r="H878" s="7"/>
      <c r="I878" s="7"/>
    </row>
    <row r="879" spans="5:9" x14ac:dyDescent="0.2">
      <c r="E879" s="7"/>
      <c r="F879" s="7"/>
      <c r="G879" s="7"/>
      <c r="H879" s="7"/>
      <c r="I879" s="7"/>
    </row>
    <row r="880" spans="5:9" x14ac:dyDescent="0.2">
      <c r="E880" s="7"/>
      <c r="F880" s="7"/>
      <c r="G880" s="7"/>
      <c r="H880" s="7"/>
      <c r="I880" s="7"/>
    </row>
    <row r="881" spans="5:9" x14ac:dyDescent="0.2">
      <c r="E881" s="7"/>
      <c r="F881" s="7"/>
      <c r="G881" s="7"/>
      <c r="H881" s="7"/>
      <c r="I881" s="7"/>
    </row>
    <row r="882" spans="5:9" x14ac:dyDescent="0.2">
      <c r="E882" s="7"/>
      <c r="F882" s="7"/>
      <c r="G882" s="7"/>
      <c r="H882" s="7"/>
      <c r="I882" s="7"/>
    </row>
    <row r="883" spans="5:9" x14ac:dyDescent="0.2">
      <c r="E883" s="7"/>
      <c r="F883" s="7"/>
      <c r="G883" s="7"/>
      <c r="H883" s="7"/>
      <c r="I883" s="7"/>
    </row>
    <row r="884" spans="5:9" x14ac:dyDescent="0.2">
      <c r="E884" s="7"/>
      <c r="F884" s="7"/>
      <c r="G884" s="7"/>
      <c r="H884" s="7"/>
      <c r="I884" s="7"/>
    </row>
    <row r="885" spans="5:9" x14ac:dyDescent="0.2">
      <c r="E885" s="7"/>
      <c r="F885" s="7"/>
      <c r="G885" s="7"/>
      <c r="H885" s="7"/>
      <c r="I885" s="7"/>
    </row>
    <row r="886" spans="5:9" x14ac:dyDescent="0.2">
      <c r="E886" s="7"/>
      <c r="F886" s="7"/>
      <c r="G886" s="7"/>
      <c r="H886" s="7"/>
      <c r="I886" s="7"/>
    </row>
    <row r="887" spans="5:9" x14ac:dyDescent="0.2">
      <c r="E887" s="7"/>
      <c r="F887" s="7"/>
      <c r="G887" s="7"/>
      <c r="H887" s="7"/>
      <c r="I887" s="7"/>
    </row>
    <row r="888" spans="5:9" x14ac:dyDescent="0.2">
      <c r="E888" s="7"/>
      <c r="F888" s="7"/>
      <c r="G888" s="7"/>
      <c r="H888" s="7"/>
      <c r="I888" s="7"/>
    </row>
    <row r="889" spans="5:9" x14ac:dyDescent="0.2">
      <c r="E889" s="7"/>
      <c r="F889" s="7"/>
      <c r="G889" s="7"/>
      <c r="H889" s="7"/>
      <c r="I889" s="7"/>
    </row>
    <row r="890" spans="5:9" x14ac:dyDescent="0.2">
      <c r="E890" s="7"/>
      <c r="F890" s="7"/>
      <c r="G890" s="7"/>
      <c r="H890" s="7"/>
      <c r="I890" s="7"/>
    </row>
    <row r="891" spans="5:9" x14ac:dyDescent="0.2">
      <c r="E891" s="7"/>
      <c r="F891" s="7"/>
      <c r="G891" s="7"/>
      <c r="H891" s="7"/>
      <c r="I891" s="7"/>
    </row>
    <row r="892" spans="5:9" x14ac:dyDescent="0.2">
      <c r="E892" s="7"/>
      <c r="F892" s="7"/>
      <c r="G892" s="7"/>
      <c r="H892" s="7"/>
      <c r="I892" s="7"/>
    </row>
    <row r="893" spans="5:9" x14ac:dyDescent="0.2">
      <c r="E893" s="7"/>
      <c r="F893" s="7"/>
      <c r="G893" s="7"/>
      <c r="H893" s="7"/>
      <c r="I893" s="7"/>
    </row>
    <row r="894" spans="5:9" x14ac:dyDescent="0.2">
      <c r="E894" s="7"/>
      <c r="F894" s="7"/>
      <c r="G894" s="7"/>
      <c r="H894" s="7"/>
      <c r="I894" s="7"/>
    </row>
    <row r="895" spans="5:9" x14ac:dyDescent="0.2">
      <c r="E895" s="7"/>
      <c r="F895" s="7"/>
      <c r="G895" s="7"/>
      <c r="H895" s="7"/>
      <c r="I895" s="7"/>
    </row>
    <row r="896" spans="5:9" x14ac:dyDescent="0.2">
      <c r="E896" s="7"/>
      <c r="F896" s="7"/>
      <c r="G896" s="7"/>
      <c r="H896" s="7"/>
      <c r="I896" s="7"/>
    </row>
    <row r="897" spans="5:9" x14ac:dyDescent="0.2">
      <c r="E897" s="7"/>
      <c r="F897" s="7"/>
      <c r="G897" s="7"/>
      <c r="H897" s="7"/>
      <c r="I897" s="7"/>
    </row>
    <row r="898" spans="5:9" x14ac:dyDescent="0.2">
      <c r="E898" s="7"/>
      <c r="F898" s="7"/>
      <c r="G898" s="7"/>
      <c r="H898" s="7"/>
      <c r="I898" s="7"/>
    </row>
    <row r="899" spans="5:9" x14ac:dyDescent="0.2">
      <c r="E899" s="7"/>
      <c r="F899" s="7"/>
      <c r="G899" s="7"/>
      <c r="H899" s="7"/>
      <c r="I899" s="7"/>
    </row>
    <row r="900" spans="5:9" x14ac:dyDescent="0.2">
      <c r="E900" s="7"/>
      <c r="F900" s="7"/>
      <c r="G900" s="7"/>
      <c r="H900" s="7"/>
      <c r="I900" s="7"/>
    </row>
    <row r="901" spans="5:9" x14ac:dyDescent="0.2">
      <c r="E901" s="7"/>
      <c r="F901" s="7"/>
      <c r="G901" s="7"/>
      <c r="H901" s="7"/>
      <c r="I901" s="7"/>
    </row>
    <row r="902" spans="5:9" x14ac:dyDescent="0.2">
      <c r="E902" s="7"/>
      <c r="F902" s="7"/>
      <c r="G902" s="7"/>
      <c r="H902" s="7"/>
      <c r="I902" s="7"/>
    </row>
    <row r="903" spans="5:9" x14ac:dyDescent="0.2">
      <c r="E903" s="7"/>
      <c r="F903" s="7"/>
      <c r="G903" s="7"/>
      <c r="H903" s="7"/>
      <c r="I903" s="7"/>
    </row>
    <row r="904" spans="5:9" x14ac:dyDescent="0.2">
      <c r="E904" s="7"/>
      <c r="F904" s="7"/>
      <c r="G904" s="7"/>
      <c r="H904" s="7"/>
      <c r="I904" s="7"/>
    </row>
    <row r="905" spans="5:9" x14ac:dyDescent="0.2">
      <c r="E905" s="7"/>
      <c r="F905" s="7"/>
      <c r="G905" s="7"/>
      <c r="H905" s="7"/>
      <c r="I905" s="7"/>
    </row>
    <row r="906" spans="5:9" x14ac:dyDescent="0.2">
      <c r="E906" s="7"/>
      <c r="F906" s="7"/>
      <c r="G906" s="7"/>
      <c r="H906" s="7"/>
      <c r="I906" s="7"/>
    </row>
    <row r="907" spans="5:9" x14ac:dyDescent="0.2">
      <c r="E907" s="7"/>
      <c r="F907" s="7"/>
      <c r="G907" s="7"/>
      <c r="H907" s="7"/>
      <c r="I907" s="7"/>
    </row>
    <row r="908" spans="5:9" x14ac:dyDescent="0.2">
      <c r="E908" s="7"/>
      <c r="F908" s="7"/>
      <c r="G908" s="7"/>
      <c r="H908" s="7"/>
      <c r="I908" s="7"/>
    </row>
    <row r="909" spans="5:9" x14ac:dyDescent="0.2">
      <c r="E909" s="7"/>
      <c r="F909" s="7"/>
      <c r="G909" s="7"/>
      <c r="H909" s="7"/>
      <c r="I909" s="7"/>
    </row>
    <row r="910" spans="5:9" x14ac:dyDescent="0.2">
      <c r="E910" s="7"/>
      <c r="F910" s="7"/>
      <c r="G910" s="7"/>
      <c r="H910" s="7"/>
      <c r="I910" s="7"/>
    </row>
    <row r="911" spans="5:9" x14ac:dyDescent="0.2">
      <c r="E911" s="7"/>
      <c r="F911" s="7"/>
      <c r="G911" s="7"/>
      <c r="H911" s="7"/>
      <c r="I911" s="7"/>
    </row>
    <row r="912" spans="5:9" x14ac:dyDescent="0.2">
      <c r="E912" s="7"/>
      <c r="F912" s="7"/>
      <c r="G912" s="7"/>
      <c r="H912" s="7"/>
      <c r="I912" s="7"/>
    </row>
    <row r="913" spans="5:9" x14ac:dyDescent="0.2">
      <c r="E913" s="7"/>
      <c r="F913" s="7"/>
      <c r="G913" s="7"/>
      <c r="H913" s="7"/>
      <c r="I913" s="7"/>
    </row>
    <row r="914" spans="5:9" x14ac:dyDescent="0.2">
      <c r="E914" s="7"/>
      <c r="F914" s="7"/>
      <c r="G914" s="7"/>
      <c r="H914" s="7"/>
      <c r="I914" s="7"/>
    </row>
    <row r="915" spans="5:9" x14ac:dyDescent="0.2">
      <c r="E915" s="7"/>
      <c r="F915" s="7"/>
      <c r="G915" s="7"/>
      <c r="H915" s="7"/>
      <c r="I915" s="7"/>
    </row>
    <row r="916" spans="5:9" x14ac:dyDescent="0.2">
      <c r="E916" s="7"/>
      <c r="F916" s="7"/>
      <c r="G916" s="7"/>
      <c r="H916" s="7"/>
      <c r="I916" s="7"/>
    </row>
    <row r="917" spans="5:9" x14ac:dyDescent="0.2">
      <c r="E917" s="7"/>
      <c r="F917" s="7"/>
      <c r="G917" s="7"/>
      <c r="H917" s="7"/>
      <c r="I917" s="7"/>
    </row>
    <row r="918" spans="5:9" x14ac:dyDescent="0.2">
      <c r="E918" s="7"/>
      <c r="F918" s="7"/>
      <c r="G918" s="7"/>
      <c r="H918" s="7"/>
      <c r="I918" s="7"/>
    </row>
    <row r="919" spans="5:9" x14ac:dyDescent="0.2">
      <c r="E919" s="7"/>
      <c r="F919" s="7"/>
      <c r="G919" s="7"/>
      <c r="H919" s="7"/>
      <c r="I919" s="7"/>
    </row>
    <row r="920" spans="5:9" x14ac:dyDescent="0.2">
      <c r="E920" s="7"/>
      <c r="F920" s="7"/>
      <c r="G920" s="7"/>
      <c r="H920" s="7"/>
      <c r="I920" s="7"/>
    </row>
    <row r="921" spans="5:9" x14ac:dyDescent="0.2">
      <c r="E921" s="7"/>
      <c r="F921" s="7"/>
      <c r="G921" s="7"/>
      <c r="H921" s="7"/>
      <c r="I921" s="7"/>
    </row>
    <row r="922" spans="5:9" x14ac:dyDescent="0.2">
      <c r="E922" s="7"/>
      <c r="F922" s="7"/>
      <c r="G922" s="7"/>
      <c r="H922" s="7"/>
      <c r="I922" s="7"/>
    </row>
    <row r="923" spans="5:9" x14ac:dyDescent="0.2">
      <c r="E923" s="7"/>
      <c r="F923" s="7"/>
      <c r="G923" s="7"/>
      <c r="H923" s="7"/>
      <c r="I923" s="7"/>
    </row>
    <row r="924" spans="5:9" x14ac:dyDescent="0.2">
      <c r="E924" s="7"/>
      <c r="F924" s="7"/>
      <c r="G924" s="7"/>
      <c r="H924" s="7"/>
      <c r="I924" s="7"/>
    </row>
    <row r="925" spans="5:9" x14ac:dyDescent="0.2">
      <c r="E925" s="7"/>
      <c r="F925" s="7"/>
      <c r="G925" s="7"/>
      <c r="H925" s="7"/>
      <c r="I925" s="7"/>
    </row>
    <row r="926" spans="5:9" x14ac:dyDescent="0.2">
      <c r="E926" s="7"/>
      <c r="F926" s="7"/>
      <c r="G926" s="7"/>
      <c r="H926" s="7"/>
      <c r="I926" s="7"/>
    </row>
    <row r="927" spans="5:9" x14ac:dyDescent="0.2">
      <c r="E927" s="7"/>
      <c r="F927" s="7"/>
      <c r="G927" s="7"/>
      <c r="H927" s="7"/>
      <c r="I927" s="7"/>
    </row>
    <row r="928" spans="5:9" x14ac:dyDescent="0.2">
      <c r="E928" s="7"/>
      <c r="F928" s="7"/>
      <c r="G928" s="7"/>
      <c r="H928" s="7"/>
      <c r="I928" s="7"/>
    </row>
    <row r="929" spans="5:9" x14ac:dyDescent="0.2">
      <c r="E929" s="7"/>
      <c r="F929" s="7"/>
      <c r="G929" s="7"/>
      <c r="H929" s="7"/>
      <c r="I929" s="7"/>
    </row>
    <row r="930" spans="5:9" x14ac:dyDescent="0.2">
      <c r="E930" s="7"/>
      <c r="F930" s="7"/>
      <c r="G930" s="7"/>
      <c r="H930" s="7"/>
      <c r="I930" s="7"/>
    </row>
    <row r="931" spans="5:9" x14ac:dyDescent="0.2">
      <c r="E931" s="7"/>
      <c r="F931" s="7"/>
      <c r="G931" s="7"/>
      <c r="H931" s="7"/>
      <c r="I931" s="7"/>
    </row>
    <row r="932" spans="5:9" x14ac:dyDescent="0.2">
      <c r="E932" s="7"/>
      <c r="F932" s="7"/>
      <c r="G932" s="7"/>
      <c r="H932" s="7"/>
      <c r="I932" s="7"/>
    </row>
    <row r="933" spans="5:9" x14ac:dyDescent="0.2">
      <c r="E933" s="7"/>
      <c r="F933" s="7"/>
      <c r="G933" s="7"/>
      <c r="H933" s="7"/>
      <c r="I933" s="7"/>
    </row>
    <row r="934" spans="5:9" x14ac:dyDescent="0.2">
      <c r="E934" s="7"/>
      <c r="F934" s="7"/>
      <c r="G934" s="7"/>
      <c r="H934" s="7"/>
      <c r="I934" s="7"/>
    </row>
    <row r="935" spans="5:9" x14ac:dyDescent="0.2">
      <c r="E935" s="7"/>
      <c r="F935" s="7"/>
      <c r="G935" s="7"/>
      <c r="H935" s="7"/>
      <c r="I935" s="7"/>
    </row>
    <row r="936" spans="5:9" x14ac:dyDescent="0.2">
      <c r="E936" s="7"/>
      <c r="F936" s="7"/>
      <c r="G936" s="7"/>
      <c r="H936" s="7"/>
      <c r="I936" s="7"/>
    </row>
    <row r="937" spans="5:9" x14ac:dyDescent="0.2">
      <c r="E937" s="7"/>
      <c r="F937" s="7"/>
      <c r="G937" s="7"/>
      <c r="H937" s="7"/>
      <c r="I937" s="7"/>
    </row>
    <row r="938" spans="5:9" x14ac:dyDescent="0.2">
      <c r="E938" s="7"/>
      <c r="F938" s="7"/>
      <c r="G938" s="7"/>
      <c r="H938" s="7"/>
      <c r="I938" s="7"/>
    </row>
    <row r="939" spans="5:9" x14ac:dyDescent="0.2">
      <c r="E939" s="7"/>
      <c r="F939" s="7"/>
      <c r="G939" s="7"/>
      <c r="H939" s="7"/>
      <c r="I939" s="7"/>
    </row>
    <row r="940" spans="5:9" x14ac:dyDescent="0.2">
      <c r="E940" s="7"/>
      <c r="F940" s="7"/>
      <c r="G940" s="7"/>
      <c r="H940" s="7"/>
      <c r="I940" s="7"/>
    </row>
    <row r="941" spans="5:9" x14ac:dyDescent="0.2">
      <c r="E941" s="7"/>
      <c r="F941" s="7"/>
      <c r="G941" s="7"/>
      <c r="H941" s="7"/>
      <c r="I941" s="7"/>
    </row>
    <row r="942" spans="5:9" x14ac:dyDescent="0.2">
      <c r="E942" s="7"/>
      <c r="F942" s="7"/>
      <c r="G942" s="7"/>
      <c r="H942" s="7"/>
      <c r="I942" s="7"/>
    </row>
    <row r="943" spans="5:9" x14ac:dyDescent="0.2">
      <c r="E943" s="7"/>
      <c r="F943" s="7"/>
      <c r="G943" s="7"/>
      <c r="H943" s="7"/>
      <c r="I943" s="7"/>
    </row>
    <row r="944" spans="5:9" x14ac:dyDescent="0.2">
      <c r="E944" s="7"/>
      <c r="F944" s="7"/>
      <c r="G944" s="7"/>
      <c r="H944" s="7"/>
      <c r="I944" s="7"/>
    </row>
    <row r="945" spans="5:9" x14ac:dyDescent="0.2">
      <c r="E945" s="7"/>
      <c r="F945" s="7"/>
      <c r="G945" s="7"/>
      <c r="H945" s="7"/>
      <c r="I945" s="7"/>
    </row>
    <row r="946" spans="5:9" x14ac:dyDescent="0.2">
      <c r="E946" s="7"/>
      <c r="F946" s="7"/>
      <c r="G946" s="7"/>
      <c r="H946" s="7"/>
      <c r="I946" s="7"/>
    </row>
    <row r="947" spans="5:9" x14ac:dyDescent="0.2">
      <c r="E947" s="7"/>
      <c r="F947" s="7"/>
      <c r="G947" s="7"/>
      <c r="H947" s="7"/>
      <c r="I947" s="7"/>
    </row>
    <row r="948" spans="5:9" x14ac:dyDescent="0.2">
      <c r="E948" s="7"/>
      <c r="F948" s="7"/>
      <c r="G948" s="7"/>
      <c r="H948" s="7"/>
      <c r="I948" s="7"/>
    </row>
    <row r="949" spans="5:9" x14ac:dyDescent="0.2">
      <c r="E949" s="7"/>
      <c r="F949" s="7"/>
      <c r="G949" s="7"/>
      <c r="H949" s="7"/>
      <c r="I949" s="7"/>
    </row>
    <row r="950" spans="5:9" x14ac:dyDescent="0.2">
      <c r="E950" s="7"/>
      <c r="F950" s="7"/>
      <c r="G950" s="7"/>
      <c r="H950" s="7"/>
      <c r="I950" s="7"/>
    </row>
    <row r="951" spans="5:9" x14ac:dyDescent="0.2">
      <c r="E951" s="7"/>
      <c r="F951" s="7"/>
      <c r="G951" s="7"/>
      <c r="H951" s="7"/>
      <c r="I951" s="7"/>
    </row>
    <row r="952" spans="5:9" x14ac:dyDescent="0.2">
      <c r="E952" s="7"/>
      <c r="F952" s="7"/>
      <c r="G952" s="7"/>
      <c r="H952" s="7"/>
      <c r="I952" s="7"/>
    </row>
    <row r="953" spans="5:9" x14ac:dyDescent="0.2">
      <c r="E953" s="7"/>
      <c r="F953" s="7"/>
      <c r="G953" s="7"/>
      <c r="H953" s="7"/>
      <c r="I953" s="7"/>
    </row>
    <row r="954" spans="5:9" x14ac:dyDescent="0.2">
      <c r="E954" s="7"/>
      <c r="F954" s="7"/>
      <c r="G954" s="7"/>
      <c r="H954" s="7"/>
      <c r="I954" s="7"/>
    </row>
    <row r="955" spans="5:9" x14ac:dyDescent="0.2">
      <c r="E955" s="7"/>
      <c r="F955" s="7"/>
      <c r="G955" s="7"/>
      <c r="H955" s="7"/>
      <c r="I955" s="7"/>
    </row>
    <row r="956" spans="5:9" x14ac:dyDescent="0.2">
      <c r="E956" s="7"/>
      <c r="F956" s="7"/>
      <c r="G956" s="7"/>
      <c r="H956" s="7"/>
      <c r="I956" s="7"/>
    </row>
    <row r="957" spans="5:9" x14ac:dyDescent="0.2">
      <c r="E957" s="7"/>
      <c r="F957" s="7"/>
      <c r="G957" s="7"/>
      <c r="H957" s="7"/>
      <c r="I957" s="7"/>
    </row>
    <row r="958" spans="5:9" x14ac:dyDescent="0.2">
      <c r="E958" s="7"/>
      <c r="F958" s="7"/>
      <c r="G958" s="7"/>
      <c r="H958" s="7"/>
      <c r="I958" s="7"/>
    </row>
    <row r="959" spans="5:9" x14ac:dyDescent="0.2">
      <c r="E959" s="7"/>
      <c r="F959" s="7"/>
      <c r="G959" s="7"/>
      <c r="H959" s="7"/>
      <c r="I959" s="7"/>
    </row>
    <row r="960" spans="5:9" x14ac:dyDescent="0.2">
      <c r="E960" s="7"/>
      <c r="F960" s="7"/>
      <c r="G960" s="7"/>
      <c r="H960" s="7"/>
      <c r="I960" s="7"/>
    </row>
    <row r="961" spans="5:9" x14ac:dyDescent="0.2">
      <c r="E961" s="7"/>
      <c r="F961" s="7"/>
      <c r="G961" s="7"/>
      <c r="H961" s="7"/>
      <c r="I961" s="7"/>
    </row>
    <row r="962" spans="5:9" x14ac:dyDescent="0.2">
      <c r="E962" s="7"/>
      <c r="F962" s="7"/>
      <c r="G962" s="7"/>
      <c r="H962" s="7"/>
      <c r="I962" s="7"/>
    </row>
    <row r="963" spans="5:9" x14ac:dyDescent="0.2">
      <c r="E963" s="7"/>
      <c r="F963" s="7"/>
      <c r="G963" s="7"/>
      <c r="H963" s="7"/>
      <c r="I963" s="7"/>
    </row>
    <row r="964" spans="5:9" x14ac:dyDescent="0.2">
      <c r="E964" s="7"/>
      <c r="F964" s="7"/>
      <c r="G964" s="7"/>
      <c r="H964" s="7"/>
      <c r="I964" s="7"/>
    </row>
    <row r="965" spans="5:9" x14ac:dyDescent="0.2">
      <c r="E965" s="7"/>
      <c r="F965" s="7"/>
      <c r="G965" s="7"/>
      <c r="H965" s="7"/>
      <c r="I965" s="7"/>
    </row>
    <row r="966" spans="5:9" x14ac:dyDescent="0.2">
      <c r="E966" s="7"/>
      <c r="F966" s="7"/>
      <c r="G966" s="7"/>
      <c r="H966" s="7"/>
      <c r="I966" s="7"/>
    </row>
    <row r="967" spans="5:9" x14ac:dyDescent="0.2">
      <c r="E967" s="7"/>
      <c r="F967" s="7"/>
      <c r="G967" s="7"/>
      <c r="H967" s="7"/>
      <c r="I967" s="7"/>
    </row>
    <row r="968" spans="5:9" x14ac:dyDescent="0.2">
      <c r="E968" s="7"/>
      <c r="F968" s="7"/>
      <c r="G968" s="7"/>
      <c r="H968" s="7"/>
      <c r="I968" s="7"/>
    </row>
    <row r="969" spans="5:9" x14ac:dyDescent="0.2">
      <c r="E969" s="7"/>
      <c r="F969" s="7"/>
      <c r="G969" s="7"/>
      <c r="H969" s="7"/>
      <c r="I969" s="7"/>
    </row>
    <row r="970" spans="5:9" x14ac:dyDescent="0.2">
      <c r="E970" s="7"/>
      <c r="F970" s="7"/>
      <c r="G970" s="7"/>
      <c r="H970" s="7"/>
      <c r="I970" s="7"/>
    </row>
    <row r="971" spans="5:9" x14ac:dyDescent="0.2">
      <c r="E971" s="7"/>
      <c r="F971" s="7"/>
      <c r="G971" s="7"/>
      <c r="H971" s="7"/>
      <c r="I971" s="7"/>
    </row>
    <row r="972" spans="5:9" x14ac:dyDescent="0.2">
      <c r="E972" s="7"/>
      <c r="F972" s="7"/>
      <c r="G972" s="7"/>
      <c r="H972" s="7"/>
      <c r="I972" s="7"/>
    </row>
    <row r="973" spans="5:9" x14ac:dyDescent="0.2">
      <c r="E973" s="7"/>
      <c r="F973" s="7"/>
      <c r="G973" s="7"/>
      <c r="H973" s="7"/>
      <c r="I973" s="7"/>
    </row>
    <row r="974" spans="5:9" x14ac:dyDescent="0.2">
      <c r="E974" s="7"/>
      <c r="F974" s="7"/>
      <c r="G974" s="7"/>
      <c r="H974" s="7"/>
      <c r="I974" s="7"/>
    </row>
    <row r="975" spans="5:9" x14ac:dyDescent="0.2">
      <c r="E975" s="7"/>
      <c r="F975" s="7"/>
      <c r="G975" s="7"/>
      <c r="H975" s="7"/>
      <c r="I975" s="7"/>
    </row>
    <row r="976" spans="5:9" x14ac:dyDescent="0.2">
      <c r="E976" s="7"/>
      <c r="F976" s="7"/>
      <c r="G976" s="7"/>
      <c r="H976" s="7"/>
      <c r="I976" s="7"/>
    </row>
    <row r="977" spans="5:9" x14ac:dyDescent="0.2">
      <c r="E977" s="7"/>
      <c r="F977" s="7"/>
      <c r="G977" s="7"/>
      <c r="H977" s="7"/>
      <c r="I977" s="7"/>
    </row>
    <row r="978" spans="5:9" x14ac:dyDescent="0.2">
      <c r="E978" s="7"/>
      <c r="F978" s="7"/>
      <c r="G978" s="7"/>
      <c r="H978" s="7"/>
      <c r="I978" s="7"/>
    </row>
    <row r="979" spans="5:9" x14ac:dyDescent="0.2">
      <c r="E979" s="7"/>
      <c r="F979" s="7"/>
      <c r="G979" s="7"/>
      <c r="H979" s="7"/>
      <c r="I979" s="7"/>
    </row>
    <row r="980" spans="5:9" x14ac:dyDescent="0.2">
      <c r="E980" s="7"/>
      <c r="F980" s="7"/>
      <c r="G980" s="7"/>
      <c r="H980" s="7"/>
      <c r="I980" s="7"/>
    </row>
    <row r="981" spans="5:9" x14ac:dyDescent="0.2">
      <c r="E981" s="7"/>
      <c r="F981" s="7"/>
      <c r="G981" s="7"/>
      <c r="H981" s="7"/>
      <c r="I981" s="7"/>
    </row>
    <row r="982" spans="5:9" x14ac:dyDescent="0.2">
      <c r="E982" s="7"/>
      <c r="F982" s="7"/>
      <c r="G982" s="7"/>
      <c r="H982" s="7"/>
      <c r="I982" s="7"/>
    </row>
    <row r="983" spans="5:9" x14ac:dyDescent="0.2">
      <c r="E983" s="7"/>
      <c r="F983" s="7"/>
      <c r="G983" s="7"/>
      <c r="H983" s="7"/>
      <c r="I983" s="7"/>
    </row>
    <row r="984" spans="5:9" x14ac:dyDescent="0.2">
      <c r="E984" s="7"/>
      <c r="F984" s="7"/>
      <c r="G984" s="7"/>
      <c r="H984" s="7"/>
      <c r="I984" s="7"/>
    </row>
    <row r="985" spans="5:9" x14ac:dyDescent="0.2">
      <c r="E985" s="7"/>
      <c r="F985" s="7"/>
      <c r="G985" s="7"/>
      <c r="H985" s="7"/>
      <c r="I985" s="7"/>
    </row>
    <row r="986" spans="5:9" x14ac:dyDescent="0.2">
      <c r="E986" s="7"/>
      <c r="F986" s="7"/>
      <c r="G986" s="7"/>
      <c r="H986" s="7"/>
      <c r="I986" s="7"/>
    </row>
    <row r="987" spans="5:9" x14ac:dyDescent="0.2">
      <c r="E987" s="7"/>
      <c r="F987" s="7"/>
      <c r="G987" s="7"/>
      <c r="H987" s="7"/>
      <c r="I987" s="7"/>
    </row>
    <row r="988" spans="5:9" x14ac:dyDescent="0.2">
      <c r="E988" s="7"/>
      <c r="F988" s="7"/>
      <c r="G988" s="7"/>
      <c r="H988" s="7"/>
      <c r="I988" s="7"/>
    </row>
    <row r="989" spans="5:9" x14ac:dyDescent="0.2">
      <c r="E989" s="7"/>
      <c r="F989" s="7"/>
      <c r="G989" s="7"/>
      <c r="H989" s="7"/>
      <c r="I989" s="7"/>
    </row>
    <row r="990" spans="5:9" x14ac:dyDescent="0.2">
      <c r="E990" s="7"/>
      <c r="F990" s="7"/>
      <c r="G990" s="7"/>
      <c r="H990" s="7"/>
      <c r="I990" s="7"/>
    </row>
    <row r="991" spans="5:9" x14ac:dyDescent="0.2">
      <c r="E991" s="7"/>
      <c r="F991" s="7"/>
      <c r="G991" s="7"/>
      <c r="H991" s="7"/>
      <c r="I991" s="7"/>
    </row>
    <row r="992" spans="5:9" x14ac:dyDescent="0.2">
      <c r="E992" s="7"/>
      <c r="F992" s="7"/>
      <c r="G992" s="7"/>
      <c r="H992" s="7"/>
      <c r="I992" s="7"/>
    </row>
    <row r="993" spans="5:9" x14ac:dyDescent="0.2">
      <c r="E993" s="7"/>
      <c r="F993" s="7"/>
      <c r="G993" s="7"/>
      <c r="H993" s="7"/>
      <c r="I993" s="7"/>
    </row>
    <row r="994" spans="5:9" x14ac:dyDescent="0.2">
      <c r="E994" s="7"/>
      <c r="F994" s="7"/>
      <c r="G994" s="7"/>
      <c r="H994" s="7"/>
      <c r="I994" s="7"/>
    </row>
    <row r="995" spans="5:9" x14ac:dyDescent="0.2">
      <c r="E995" s="7"/>
      <c r="F995" s="7"/>
      <c r="G995" s="7"/>
      <c r="H995" s="7"/>
      <c r="I995" s="7"/>
    </row>
    <row r="996" spans="5:9" x14ac:dyDescent="0.2">
      <c r="E996" s="7"/>
      <c r="F996" s="7"/>
      <c r="G996" s="7"/>
      <c r="H996" s="7"/>
      <c r="I996" s="7"/>
    </row>
    <row r="997" spans="5:9" x14ac:dyDescent="0.2">
      <c r="E997" s="7"/>
      <c r="F997" s="7"/>
      <c r="G997" s="7"/>
      <c r="H997" s="7"/>
      <c r="I997" s="7"/>
    </row>
    <row r="998" spans="5:9" x14ac:dyDescent="0.2">
      <c r="E998" s="7"/>
      <c r="F998" s="7"/>
      <c r="G998" s="7"/>
      <c r="H998" s="7"/>
      <c r="I998" s="7"/>
    </row>
    <row r="999" spans="5:9" x14ac:dyDescent="0.2">
      <c r="E999" s="7"/>
      <c r="F999" s="7"/>
      <c r="G999" s="7"/>
      <c r="H999" s="7"/>
      <c r="I999" s="7"/>
    </row>
    <row r="1000" spans="5:9" x14ac:dyDescent="0.2">
      <c r="E1000" s="7"/>
      <c r="F1000" s="7"/>
      <c r="G1000" s="7"/>
      <c r="H1000" s="7"/>
      <c r="I1000" s="7"/>
    </row>
    <row r="1001" spans="5:9" x14ac:dyDescent="0.2">
      <c r="E1001" s="7"/>
      <c r="F1001" s="7"/>
      <c r="G1001" s="7"/>
      <c r="H1001" s="7"/>
      <c r="I1001" s="7"/>
    </row>
    <row r="1002" spans="5:9" x14ac:dyDescent="0.2">
      <c r="E1002" s="7"/>
      <c r="F1002" s="7"/>
      <c r="G1002" s="7"/>
      <c r="H1002" s="7"/>
      <c r="I1002" s="7"/>
    </row>
    <row r="1003" spans="5:9" x14ac:dyDescent="0.2">
      <c r="E1003" s="7"/>
      <c r="F1003" s="7"/>
      <c r="G1003" s="7"/>
      <c r="H1003" s="7"/>
      <c r="I1003" s="7"/>
    </row>
    <row r="1004" spans="5:9" x14ac:dyDescent="0.2">
      <c r="E1004" s="7"/>
      <c r="F1004" s="7"/>
      <c r="G1004" s="7"/>
      <c r="H1004" s="7"/>
      <c r="I1004" s="7"/>
    </row>
    <row r="1005" spans="5:9" x14ac:dyDescent="0.2">
      <c r="E1005" s="7"/>
      <c r="F1005" s="7"/>
      <c r="G1005" s="7"/>
      <c r="H1005" s="7"/>
      <c r="I1005" s="7"/>
    </row>
    <row r="1006" spans="5:9" x14ac:dyDescent="0.2">
      <c r="E1006" s="7"/>
      <c r="F1006" s="7"/>
      <c r="G1006" s="7"/>
      <c r="H1006" s="7"/>
      <c r="I1006" s="7"/>
    </row>
    <row r="1007" spans="5:9" x14ac:dyDescent="0.2">
      <c r="E1007" s="7"/>
      <c r="F1007" s="7"/>
      <c r="G1007" s="7"/>
      <c r="H1007" s="7"/>
      <c r="I1007" s="7"/>
    </row>
    <row r="1008" spans="5:9" x14ac:dyDescent="0.2">
      <c r="E1008" s="7"/>
      <c r="F1008" s="7"/>
      <c r="G1008" s="7"/>
      <c r="H1008" s="7"/>
      <c r="I1008" s="7"/>
    </row>
    <row r="1009" spans="5:9" x14ac:dyDescent="0.2">
      <c r="E1009" s="7"/>
      <c r="F1009" s="7"/>
      <c r="G1009" s="7"/>
      <c r="H1009" s="7"/>
      <c r="I1009" s="7"/>
    </row>
    <row r="1010" spans="5:9" x14ac:dyDescent="0.2">
      <c r="E1010" s="7"/>
      <c r="F1010" s="7"/>
      <c r="G1010" s="7"/>
      <c r="H1010" s="7"/>
      <c r="I1010" s="7"/>
    </row>
    <row r="1011" spans="5:9" x14ac:dyDescent="0.2">
      <c r="E1011" s="7"/>
      <c r="F1011" s="7"/>
      <c r="G1011" s="7"/>
      <c r="H1011" s="7"/>
      <c r="I1011" s="7"/>
    </row>
    <row r="1012" spans="5:9" x14ac:dyDescent="0.2">
      <c r="E1012" s="7"/>
      <c r="F1012" s="7"/>
      <c r="G1012" s="7"/>
      <c r="H1012" s="7"/>
      <c r="I1012" s="7"/>
    </row>
    <row r="1013" spans="5:9" x14ac:dyDescent="0.2">
      <c r="E1013" s="7"/>
      <c r="F1013" s="7"/>
      <c r="G1013" s="7"/>
      <c r="H1013" s="7"/>
      <c r="I1013" s="7"/>
    </row>
    <row r="1014" spans="5:9" x14ac:dyDescent="0.2">
      <c r="E1014" s="7"/>
      <c r="F1014" s="7"/>
      <c r="G1014" s="7"/>
      <c r="H1014" s="7"/>
      <c r="I1014" s="7"/>
    </row>
    <row r="1015" spans="5:9" x14ac:dyDescent="0.2">
      <c r="E1015" s="7"/>
      <c r="F1015" s="7"/>
      <c r="G1015" s="7"/>
      <c r="H1015" s="7"/>
      <c r="I1015" s="7"/>
    </row>
    <row r="1016" spans="5:9" x14ac:dyDescent="0.2">
      <c r="E1016" s="7"/>
      <c r="F1016" s="7"/>
      <c r="G1016" s="7"/>
      <c r="H1016" s="7"/>
      <c r="I1016" s="7"/>
    </row>
    <row r="1017" spans="5:9" x14ac:dyDescent="0.2">
      <c r="E1017" s="7"/>
      <c r="F1017" s="7"/>
      <c r="G1017" s="7"/>
      <c r="H1017" s="7"/>
      <c r="I1017" s="7"/>
    </row>
    <row r="1018" spans="5:9" x14ac:dyDescent="0.2">
      <c r="E1018" s="7"/>
      <c r="F1018" s="7"/>
      <c r="G1018" s="7"/>
      <c r="H1018" s="7"/>
      <c r="I1018" s="7"/>
    </row>
    <row r="1019" spans="5:9" x14ac:dyDescent="0.2">
      <c r="E1019" s="7"/>
      <c r="F1019" s="7"/>
      <c r="G1019" s="7"/>
      <c r="H1019" s="7"/>
      <c r="I1019" s="7"/>
    </row>
    <row r="1020" spans="5:9" x14ac:dyDescent="0.2">
      <c r="E1020" s="7"/>
      <c r="F1020" s="7"/>
      <c r="G1020" s="7"/>
      <c r="H1020" s="7"/>
      <c r="I1020" s="7"/>
    </row>
    <row r="1021" spans="5:9" x14ac:dyDescent="0.2">
      <c r="E1021" s="7"/>
      <c r="F1021" s="7"/>
      <c r="G1021" s="7"/>
      <c r="H1021" s="7"/>
      <c r="I1021" s="7"/>
    </row>
    <row r="1022" spans="5:9" x14ac:dyDescent="0.2">
      <c r="E1022" s="7"/>
      <c r="F1022" s="7"/>
      <c r="G1022" s="7"/>
      <c r="H1022" s="7"/>
      <c r="I1022" s="7"/>
    </row>
    <row r="1023" spans="5:9" x14ac:dyDescent="0.2">
      <c r="E1023" s="7"/>
      <c r="F1023" s="7"/>
      <c r="G1023" s="7"/>
      <c r="H1023" s="7"/>
      <c r="I1023" s="7"/>
    </row>
    <row r="1024" spans="5:9" x14ac:dyDescent="0.2">
      <c r="E1024" s="7"/>
      <c r="F1024" s="7"/>
      <c r="G1024" s="7"/>
      <c r="H1024" s="7"/>
      <c r="I1024" s="7"/>
    </row>
    <row r="1025" spans="5:9" x14ac:dyDescent="0.2">
      <c r="E1025" s="7"/>
      <c r="F1025" s="7"/>
      <c r="G1025" s="7"/>
      <c r="H1025" s="7"/>
      <c r="I1025" s="7"/>
    </row>
    <row r="1026" spans="5:9" x14ac:dyDescent="0.2">
      <c r="E1026" s="7"/>
      <c r="F1026" s="7"/>
      <c r="G1026" s="7"/>
      <c r="H1026" s="7"/>
      <c r="I1026" s="7"/>
    </row>
    <row r="1027" spans="5:9" x14ac:dyDescent="0.2">
      <c r="E1027" s="7"/>
      <c r="F1027" s="7"/>
      <c r="G1027" s="7"/>
      <c r="H1027" s="7"/>
      <c r="I1027" s="7"/>
    </row>
    <row r="1028" spans="5:9" x14ac:dyDescent="0.2">
      <c r="E1028" s="7"/>
      <c r="F1028" s="7"/>
      <c r="G1028" s="7"/>
      <c r="H1028" s="7"/>
      <c r="I1028" s="7"/>
    </row>
    <row r="1029" spans="5:9" x14ac:dyDescent="0.2">
      <c r="E1029" s="7"/>
      <c r="F1029" s="7"/>
      <c r="G1029" s="7"/>
      <c r="H1029" s="7"/>
      <c r="I1029" s="7"/>
    </row>
    <row r="1030" spans="5:9" x14ac:dyDescent="0.2">
      <c r="E1030" s="7"/>
      <c r="F1030" s="7"/>
      <c r="G1030" s="7"/>
      <c r="H1030" s="7"/>
      <c r="I1030" s="7"/>
    </row>
    <row r="1031" spans="5:9" x14ac:dyDescent="0.2">
      <c r="E1031" s="7"/>
      <c r="F1031" s="7"/>
      <c r="G1031" s="7"/>
      <c r="H1031" s="7"/>
      <c r="I1031" s="7"/>
    </row>
    <row r="1032" spans="5:9" x14ac:dyDescent="0.2">
      <c r="E1032" s="7"/>
      <c r="F1032" s="7"/>
      <c r="G1032" s="7"/>
      <c r="H1032" s="7"/>
      <c r="I1032" s="7"/>
    </row>
    <row r="1033" spans="5:9" x14ac:dyDescent="0.2">
      <c r="E1033" s="7"/>
      <c r="F1033" s="7"/>
      <c r="G1033" s="7"/>
      <c r="H1033" s="7"/>
      <c r="I1033" s="7"/>
    </row>
    <row r="1034" spans="5:9" x14ac:dyDescent="0.2">
      <c r="E1034" s="7"/>
      <c r="F1034" s="7"/>
      <c r="G1034" s="7"/>
      <c r="H1034" s="7"/>
      <c r="I1034" s="7"/>
    </row>
    <row r="1035" spans="5:9" x14ac:dyDescent="0.2">
      <c r="E1035" s="7"/>
      <c r="F1035" s="7"/>
      <c r="G1035" s="7"/>
      <c r="H1035" s="7"/>
      <c r="I1035" s="7"/>
    </row>
    <row r="1036" spans="5:9" x14ac:dyDescent="0.2">
      <c r="E1036" s="7"/>
      <c r="F1036" s="7"/>
      <c r="G1036" s="7"/>
      <c r="H1036" s="7"/>
      <c r="I1036" s="7"/>
    </row>
    <row r="1037" spans="5:9" x14ac:dyDescent="0.2">
      <c r="E1037" s="7"/>
      <c r="F1037" s="7"/>
      <c r="G1037" s="7"/>
      <c r="H1037" s="7"/>
      <c r="I1037" s="7"/>
    </row>
    <row r="1038" spans="5:9" x14ac:dyDescent="0.2">
      <c r="E1038" s="7"/>
      <c r="F1038" s="7"/>
      <c r="G1038" s="7"/>
      <c r="H1038" s="7"/>
      <c r="I1038" s="7"/>
    </row>
    <row r="1039" spans="5:9" x14ac:dyDescent="0.2">
      <c r="E1039" s="7"/>
      <c r="F1039" s="7"/>
      <c r="G1039" s="7"/>
      <c r="H1039" s="7"/>
      <c r="I1039" s="7"/>
    </row>
    <row r="1040" spans="5:9" x14ac:dyDescent="0.2">
      <c r="E1040" s="7"/>
      <c r="F1040" s="7"/>
      <c r="G1040" s="7"/>
      <c r="H1040" s="7"/>
      <c r="I1040" s="7"/>
    </row>
    <row r="1041" spans="5:9" x14ac:dyDescent="0.2">
      <c r="E1041" s="7"/>
      <c r="F1041" s="7"/>
      <c r="G1041" s="7"/>
      <c r="H1041" s="7"/>
      <c r="I1041" s="7"/>
    </row>
    <row r="1042" spans="5:9" x14ac:dyDescent="0.2">
      <c r="E1042" s="7"/>
      <c r="F1042" s="7"/>
      <c r="G1042" s="7"/>
      <c r="H1042" s="7"/>
      <c r="I1042" s="7"/>
    </row>
    <row r="1043" spans="5:9" x14ac:dyDescent="0.2">
      <c r="E1043" s="7"/>
      <c r="F1043" s="7"/>
      <c r="G1043" s="7"/>
      <c r="H1043" s="7"/>
      <c r="I1043" s="7"/>
    </row>
    <row r="1044" spans="5:9" x14ac:dyDescent="0.2">
      <c r="E1044" s="7"/>
      <c r="F1044" s="7"/>
      <c r="G1044" s="7"/>
      <c r="H1044" s="7"/>
      <c r="I1044" s="7"/>
    </row>
    <row r="1045" spans="5:9" x14ac:dyDescent="0.2">
      <c r="E1045" s="7"/>
      <c r="F1045" s="7"/>
      <c r="G1045" s="7"/>
      <c r="H1045" s="7"/>
      <c r="I1045" s="7"/>
    </row>
    <row r="1046" spans="5:9" x14ac:dyDescent="0.2">
      <c r="E1046" s="7"/>
      <c r="F1046" s="7"/>
      <c r="G1046" s="7"/>
      <c r="H1046" s="7"/>
      <c r="I1046" s="7"/>
    </row>
    <row r="1047" spans="5:9" x14ac:dyDescent="0.2">
      <c r="E1047" s="7"/>
      <c r="F1047" s="7"/>
      <c r="G1047" s="7"/>
      <c r="H1047" s="7"/>
      <c r="I1047" s="7"/>
    </row>
    <row r="1048" spans="5:9" x14ac:dyDescent="0.2">
      <c r="E1048" s="7"/>
      <c r="F1048" s="7"/>
      <c r="G1048" s="7"/>
      <c r="H1048" s="7"/>
      <c r="I1048" s="7"/>
    </row>
    <row r="1049" spans="5:9" x14ac:dyDescent="0.2">
      <c r="E1049" s="7"/>
      <c r="F1049" s="7"/>
      <c r="G1049" s="7"/>
      <c r="H1049" s="7"/>
      <c r="I1049" s="7"/>
    </row>
    <row r="1050" spans="5:9" x14ac:dyDescent="0.2">
      <c r="E1050" s="7"/>
      <c r="F1050" s="7"/>
      <c r="G1050" s="7"/>
      <c r="H1050" s="7"/>
      <c r="I1050" s="7"/>
    </row>
    <row r="1051" spans="5:9" x14ac:dyDescent="0.2">
      <c r="E1051" s="7"/>
      <c r="F1051" s="7"/>
      <c r="G1051" s="7"/>
      <c r="H1051" s="7"/>
      <c r="I1051" s="7"/>
    </row>
    <row r="1052" spans="5:9" x14ac:dyDescent="0.2">
      <c r="E1052" s="7"/>
      <c r="F1052" s="7"/>
      <c r="G1052" s="7"/>
      <c r="H1052" s="7"/>
      <c r="I1052" s="7"/>
    </row>
    <row r="1053" spans="5:9" x14ac:dyDescent="0.2">
      <c r="E1053" s="7"/>
      <c r="F1053" s="7"/>
      <c r="G1053" s="7"/>
      <c r="H1053" s="7"/>
      <c r="I1053" s="7"/>
    </row>
    <row r="1054" spans="5:9" x14ac:dyDescent="0.2">
      <c r="E1054" s="7"/>
      <c r="F1054" s="7"/>
      <c r="G1054" s="7"/>
      <c r="H1054" s="7"/>
      <c r="I1054" s="7"/>
    </row>
    <row r="1055" spans="5:9" x14ac:dyDescent="0.2">
      <c r="E1055" s="7"/>
      <c r="F1055" s="7"/>
      <c r="G1055" s="7"/>
      <c r="H1055" s="7"/>
      <c r="I1055" s="7"/>
    </row>
    <row r="1056" spans="5:9" x14ac:dyDescent="0.2">
      <c r="E1056" s="7"/>
      <c r="F1056" s="7"/>
      <c r="G1056" s="7"/>
      <c r="H1056" s="7"/>
      <c r="I1056" s="7"/>
    </row>
    <row r="1057" spans="5:9" x14ac:dyDescent="0.2">
      <c r="E1057" s="7"/>
      <c r="F1057" s="7"/>
      <c r="G1057" s="7"/>
      <c r="H1057" s="7"/>
      <c r="I1057" s="7"/>
    </row>
    <row r="1058" spans="5:9" x14ac:dyDescent="0.2">
      <c r="E1058" s="7"/>
      <c r="F1058" s="7"/>
      <c r="G1058" s="7"/>
      <c r="H1058" s="7"/>
      <c r="I1058" s="7"/>
    </row>
    <row r="1059" spans="5:9" x14ac:dyDescent="0.2">
      <c r="E1059" s="7"/>
      <c r="F1059" s="7"/>
      <c r="G1059" s="7"/>
      <c r="H1059" s="7"/>
      <c r="I1059" s="7"/>
    </row>
    <row r="1060" spans="5:9" x14ac:dyDescent="0.2">
      <c r="E1060" s="7"/>
      <c r="F1060" s="7"/>
      <c r="G1060" s="7"/>
      <c r="H1060" s="7"/>
      <c r="I1060" s="7"/>
    </row>
    <row r="1061" spans="5:9" x14ac:dyDescent="0.2">
      <c r="E1061" s="7"/>
      <c r="F1061" s="7"/>
      <c r="G1061" s="7"/>
      <c r="H1061" s="7"/>
      <c r="I1061" s="7"/>
    </row>
    <row r="1062" spans="5:9" x14ac:dyDescent="0.2">
      <c r="E1062" s="7"/>
      <c r="F1062" s="7"/>
      <c r="G1062" s="7"/>
      <c r="H1062" s="7"/>
      <c r="I1062" s="7"/>
    </row>
    <row r="1063" spans="5:9" x14ac:dyDescent="0.2">
      <c r="E1063" s="7"/>
      <c r="F1063" s="7"/>
      <c r="G1063" s="7"/>
      <c r="H1063" s="7"/>
      <c r="I1063" s="7"/>
    </row>
    <row r="1064" spans="5:9" x14ac:dyDescent="0.2">
      <c r="E1064" s="7"/>
      <c r="F1064" s="7"/>
      <c r="G1064" s="7"/>
      <c r="H1064" s="7"/>
      <c r="I1064" s="7"/>
    </row>
    <row r="1065" spans="5:9" x14ac:dyDescent="0.2">
      <c r="E1065" s="7"/>
      <c r="F1065" s="7"/>
      <c r="G1065" s="7"/>
      <c r="H1065" s="7"/>
      <c r="I1065" s="7"/>
    </row>
    <row r="1066" spans="5:9" x14ac:dyDescent="0.2">
      <c r="E1066" s="7"/>
      <c r="F1066" s="7"/>
      <c r="G1066" s="7"/>
      <c r="H1066" s="7"/>
      <c r="I1066" s="7"/>
    </row>
    <row r="1067" spans="5:9" x14ac:dyDescent="0.2">
      <c r="E1067" s="7"/>
      <c r="F1067" s="7"/>
      <c r="G1067" s="7"/>
      <c r="H1067" s="7"/>
      <c r="I1067" s="7"/>
    </row>
    <row r="1068" spans="5:9" x14ac:dyDescent="0.2">
      <c r="E1068" s="7"/>
      <c r="F1068" s="7"/>
      <c r="G1068" s="7"/>
      <c r="H1068" s="7"/>
      <c r="I1068" s="7"/>
    </row>
    <row r="1069" spans="5:9" x14ac:dyDescent="0.2">
      <c r="E1069" s="7"/>
      <c r="F1069" s="7"/>
      <c r="G1069" s="7"/>
      <c r="H1069" s="7"/>
      <c r="I1069" s="7"/>
    </row>
    <row r="1070" spans="5:9" x14ac:dyDescent="0.2">
      <c r="E1070" s="7"/>
      <c r="F1070" s="7"/>
      <c r="G1070" s="7"/>
      <c r="H1070" s="7"/>
      <c r="I1070" s="7"/>
    </row>
    <row r="1071" spans="5:9" x14ac:dyDescent="0.2">
      <c r="E1071" s="7"/>
      <c r="F1071" s="7"/>
      <c r="G1071" s="7"/>
      <c r="H1071" s="7"/>
      <c r="I1071" s="7"/>
    </row>
    <row r="1072" spans="5:9" x14ac:dyDescent="0.2">
      <c r="E1072" s="7"/>
      <c r="F1072" s="7"/>
      <c r="G1072" s="7"/>
      <c r="H1072" s="7"/>
      <c r="I1072" s="7"/>
    </row>
    <row r="1073" spans="5:9" x14ac:dyDescent="0.2">
      <c r="E1073" s="7"/>
      <c r="F1073" s="7"/>
      <c r="G1073" s="7"/>
      <c r="H1073" s="7"/>
      <c r="I1073" s="7"/>
    </row>
    <row r="1074" spans="5:9" x14ac:dyDescent="0.2">
      <c r="E1074" s="7"/>
      <c r="F1074" s="7"/>
      <c r="G1074" s="7"/>
      <c r="H1074" s="7"/>
      <c r="I1074" s="7"/>
    </row>
    <row r="1075" spans="5:9" x14ac:dyDescent="0.2">
      <c r="E1075" s="7"/>
      <c r="F1075" s="7"/>
      <c r="G1075" s="7"/>
      <c r="H1075" s="7"/>
      <c r="I1075" s="7"/>
    </row>
    <row r="1076" spans="5:9" x14ac:dyDescent="0.2">
      <c r="E1076" s="7"/>
      <c r="F1076" s="7"/>
      <c r="G1076" s="7"/>
      <c r="H1076" s="7"/>
      <c r="I1076" s="7"/>
    </row>
    <row r="1077" spans="5:9" x14ac:dyDescent="0.2">
      <c r="E1077" s="7"/>
      <c r="F1077" s="7"/>
      <c r="G1077" s="7"/>
      <c r="H1077" s="7"/>
      <c r="I1077" s="7"/>
    </row>
    <row r="1078" spans="5:9" x14ac:dyDescent="0.2">
      <c r="E1078" s="7"/>
      <c r="F1078" s="7"/>
      <c r="G1078" s="7"/>
      <c r="H1078" s="7"/>
      <c r="I1078" s="7"/>
    </row>
    <row r="1079" spans="5:9" x14ac:dyDescent="0.2">
      <c r="E1079" s="7"/>
      <c r="F1079" s="7"/>
      <c r="G1079" s="7"/>
      <c r="H1079" s="7"/>
      <c r="I1079" s="7"/>
    </row>
    <row r="1080" spans="5:9" x14ac:dyDescent="0.2">
      <c r="E1080" s="7"/>
      <c r="F1080" s="7"/>
      <c r="G1080" s="7"/>
      <c r="H1080" s="7"/>
      <c r="I1080" s="7"/>
    </row>
    <row r="1081" spans="5:9" x14ac:dyDescent="0.2">
      <c r="E1081" s="7"/>
      <c r="F1081" s="7"/>
      <c r="G1081" s="7"/>
      <c r="H1081" s="7"/>
      <c r="I1081" s="7"/>
    </row>
    <row r="1082" spans="5:9" x14ac:dyDescent="0.2">
      <c r="E1082" s="7"/>
      <c r="F1082" s="7"/>
      <c r="G1082" s="7"/>
      <c r="H1082" s="7"/>
      <c r="I1082" s="7"/>
    </row>
    <row r="1083" spans="5:9" x14ac:dyDescent="0.2">
      <c r="E1083" s="7"/>
      <c r="F1083" s="7"/>
      <c r="G1083" s="7"/>
      <c r="H1083" s="7"/>
      <c r="I1083" s="7"/>
    </row>
    <row r="1084" spans="5:9" x14ac:dyDescent="0.2">
      <c r="E1084" s="7"/>
      <c r="F1084" s="7"/>
      <c r="G1084" s="7"/>
      <c r="H1084" s="7"/>
      <c r="I1084" s="7"/>
    </row>
    <row r="1085" spans="5:9" x14ac:dyDescent="0.2">
      <c r="E1085" s="7"/>
      <c r="F1085" s="7"/>
      <c r="G1085" s="7"/>
      <c r="H1085" s="7"/>
      <c r="I1085" s="7"/>
    </row>
    <row r="1086" spans="5:9" x14ac:dyDescent="0.2">
      <c r="E1086" s="7"/>
      <c r="F1086" s="7"/>
      <c r="G1086" s="7"/>
      <c r="H1086" s="7"/>
      <c r="I1086" s="7"/>
    </row>
    <row r="1087" spans="5:9" x14ac:dyDescent="0.2">
      <c r="E1087" s="7"/>
      <c r="F1087" s="7"/>
      <c r="G1087" s="7"/>
      <c r="H1087" s="7"/>
      <c r="I1087" s="7"/>
    </row>
    <row r="1088" spans="5:9" x14ac:dyDescent="0.2">
      <c r="E1088" s="7"/>
      <c r="F1088" s="7"/>
      <c r="G1088" s="7"/>
      <c r="H1088" s="7"/>
      <c r="I1088" s="7"/>
    </row>
    <row r="1089" spans="5:9" x14ac:dyDescent="0.2">
      <c r="E1089" s="7"/>
      <c r="F1089" s="7"/>
      <c r="G1089" s="7"/>
      <c r="H1089" s="7"/>
      <c r="I1089" s="7"/>
    </row>
    <row r="1090" spans="5:9" x14ac:dyDescent="0.2">
      <c r="E1090" s="7"/>
      <c r="F1090" s="7"/>
      <c r="G1090" s="7"/>
      <c r="H1090" s="7"/>
      <c r="I1090" s="7"/>
    </row>
    <row r="1091" spans="5:9" x14ac:dyDescent="0.2">
      <c r="E1091" s="7"/>
      <c r="F1091" s="7"/>
      <c r="G1091" s="7"/>
      <c r="H1091" s="7"/>
      <c r="I1091" s="7"/>
    </row>
    <row r="1092" spans="5:9" x14ac:dyDescent="0.2">
      <c r="E1092" s="7"/>
      <c r="F1092" s="7"/>
      <c r="G1092" s="7"/>
      <c r="H1092" s="7"/>
      <c r="I1092" s="7"/>
    </row>
    <row r="1093" spans="5:9" x14ac:dyDescent="0.2">
      <c r="E1093" s="7"/>
      <c r="F1093" s="7"/>
      <c r="G1093" s="7"/>
      <c r="H1093" s="7"/>
      <c r="I1093" s="7"/>
    </row>
    <row r="1094" spans="5:9" x14ac:dyDescent="0.2">
      <c r="E1094" s="7"/>
      <c r="F1094" s="7"/>
      <c r="G1094" s="7"/>
      <c r="H1094" s="7"/>
      <c r="I1094" s="7"/>
    </row>
    <row r="1095" spans="5:9" x14ac:dyDescent="0.2">
      <c r="E1095" s="7"/>
      <c r="F1095" s="7"/>
      <c r="G1095" s="7"/>
      <c r="H1095" s="7"/>
      <c r="I1095" s="7"/>
    </row>
    <row r="1096" spans="5:9" x14ac:dyDescent="0.2">
      <c r="E1096" s="7"/>
      <c r="F1096" s="7"/>
      <c r="G1096" s="7"/>
      <c r="H1096" s="7"/>
      <c r="I1096" s="7"/>
    </row>
    <row r="1097" spans="5:9" x14ac:dyDescent="0.2">
      <c r="E1097" s="7"/>
      <c r="F1097" s="7"/>
      <c r="G1097" s="7"/>
      <c r="H1097" s="7"/>
      <c r="I1097" s="7"/>
    </row>
    <row r="1098" spans="5:9" x14ac:dyDescent="0.2">
      <c r="E1098" s="7"/>
      <c r="F1098" s="7"/>
      <c r="G1098" s="7"/>
      <c r="H1098" s="7"/>
      <c r="I1098" s="7"/>
    </row>
    <row r="1099" spans="5:9" x14ac:dyDescent="0.2">
      <c r="E1099" s="7"/>
      <c r="F1099" s="7"/>
      <c r="G1099" s="7"/>
      <c r="H1099" s="7"/>
      <c r="I1099" s="7"/>
    </row>
    <row r="1100" spans="5:9" x14ac:dyDescent="0.2">
      <c r="E1100" s="7"/>
      <c r="F1100" s="7"/>
      <c r="G1100" s="7"/>
      <c r="H1100" s="7"/>
      <c r="I1100" s="7"/>
    </row>
    <row r="1101" spans="5:9" x14ac:dyDescent="0.2">
      <c r="E1101" s="7"/>
      <c r="F1101" s="7"/>
      <c r="G1101" s="7"/>
      <c r="H1101" s="7"/>
      <c r="I1101" s="7"/>
    </row>
    <row r="1102" spans="5:9" x14ac:dyDescent="0.2">
      <c r="E1102" s="7"/>
      <c r="F1102" s="7"/>
      <c r="G1102" s="7"/>
      <c r="H1102" s="7"/>
      <c r="I1102" s="7"/>
    </row>
    <row r="1103" spans="5:9" x14ac:dyDescent="0.2">
      <c r="E1103" s="7"/>
      <c r="F1103" s="7"/>
      <c r="G1103" s="7"/>
      <c r="H1103" s="7"/>
      <c r="I1103" s="7"/>
    </row>
    <row r="1104" spans="5:9" x14ac:dyDescent="0.2">
      <c r="E1104" s="7"/>
      <c r="F1104" s="7"/>
      <c r="G1104" s="7"/>
      <c r="H1104" s="7"/>
      <c r="I1104" s="7"/>
    </row>
    <row r="1105" spans="5:9" x14ac:dyDescent="0.2">
      <c r="E1105" s="7"/>
      <c r="F1105" s="7"/>
      <c r="G1105" s="7"/>
      <c r="H1105" s="7"/>
      <c r="I1105" s="7"/>
    </row>
    <row r="1106" spans="5:9" x14ac:dyDescent="0.2">
      <c r="E1106" s="7"/>
      <c r="F1106" s="7"/>
      <c r="G1106" s="7"/>
      <c r="H1106" s="7"/>
      <c r="I1106" s="7"/>
    </row>
    <row r="1107" spans="5:9" x14ac:dyDescent="0.2">
      <c r="E1107" s="7"/>
      <c r="F1107" s="7"/>
      <c r="G1107" s="7"/>
      <c r="H1107" s="7"/>
      <c r="I1107" s="7"/>
    </row>
    <row r="1108" spans="5:9" x14ac:dyDescent="0.2">
      <c r="E1108" s="7"/>
      <c r="F1108" s="7"/>
      <c r="G1108" s="7"/>
      <c r="H1108" s="7"/>
      <c r="I1108" s="7"/>
    </row>
    <row r="1109" spans="5:9" x14ac:dyDescent="0.2">
      <c r="E1109" s="7"/>
      <c r="F1109" s="7"/>
      <c r="G1109" s="7"/>
      <c r="H1109" s="7"/>
      <c r="I1109" s="7"/>
    </row>
    <row r="1110" spans="5:9" x14ac:dyDescent="0.2">
      <c r="E1110" s="7"/>
      <c r="F1110" s="7"/>
      <c r="G1110" s="7"/>
      <c r="H1110" s="7"/>
      <c r="I1110" s="7"/>
    </row>
    <row r="1111" spans="5:9" x14ac:dyDescent="0.2">
      <c r="E1111" s="7"/>
      <c r="F1111" s="7"/>
      <c r="G1111" s="7"/>
      <c r="H1111" s="7"/>
      <c r="I1111" s="7"/>
    </row>
    <row r="1112" spans="5:9" x14ac:dyDescent="0.2">
      <c r="E1112" s="7"/>
      <c r="F1112" s="7"/>
      <c r="G1112" s="7"/>
      <c r="H1112" s="7"/>
      <c r="I1112" s="7"/>
    </row>
    <row r="1113" spans="5:9" x14ac:dyDescent="0.2">
      <c r="E1113" s="7"/>
      <c r="F1113" s="7"/>
      <c r="G1113" s="7"/>
      <c r="H1113" s="7"/>
      <c r="I1113" s="7"/>
    </row>
    <row r="1114" spans="5:9" x14ac:dyDescent="0.2">
      <c r="E1114" s="7"/>
      <c r="F1114" s="7"/>
      <c r="G1114" s="7"/>
      <c r="H1114" s="7"/>
      <c r="I1114" s="7"/>
    </row>
    <row r="1115" spans="5:9" x14ac:dyDescent="0.2">
      <c r="E1115" s="7"/>
      <c r="F1115" s="7"/>
      <c r="G1115" s="7"/>
      <c r="H1115" s="7"/>
      <c r="I1115" s="7"/>
    </row>
    <row r="1116" spans="5:9" x14ac:dyDescent="0.2">
      <c r="E1116" s="7"/>
      <c r="F1116" s="7"/>
      <c r="G1116" s="7"/>
      <c r="H1116" s="7"/>
      <c r="I1116" s="7"/>
    </row>
    <row r="1117" spans="5:9" x14ac:dyDescent="0.2">
      <c r="E1117" s="7"/>
      <c r="F1117" s="7"/>
      <c r="G1117" s="7"/>
      <c r="H1117" s="7"/>
      <c r="I1117" s="7"/>
    </row>
    <row r="1118" spans="5:9" x14ac:dyDescent="0.2">
      <c r="E1118" s="7"/>
      <c r="F1118" s="7"/>
      <c r="G1118" s="7"/>
      <c r="H1118" s="7"/>
      <c r="I1118" s="7"/>
    </row>
    <row r="1119" spans="5:9" x14ac:dyDescent="0.2">
      <c r="E1119" s="7"/>
      <c r="F1119" s="7"/>
      <c r="G1119" s="7"/>
      <c r="H1119" s="7"/>
      <c r="I1119" s="7"/>
    </row>
    <row r="1120" spans="5:9" x14ac:dyDescent="0.2">
      <c r="E1120" s="7"/>
      <c r="F1120" s="7"/>
      <c r="G1120" s="7"/>
      <c r="H1120" s="7"/>
      <c r="I1120" s="7"/>
    </row>
    <row r="1121" spans="5:9" x14ac:dyDescent="0.2">
      <c r="E1121" s="7"/>
      <c r="F1121" s="7"/>
      <c r="G1121" s="7"/>
      <c r="H1121" s="7"/>
      <c r="I1121" s="7"/>
    </row>
    <row r="1122" spans="5:9" x14ac:dyDescent="0.2">
      <c r="E1122" s="7"/>
      <c r="F1122" s="7"/>
      <c r="G1122" s="7"/>
      <c r="H1122" s="7"/>
      <c r="I1122" s="7"/>
    </row>
    <row r="1123" spans="5:9" x14ac:dyDescent="0.2">
      <c r="E1123" s="7"/>
      <c r="F1123" s="7"/>
      <c r="G1123" s="7"/>
      <c r="H1123" s="7"/>
      <c r="I1123" s="7"/>
    </row>
    <row r="1124" spans="5:9" x14ac:dyDescent="0.2">
      <c r="E1124" s="7"/>
      <c r="F1124" s="7"/>
      <c r="G1124" s="7"/>
      <c r="H1124" s="7"/>
      <c r="I1124" s="7"/>
    </row>
    <row r="1125" spans="5:9" x14ac:dyDescent="0.2">
      <c r="E1125" s="7"/>
      <c r="F1125" s="7"/>
      <c r="G1125" s="7"/>
      <c r="H1125" s="7"/>
      <c r="I1125" s="7"/>
    </row>
    <row r="1126" spans="5:9" x14ac:dyDescent="0.2">
      <c r="E1126" s="7"/>
      <c r="F1126" s="7"/>
      <c r="G1126" s="7"/>
      <c r="H1126" s="7"/>
      <c r="I1126" s="7"/>
    </row>
    <row r="1127" spans="5:9" x14ac:dyDescent="0.2">
      <c r="E1127" s="7"/>
      <c r="F1127" s="7"/>
      <c r="G1127" s="7"/>
      <c r="H1127" s="7"/>
      <c r="I1127" s="7"/>
    </row>
    <row r="1128" spans="5:9" x14ac:dyDescent="0.2">
      <c r="E1128" s="7"/>
      <c r="F1128" s="7"/>
      <c r="G1128" s="7"/>
      <c r="H1128" s="7"/>
      <c r="I1128" s="7"/>
    </row>
    <row r="1129" spans="5:9" x14ac:dyDescent="0.2">
      <c r="F1129" s="7"/>
      <c r="G1129" s="7"/>
      <c r="H1129" s="7"/>
      <c r="I1129" s="7"/>
    </row>
    <row r="1130" spans="5:9" x14ac:dyDescent="0.2">
      <c r="F1130" s="7"/>
      <c r="G1130" s="7"/>
      <c r="H1130" s="7"/>
      <c r="I1130" s="7"/>
    </row>
    <row r="1131" spans="5:9" x14ac:dyDescent="0.2">
      <c r="F1131" s="7"/>
      <c r="G1131" s="7"/>
      <c r="H1131" s="7"/>
      <c r="I1131" s="7"/>
    </row>
    <row r="1132" spans="5:9" x14ac:dyDescent="0.2">
      <c r="F1132" s="7"/>
      <c r="G1132" s="7"/>
      <c r="H1132" s="7"/>
      <c r="I1132" s="7"/>
    </row>
    <row r="1133" spans="5:9" x14ac:dyDescent="0.2">
      <c r="F1133" s="7"/>
      <c r="G1133" s="7"/>
      <c r="H1133" s="7"/>
      <c r="I1133" s="7"/>
    </row>
    <row r="1134" spans="5:9" x14ac:dyDescent="0.2">
      <c r="F1134" s="7"/>
      <c r="G1134" s="7"/>
      <c r="H1134" s="7"/>
      <c r="I1134" s="7"/>
    </row>
    <row r="1135" spans="5:9" x14ac:dyDescent="0.2">
      <c r="F1135" s="7"/>
      <c r="G1135" s="7"/>
      <c r="H1135" s="7"/>
      <c r="I1135" s="7"/>
    </row>
    <row r="1136" spans="5:9" x14ac:dyDescent="0.2">
      <c r="F1136" s="7"/>
      <c r="G1136" s="7"/>
      <c r="H1136" s="7"/>
      <c r="I1136" s="7"/>
    </row>
    <row r="1137" spans="6:9" x14ac:dyDescent="0.2">
      <c r="F1137" s="7"/>
      <c r="G1137" s="7"/>
      <c r="H1137" s="7"/>
      <c r="I1137" s="7"/>
    </row>
    <row r="1138" spans="6:9" x14ac:dyDescent="0.2">
      <c r="F1138" s="7"/>
      <c r="G1138" s="7"/>
      <c r="H1138" s="7"/>
      <c r="I1138" s="7"/>
    </row>
    <row r="1139" spans="6:9" x14ac:dyDescent="0.2">
      <c r="F1139" s="7"/>
      <c r="G1139" s="7"/>
      <c r="H1139" s="7"/>
      <c r="I1139" s="7"/>
    </row>
    <row r="1140" spans="6:9" x14ac:dyDescent="0.2">
      <c r="F1140" s="7"/>
      <c r="G1140" s="7"/>
      <c r="H1140" s="7"/>
      <c r="I1140" s="7"/>
    </row>
    <row r="1141" spans="6:9" x14ac:dyDescent="0.2">
      <c r="F1141" s="7"/>
      <c r="G1141" s="7"/>
      <c r="H1141" s="7"/>
      <c r="I1141" s="7"/>
    </row>
    <row r="1142" spans="6:9" x14ac:dyDescent="0.2">
      <c r="F1142" s="7"/>
      <c r="G1142" s="7"/>
      <c r="H1142" s="7"/>
      <c r="I1142" s="7"/>
    </row>
    <row r="1143" spans="6:9" x14ac:dyDescent="0.2">
      <c r="F1143" s="7"/>
      <c r="G1143" s="7"/>
      <c r="H1143" s="7"/>
      <c r="I1143" s="7"/>
    </row>
    <row r="1144" spans="6:9" x14ac:dyDescent="0.2">
      <c r="F1144" s="7"/>
      <c r="G1144" s="7"/>
      <c r="H1144" s="7"/>
      <c r="I1144" s="7"/>
    </row>
    <row r="1145" spans="6:9" x14ac:dyDescent="0.2">
      <c r="F1145" s="7"/>
      <c r="G1145" s="7"/>
      <c r="H1145" s="7"/>
      <c r="I1145" s="7"/>
    </row>
    <row r="1146" spans="6:9" x14ac:dyDescent="0.2">
      <c r="F1146" s="7"/>
      <c r="G1146" s="7"/>
      <c r="H1146" s="7"/>
    </row>
    <row r="1147" spans="6:9" x14ac:dyDescent="0.2">
      <c r="F1147" s="7"/>
      <c r="G1147" s="7"/>
      <c r="H1147" s="7"/>
    </row>
    <row r="1148" spans="6:9" x14ac:dyDescent="0.2">
      <c r="F1148" s="7"/>
      <c r="G1148" s="7"/>
      <c r="H1148" s="7"/>
    </row>
  </sheetData>
  <sheetProtection algorithmName="SHA-512" hashValue="Iq5uOPNjp61ym+GgHr8hkJ5ZRWmCvt6eqrO3eIhvIYFMlxW8NN2Y7lP4XirLEDMNukznkLLmW0qwPUgQiSL7Jw==" saltValue="crxlfZfBpIsx7rU5LFQpPg==" spinCount="100000" sheet="1" objects="1" scenarios="1"/>
  <mergeCells count="72">
    <mergeCell ref="J173:M173"/>
    <mergeCell ref="J187:M187"/>
    <mergeCell ref="J179:M179"/>
    <mergeCell ref="J111:M111"/>
    <mergeCell ref="J153:M153"/>
    <mergeCell ref="J116:M116"/>
    <mergeCell ref="J121:M121"/>
    <mergeCell ref="J100:M100"/>
    <mergeCell ref="J106:M106"/>
    <mergeCell ref="J124:M124"/>
    <mergeCell ref="J132:M132"/>
    <mergeCell ref="J172:M172"/>
    <mergeCell ref="J164:M164"/>
    <mergeCell ref="J166:M166"/>
    <mergeCell ref="J146:M146"/>
    <mergeCell ref="J162:M162"/>
    <mergeCell ref="J156:M156"/>
    <mergeCell ref="J154:M154"/>
    <mergeCell ref="J275:M275"/>
    <mergeCell ref="J319:M319"/>
    <mergeCell ref="J294:M294"/>
    <mergeCell ref="J342:M342"/>
    <mergeCell ref="J248:M248"/>
    <mergeCell ref="J297:M297"/>
    <mergeCell ref="J300:M300"/>
    <mergeCell ref="J322:M322"/>
    <mergeCell ref="J326:M326"/>
    <mergeCell ref="J329:M329"/>
    <mergeCell ref="J268:M268"/>
    <mergeCell ref="J324:M324"/>
    <mergeCell ref="J99:M99"/>
    <mergeCell ref="J78:M78"/>
    <mergeCell ref="J79:M79"/>
    <mergeCell ref="J364:M364"/>
    <mergeCell ref="J288:M288"/>
    <mergeCell ref="J289:M289"/>
    <mergeCell ref="J198:M198"/>
    <mergeCell ref="J199:M199"/>
    <mergeCell ref="J334:M334"/>
    <mergeCell ref="J338:M338"/>
    <mergeCell ref="J346:M346"/>
    <mergeCell ref="J352:M352"/>
    <mergeCell ref="J358:M358"/>
    <mergeCell ref="J284:M284"/>
    <mergeCell ref="J302:M302"/>
    <mergeCell ref="J276:M276"/>
    <mergeCell ref="J28:M28"/>
    <mergeCell ref="J37:M37"/>
    <mergeCell ref="J42:M42"/>
    <mergeCell ref="J43:M43"/>
    <mergeCell ref="J55:M55"/>
    <mergeCell ref="J63:M63"/>
    <mergeCell ref="J64:M64"/>
    <mergeCell ref="J36:M36"/>
    <mergeCell ref="J48:M48"/>
    <mergeCell ref="J56:M56"/>
    <mergeCell ref="B2:M2"/>
    <mergeCell ref="B3:M3"/>
    <mergeCell ref="J160:M160"/>
    <mergeCell ref="J216:M216"/>
    <mergeCell ref="J227:M227"/>
    <mergeCell ref="J140:M140"/>
    <mergeCell ref="J6:M6"/>
    <mergeCell ref="J7:M7"/>
    <mergeCell ref="J178:M178"/>
    <mergeCell ref="J52:M52"/>
    <mergeCell ref="J188:M188"/>
    <mergeCell ref="J22:M22"/>
    <mergeCell ref="J23:M23"/>
    <mergeCell ref="J70:M70"/>
    <mergeCell ref="J74:M74"/>
    <mergeCell ref="J29:M29"/>
  </mergeCells>
  <phoneticPr fontId="59" type="noConversion"/>
  <conditionalFormatting sqref="C17 E17:G17">
    <cfRule type="expression" dxfId="2370" priority="151">
      <formula>OR((mgmt_domain_existing_vcf_operations_chosen="Selected"),(mgmt_domain_chosen="Deploy a VCF Instance in an existing VCF fleet"))</formula>
    </cfRule>
  </conditionalFormatting>
  <conditionalFormatting sqref="E23:E24 E26">
    <cfRule type="expression" dxfId="2369" priority="150">
      <formula>mgmt_domain_existing_vcenter_chosen="Selected"</formula>
    </cfRule>
  </conditionalFormatting>
  <conditionalFormatting sqref="E25 C18:G18 E27">
    <cfRule type="expression" dxfId="2368" priority="441">
      <formula>mgmt_domain_deployment_type_chosen="VMware vSphere Foundation"</formula>
    </cfRule>
  </conditionalFormatting>
  <conditionalFormatting sqref="E25">
    <cfRule type="expression" dxfId="2367" priority="149">
      <formula>mgmt_domain_existing_nsx_manager_chosen="Selected"</formula>
    </cfRule>
  </conditionalFormatting>
  <conditionalFormatting sqref="E19:G19">
    <cfRule type="expression" dxfId="2366" priority="443">
      <formula>mgmt_domain_existing_vcf_automation_result="Included"</formula>
    </cfRule>
  </conditionalFormatting>
  <conditionalFormatting sqref="J366:J372 J374:J377">
    <cfRule type="expression" dxfId="2365" priority="59">
      <formula>mgmt_domain_ops_automation_later_chosen="Selected"</formula>
    </cfRule>
    <cfRule type="expression" dxfId="2364" priority="60">
      <formula>mgmt_domain_deployment_type_chosen="VMware vSphere Foundation"</formula>
    </cfRule>
  </conditionalFormatting>
  <conditionalFormatting sqref="J371:J372">
    <cfRule type="expression" dxfId="2363" priority="3">
      <formula>mgmt_domain_ops_automation_later_chosen="Selected"</formula>
    </cfRule>
    <cfRule type="expression" dxfId="2362" priority="4">
      <formula>mgmt_domain_deployment_type_chosen="VMware vSphere Foundation"</formula>
    </cfRule>
    <cfRule type="expression" dxfId="2361" priority="5">
      <formula>mgmt_domain_existing_vcf_operations_chosen="Selected"</formula>
    </cfRule>
    <cfRule type="expression" dxfId="2360" priority="6">
      <formula>mgmt_domain_vcf_automation_later_chosen="Selected"</formula>
    </cfRule>
  </conditionalFormatting>
  <conditionalFormatting sqref="J379">
    <cfRule type="expression" dxfId="2359" priority="99">
      <formula>mgmt_domain_ops_automation_later_chosen="Selected"</formula>
    </cfRule>
    <cfRule type="expression" dxfId="2358" priority="100">
      <formula>mgmt_domain_deployment_type_chosen="VMware vSphere Foundation"</formula>
    </cfRule>
  </conditionalFormatting>
  <conditionalFormatting sqref="J381:J384">
    <cfRule type="expression" dxfId="2357" priority="96">
      <formula>mgmt_domain_ops_automation_later_chosen="Selected"</formula>
    </cfRule>
    <cfRule type="expression" dxfId="2356" priority="97">
      <formula>mgmt_domain_deployment_type_chosen="VMware vSphere Foundation"</formula>
    </cfRule>
    <cfRule type="expression" dxfId="2355" priority="98">
      <formula>mgmt_domain_existing_vcf_operations_chosen="Selected"</formula>
    </cfRule>
  </conditionalFormatting>
  <conditionalFormatting sqref="J386 L386">
    <cfRule type="expression" dxfId="2354" priority="142">
      <formula>mgmt_vcf_installer_location="Deployed on one of the hosts in the management domain"</formula>
    </cfRule>
  </conditionalFormatting>
  <conditionalFormatting sqref="K169">
    <cfRule type="expression" dxfId="2353" priority="69">
      <formula>OR((private_cloud_result="Excluded"),(private_cloud_chosen="Connect Instance"))</formula>
    </cfRule>
  </conditionalFormatting>
  <conditionalFormatting sqref="L9:L20 L25:L26 L31:L34 L39:L40 L45:L47 L49:L51 L53 L58:L61 L66:L69 L71:L73 L75:L76 L81:L97 L102:L105 L107:L110 L112:L115 L117:L120 L125:L127 L133:L135 L157:L161 L163 L167:L168 L175:L176 L181:L185 L190:L196 L201 L213:L215 L218:L226 L229 L235:L237 L239:L242 L244:L247 L249:L252 L255:L257 L260:L262 L265:L267 L269:L273 L275:L276 L278:L283 L285:L286 L291:L292 L296 L298:L299 L301 L303 L305:L306 L308:L309 L311:L313 L315:L317 L323 L325 L327:L330 J366:J372 L366:L372 J374:J377 L374:L377 J379 L379 J381:J384 L381:L384 J386:J388 L386:L388 J390:J393 L390:L393 J395:J410 L395:L410">
    <cfRule type="containsBlanks" dxfId="2352" priority="1481">
      <formula>LEN(TRIM(J9))=0</formula>
    </cfRule>
  </conditionalFormatting>
  <conditionalFormatting sqref="L9:L20 L25:L26 L31:L34 L39:L40 L45:L47 L49:L51 L53 L58:L61 L66:L69 L71:L73 L75:L76 L81:L97 L102:L105 L107:L110 L112:L115 L117:L120 L125:L127 L133:L135 L157:L161 L163 L175:L176 L181:L185 L190:L196 L201 L213:L215 L218:L226 L229 L235:L237 L239:L242 L244:L247 L249:L252 L255:L257 L260:L262 L265:L267 L269:L273 L275:L276 L278:L283 L285:L286 L291:L292 L296 L298:L299 L301 L303 L305:L306 L308:L309 L311:L313 L315:L317 L323 L325 L327:L330 J366:J372 L366:L372 J374:J377 L374:L377 J379 L379 J381:J384 L381:L384 J386:J388 L386:L388 J390:J393 L390:L393 J395:J410 L395:L410 L167:L168">
    <cfRule type="notContainsBlanks" dxfId="2351" priority="1480">
      <formula>LEN(TRIM(J9))&gt;0</formula>
    </cfRule>
  </conditionalFormatting>
  <conditionalFormatting sqref="L10:L11">
    <cfRule type="expression" dxfId="2349" priority="439">
      <formula>mgmt_offline_depot_chosen="Online"</formula>
    </cfRule>
  </conditionalFormatting>
  <conditionalFormatting sqref="L12:L14">
    <cfRule type="expression" dxfId="2348" priority="17">
      <formula>mgmt_offline_depot_chosen="Offline"</formula>
    </cfRule>
  </conditionalFormatting>
  <conditionalFormatting sqref="L15:L18">
    <cfRule type="expression" dxfId="2347" priority="426">
      <formula>mgmt_internet_proxy_chosen="Unselected"</formula>
    </cfRule>
  </conditionalFormatting>
  <conditionalFormatting sqref="L19:L20">
    <cfRule type="expression" dxfId="2346" priority="18">
      <formula>AND((mgmt_offline_depot_chosen="Online"),(mgmt_internet_proxy_chosen="Unselected"))</formula>
    </cfRule>
    <cfRule type="expression" dxfId="2345" priority="180">
      <formula>AND((mgmt_offline_depot_chosen="Online"),(mgmt_internet_proxy_auth_chosen="Unselected"))</formula>
    </cfRule>
  </conditionalFormatting>
  <conditionalFormatting sqref="L33">
    <cfRule type="expression" dxfId="2344" priority="414">
      <formula>mgmt_domain_existing_vcenter_chosen="Unselected"</formula>
    </cfRule>
  </conditionalFormatting>
  <conditionalFormatting sqref="L40">
    <cfRule type="expression" dxfId="2343" priority="78">
      <formula>mgmt_domain_vcf_operations_ha_mode_chosen="Simple"</formula>
    </cfRule>
  </conditionalFormatting>
  <conditionalFormatting sqref="L45:L47">
    <cfRule type="expression" dxfId="2342" priority="420" stopIfTrue="1">
      <formula>mgmt_domain_existing_vcf_operations_result="Excluded"</formula>
    </cfRule>
  </conditionalFormatting>
  <conditionalFormatting sqref="L50:L51 L105 L110 L115 L119:L120 L130:L131 L138:L139">
    <cfRule type="expression" dxfId="2341" priority="16">
      <formula>mgmt_dual_stack_networking_chosen="Unselected"</formula>
    </cfRule>
  </conditionalFormatting>
  <conditionalFormatting sqref="L53">
    <cfRule type="expression" dxfId="2340" priority="2">
      <formula>mgmt_domain_deployment_type_chosen="VMware vSphere Foundation"</formula>
    </cfRule>
  </conditionalFormatting>
  <conditionalFormatting sqref="L59">
    <cfRule type="expression" dxfId="2339" priority="71">
      <formula>mgmt_principal_storage_chosen&lt;&gt;"vSAN-ESA"</formula>
    </cfRule>
  </conditionalFormatting>
  <conditionalFormatting sqref="L60:L61">
    <cfRule type="expression" dxfId="2338" priority="421">
      <formula>mgmt_principal_storage_chosen&lt;&gt;"vSAN-OSA"</formula>
    </cfRule>
  </conditionalFormatting>
  <conditionalFormatting sqref="L69 L296">
    <cfRule type="expression" dxfId="2337" priority="417">
      <formula>mgmt_domain_existing_vcenter_result="Excluded"</formula>
    </cfRule>
    <cfRule type="expression" dxfId="2336" priority="418">
      <formula>mgmt_domain_existing_vcf_operations_result="Excluded"</formula>
    </cfRule>
  </conditionalFormatting>
  <conditionalFormatting sqref="L86:L97">
    <cfRule type="containsBlanks" dxfId="2335" priority="214">
      <formula>LEN(TRIM(L86))=0</formula>
    </cfRule>
    <cfRule type="notContainsBlanks" dxfId="2334" priority="215">
      <formula>LEN(TRIM(L86))&gt;0</formula>
    </cfRule>
  </conditionalFormatting>
  <conditionalFormatting sqref="L99:L115 L125:L131 L133:L139 L49:L51 L190:L196 L53 L45 L78:L97 L147:L151 L182:L184">
    <cfRule type="expression" dxfId="2333" priority="72">
      <formula>mgmt_domain_existing_vcenter_chosen="Selected"</formula>
    </cfRule>
  </conditionalFormatting>
  <conditionalFormatting sqref="L112:L115">
    <cfRule type="expression" dxfId="2332" priority="50">
      <formula>mgmt_vcf_management_network_chosen="Use VM management network"</formula>
    </cfRule>
  </conditionalFormatting>
  <conditionalFormatting sqref="L122:L123">
    <cfRule type="expression" dxfId="2331" priority="1">
      <formula>mgmt_domain_deployment_type_chosen="VMware vSphere Foundation"</formula>
    </cfRule>
    <cfRule type="expression" dxfId="2330" priority="12">
      <formula>vcf_granular_option_chosen="Deploy a VCF Instance in an existing VCF fleet"</formula>
    </cfRule>
    <cfRule type="notContainsBlanks" dxfId="2328" priority="79">
      <formula>LEN(TRIM(L122))&gt;0</formula>
    </cfRule>
    <cfRule type="containsBlanks" dxfId="2327" priority="410">
      <formula>LEN(TRIM(L122))=0</formula>
    </cfRule>
  </conditionalFormatting>
  <conditionalFormatting sqref="L128:L131">
    <cfRule type="containsBlanks" dxfId="2326" priority="248" stopIfTrue="1">
      <formula>LEN(TRIM(L128))=0</formula>
    </cfRule>
    <cfRule type="notContainsBlanks" dxfId="2325" priority="249" stopIfTrue="1">
      <formula>LEN(TRIM(L128))&gt;0</formula>
    </cfRule>
  </conditionalFormatting>
  <conditionalFormatting sqref="L130:L131">
    <cfRule type="expression" dxfId="2324" priority="30">
      <formula>mgmt_az1_vmotion_ip_scheme_chosen="IPv4"</formula>
    </cfRule>
  </conditionalFormatting>
  <conditionalFormatting sqref="L133:L139">
    <cfRule type="expression" dxfId="2323" priority="252">
      <formula>OR((mgmt_principal_storage_chosen="VMFS on Fibre Channel (FC)"),(mgmt_principal_storage_chosen="NFSv3"))</formula>
    </cfRule>
  </conditionalFormatting>
  <conditionalFormatting sqref="L136:L139 L144:L145">
    <cfRule type="containsBlanks" dxfId="2322" priority="253" stopIfTrue="1">
      <formula>LEN(TRIM(L136))=0</formula>
    </cfRule>
    <cfRule type="notContainsBlanks" dxfId="2321" priority="339" stopIfTrue="1">
      <formula>LEN(TRIM(L136))&gt;0</formula>
    </cfRule>
  </conditionalFormatting>
  <conditionalFormatting sqref="L138:L139">
    <cfRule type="expression" dxfId="2320" priority="29">
      <formula>mgmt_az1_vsan_ip_scheme_chosen="IPv4"</formula>
    </cfRule>
  </conditionalFormatting>
  <conditionalFormatting sqref="L141:L143">
    <cfRule type="expression" dxfId="2319" priority="159">
      <formula>mgmt_domain_existing_vcenter_chosen="Selected"</formula>
    </cfRule>
    <cfRule type="expression" dxfId="2318" priority="160">
      <formula>mgmt_principal_storage_chosen="VMFS on Fibre Channel (FC)"</formula>
    </cfRule>
    <cfRule type="notContainsBlanks" dxfId="2316" priority="162">
      <formula>LEN(TRIM(L141))&gt;0</formula>
    </cfRule>
    <cfRule type="containsBlanks" dxfId="2315" priority="163">
      <formula>LEN(TRIM(L141))=0</formula>
    </cfRule>
  </conditionalFormatting>
  <conditionalFormatting sqref="L141:L145">
    <cfRule type="expression" dxfId="2314" priority="158">
      <formula>mgmt_principal_storage_chosen&lt;&gt;"NFSv3"</formula>
    </cfRule>
  </conditionalFormatting>
  <conditionalFormatting sqref="L147:L149 L216:L226">
    <cfRule type="notContainsBlanks" dxfId="2313" priority="234" stopIfTrue="1">
      <formula>LEN(TRIM(L147))&gt;0</formula>
    </cfRule>
    <cfRule type="containsBlanks" dxfId="2312" priority="235">
      <formula>LEN(TRIM(L147))=0</formula>
    </cfRule>
  </conditionalFormatting>
  <conditionalFormatting sqref="L148 L150:L151">
    <cfRule type="expression" dxfId="2311" priority="224">
      <formula>mgmt_host_overlay_addressing_chosen&lt;&gt;"IP Pool"</formula>
    </cfRule>
  </conditionalFormatting>
  <conditionalFormatting sqref="L148:L149">
    <cfRule type="expression" dxfId="2310" priority="193">
      <formula>vcf_granular_option_chosen="None Selected"</formula>
    </cfRule>
    <cfRule type="expression" dxfId="2309" priority="194" stopIfTrue="1">
      <formula>OR((vcf_granular_option_chosen="Cluster"),(vcf_granular_option_chosen="None Chosen"))</formula>
    </cfRule>
    <cfRule type="expression" dxfId="2308" priority="195">
      <formula>mgmt_domain_deployment_type_chosen="VVF"</formula>
    </cfRule>
  </conditionalFormatting>
  <conditionalFormatting sqref="L150:L151">
    <cfRule type="containsBlanks" dxfId="2307" priority="237" stopIfTrue="1">
      <formula>LEN(TRIM(L150))=0</formula>
    </cfRule>
    <cfRule type="notContainsBlanks" dxfId="2306" priority="238" stopIfTrue="1">
      <formula>LEN(TRIM(L150))&gt;0</formula>
    </cfRule>
  </conditionalFormatting>
  <conditionalFormatting sqref="L158:L159 L161 L280:L281 L375:L376 L379 J375:J376">
    <cfRule type="expression" dxfId="2305" priority="262" stopIfTrue="1">
      <formula>mgmt_domain_vcf_operations_ha_mode_chosen="Simple"</formula>
    </cfRule>
  </conditionalFormatting>
  <conditionalFormatting sqref="L165 L323 L325 J366:J372 L31 L34 L47 L158:L159 L161 L175:L176 L366:L372 J374:J377 L375:L376 J379 L379 J381:J384 L383:L384">
    <cfRule type="expression" dxfId="2304" priority="47">
      <formula>vcf_granular_option_chosen="Deploy a VCF Instance in an existing VCF Fleet"</formula>
    </cfRule>
  </conditionalFormatting>
  <conditionalFormatting sqref="L165">
    <cfRule type="expression" dxfId="2303" priority="45">
      <formula>mgmt_domain_ops_automation_later_chosen="Selected"</formula>
    </cfRule>
    <cfRule type="expression" dxfId="2302" priority="46">
      <formula>mgmt_domain_existing_vcf_operations_chosen="Selected"</formula>
    </cfRule>
    <cfRule type="notContainsBlanks" dxfId="2300" priority="49">
      <formula>LEN(TRIM(L165))&gt;0</formula>
    </cfRule>
    <cfRule type="containsBlanks" dxfId="2299" priority="67">
      <formula>LEN(TRIM(L165))=0</formula>
    </cfRule>
  </conditionalFormatting>
  <conditionalFormatting sqref="L169 L167 L299">
    <cfRule type="expression" dxfId="2297" priority="68">
      <formula>vcf_granular_option_chosen="Deploy a VCF Instance in an existing VCF Fleet"</formula>
    </cfRule>
  </conditionalFormatting>
  <conditionalFormatting sqref="L169">
    <cfRule type="expression" dxfId="2296" priority="44">
      <formula>mgmt_domain_deployment_type_chosen="VMware vSphere Foundation"</formula>
    </cfRule>
    <cfRule type="containsBlanks" dxfId="2295" priority="70">
      <formula>LEN(TRIM(L169))=0</formula>
    </cfRule>
    <cfRule type="notContainsBlanks" dxfId="2294" priority="156">
      <formula>LEN(TRIM(L169))&gt;0</formula>
    </cfRule>
  </conditionalFormatting>
  <conditionalFormatting sqref="L170">
    <cfRule type="expression" dxfId="2293" priority="54">
      <formula>mgmt_domain_existing_vcf_operations_chosen="Selected"</formula>
    </cfRule>
    <cfRule type="notContainsBlanks" dxfId="2291" priority="56">
      <formula>LEN(TRIM(L170))&gt;0</formula>
    </cfRule>
    <cfRule type="containsBlanks" dxfId="2290" priority="57">
      <formula>LEN(TRIM(L170))=0</formula>
    </cfRule>
  </conditionalFormatting>
  <conditionalFormatting sqref="L185">
    <cfRule type="expression" dxfId="2289" priority="164">
      <formula>mgmt_domain_existing_vcenter_chosen="Unselected"</formula>
    </cfRule>
  </conditionalFormatting>
  <conditionalFormatting sqref="L191:L193">
    <cfRule type="expression" dxfId="2288" priority="11">
      <formula>mgmt_cl01_vsan_data_in_transit_chosen="Unselected"</formula>
    </cfRule>
  </conditionalFormatting>
  <conditionalFormatting sqref="L194:L196">
    <cfRule type="expression" dxfId="2287" priority="425">
      <formula>mgmt_principal_storage_chosen&lt;&gt;"NFSv3"</formula>
    </cfRule>
  </conditionalFormatting>
  <conditionalFormatting sqref="L206:L212">
    <cfRule type="notContainsBlanks" dxfId="2286" priority="243">
      <formula>LEN(TRIM(L206))&gt;0</formula>
    </cfRule>
    <cfRule type="containsBlanks" dxfId="2285" priority="244">
      <formula>LEN(TRIM(L206))=0</formula>
    </cfRule>
  </conditionalFormatting>
  <conditionalFormatting sqref="L206:L215 L218:L226 L229 L235:L237 L239:L242 L244:L247 L249:L252 L254:L257 L259:L262 L264:L267 L269:L273 L275:L276 L58:L61 L187:L188 L201 J395:J410 L395:L410">
    <cfRule type="expression" dxfId="2284" priority="140">
      <formula>mgmt_domain_existing_vcenter_chosen="Selected"</formula>
    </cfRule>
  </conditionalFormatting>
  <conditionalFormatting sqref="L209:L212">
    <cfRule type="expression" dxfId="2283" priority="95">
      <formula>mgmt_cl01_vds01_link_type_chosen="VDS Uplinks"</formula>
    </cfRule>
  </conditionalFormatting>
  <conditionalFormatting sqref="L217 L239">
    <cfRule type="expression" dxfId="2282" priority="14">
      <formula>mgmt_domain_existing_vcenter_chosen="Selected"</formula>
    </cfRule>
  </conditionalFormatting>
  <conditionalFormatting sqref="L217">
    <cfRule type="notContainsBlanks" dxfId="2281" priority="191">
      <formula>LEN(TRIM(L217))&gt;0</formula>
    </cfRule>
    <cfRule type="containsBlanks" dxfId="2280" priority="192">
      <formula>LEN(TRIM(L217))=0</formula>
    </cfRule>
  </conditionalFormatting>
  <conditionalFormatting sqref="L217:L226 L228:L237">
    <cfRule type="expression" dxfId="2279" priority="146">
      <formula>mgmt_cl01_vds_profile_chosen="Default"</formula>
    </cfRule>
  </conditionalFormatting>
  <conditionalFormatting sqref="L220:L223">
    <cfRule type="expression" dxfId="2278" priority="93">
      <formula>mgmt_cl01_vds02_link_type_chosen="VDS Uplinks"</formula>
    </cfRule>
  </conditionalFormatting>
  <conditionalFormatting sqref="L228:L230 L71:L73 L75:L76">
    <cfRule type="expression" dxfId="2277" priority="165">
      <formula>mgmt_domain_existing_vcenter_chosen="Selected"</formula>
    </cfRule>
  </conditionalFormatting>
  <conditionalFormatting sqref="L228:L234">
    <cfRule type="expression" dxfId="2276" priority="187">
      <formula>mgmt_domain_result="Excluded"</formula>
    </cfRule>
    <cfRule type="containsBlanks" dxfId="2275" priority="199">
      <formula>LEN(TRIM(L228))=0</formula>
    </cfRule>
    <cfRule type="notContainsBlanks" dxfId="2274" priority="319">
      <formula>LEN(TRIM(L228))&gt;0</formula>
    </cfRule>
  </conditionalFormatting>
  <conditionalFormatting sqref="L228:L237">
    <cfRule type="expression" dxfId="2273" priority="185">
      <formula>mgmt_cl01_vds_profile_chosen="Storage Traffic Separation"</formula>
    </cfRule>
    <cfRule type="expression" dxfId="2272" priority="188" stopIfTrue="1">
      <formula>mgmt_cl01_vds_profile_chosen="NSX Traffic Separation"</formula>
    </cfRule>
  </conditionalFormatting>
  <conditionalFormatting sqref="L231:L234">
    <cfRule type="expression" dxfId="2271" priority="91">
      <formula>mgmt_cl01_vds03_link_type_chosen="VDS Uplinks"</formula>
    </cfRule>
  </conditionalFormatting>
  <conditionalFormatting sqref="L239">
    <cfRule type="containsBlanks" dxfId="2270" priority="80">
      <formula>LEN(TRIM(L239))=0</formula>
    </cfRule>
    <cfRule type="notContainsBlanks" dxfId="2269" priority="81">
      <formula>LEN(TRIM(L239))&gt;0</formula>
    </cfRule>
  </conditionalFormatting>
  <conditionalFormatting sqref="L240:L242 L245:L247 L250:L252 L255:L257">
    <cfRule type="expression" dxfId="2268" priority="94">
      <formula>mgmt_cl01_vds01_link_type_chosen="VDS LAG"</formula>
    </cfRule>
  </conditionalFormatting>
  <conditionalFormatting sqref="L244">
    <cfRule type="containsBlanks" dxfId="2267" priority="212">
      <formula>LEN(TRIM(L244))=0</formula>
    </cfRule>
    <cfRule type="notContainsBlanks" dxfId="2266" priority="213">
      <formula>LEN(TRIM(L244))&gt;0</formula>
    </cfRule>
  </conditionalFormatting>
  <conditionalFormatting sqref="L249:L252">
    <cfRule type="expression" dxfId="2265" priority="9">
      <formula>mgmt_vcf_management_network_chosen="Use VM management network"</formula>
    </cfRule>
  </conditionalFormatting>
  <conditionalFormatting sqref="L254">
    <cfRule type="containsBlanks" dxfId="2264" priority="206">
      <formula>LEN(TRIM(L254))=0</formula>
    </cfRule>
    <cfRule type="notContainsBlanks" dxfId="2263" priority="207">
      <formula>LEN(TRIM(L254))&gt;0</formula>
    </cfRule>
  </conditionalFormatting>
  <conditionalFormatting sqref="L259">
    <cfRule type="containsBlanks" dxfId="2262" priority="203">
      <formula>LEN(TRIM(L259))=0</formula>
    </cfRule>
    <cfRule type="notContainsBlanks" dxfId="2261" priority="204">
      <formula>LEN(TRIM(L259))&gt;0</formula>
    </cfRule>
  </conditionalFormatting>
  <conditionalFormatting sqref="L259:L262">
    <cfRule type="expression" dxfId="2260" priority="141">
      <formula>OR((mgmt_principal_storage_chosen="VMFS on Fibre Channel (FC)"),(mgmt_principal_storage_chosen="NFSv3"))</formula>
    </cfRule>
  </conditionalFormatting>
  <conditionalFormatting sqref="L260:L262">
    <cfRule type="expression" dxfId="2259" priority="82">
      <formula>AND((mgmt_cl01_vds_profile_chosen="NSX Traffic Separation"),(mgmt_cl01_vds01_link_type_chosen="VDS Lag"))</formula>
    </cfRule>
    <cfRule type="expression" dxfId="2258" priority="83">
      <formula>AND((mgmt_cl01_vds_profile_chosen="Storage Traffic and NSX Traffic Separation"),(mgmt_cl01_vds02_link_type_chosen="VDS Lag"))</formula>
    </cfRule>
    <cfRule type="expression" dxfId="2257" priority="84">
      <formula>AND((mgmt_cl01_vds_profile_chosen="Storage Traffic Separation"),(mgmt_cl01_vds02_link_type_chosen="VDS Lag"))</formula>
    </cfRule>
    <cfRule type="expression" dxfId="2256" priority="85">
      <formula>AND((mgmt_cl01_vds_profile_chosen="Default"),(mgmt_cl01_vds01_link_type_chosen="VDS Lag"))</formula>
    </cfRule>
  </conditionalFormatting>
  <conditionalFormatting sqref="L264">
    <cfRule type="containsBlanks" dxfId="2255" priority="144">
      <formula>LEN(TRIM(L264))=0</formula>
    </cfRule>
    <cfRule type="notContainsBlanks" dxfId="2254" priority="189">
      <formula>LEN(TRIM(L264))&gt;0</formula>
    </cfRule>
  </conditionalFormatting>
  <conditionalFormatting sqref="L264:L267 L206:L215 L239:L242 L244:L247 L249:L252 L254:L257 L217:L226 L228:L237 L269:L273 L275:L276 L259:L262">
    <cfRule type="expression" dxfId="2253" priority="139" stopIfTrue="1">
      <formula>mgmt_cl01_vds_profile_chosen="Custom Switch Configuration"</formula>
    </cfRule>
  </conditionalFormatting>
  <conditionalFormatting sqref="L264:L267">
    <cfRule type="expression" dxfId="2252" priority="136">
      <formula>mgmt_principal_storage_chosen&lt;&gt;"NFSv3"</formula>
    </cfRule>
  </conditionalFormatting>
  <conditionalFormatting sqref="L270">
    <cfRule type="expression" dxfId="2251" priority="157">
      <formula>mgmt_nsx_default_operation_mode_chosen="Selected"</formula>
    </cfRule>
  </conditionalFormatting>
  <conditionalFormatting sqref="L271:L273 L275:L276">
    <cfRule type="expression" dxfId="2250" priority="86">
      <formula>AND((mgmt_cl01_vds_profile_chosen="Default"),(mgmt_cl01_vds01_link_type_chosen="VDS Lag"))</formula>
    </cfRule>
    <cfRule type="expression" dxfId="2249" priority="87">
      <formula>AND((mgmt_cl01_vds_profile_chosen="Storage Traffic Separation"),(mgmt_cl01_vds01_link_type_chosen="VDS Lag"))</formula>
    </cfRule>
    <cfRule type="expression" dxfId="2248" priority="88">
      <formula>AND((mgmt_cl01_vds_profile_chosen="Storage Traffic and NSX Traffic Separation"),(mgmt_cl01_vds03_link_type_chosen="VDS Lag"))</formula>
    </cfRule>
  </conditionalFormatting>
  <conditionalFormatting sqref="L271:L273">
    <cfRule type="expression" dxfId="2247" priority="89">
      <formula>AND((mgmt_cl01_vds_profile_chosen="NSX Traffic Separation"),(mgmt_cl01_vds02_link_type_chosen="VDS Lag"))</formula>
    </cfRule>
  </conditionalFormatting>
  <conditionalFormatting sqref="L279:L281 L391:L393 L330 J391:J393">
    <cfRule type="expression" dxfId="2246" priority="409">
      <formula>mgmt_domain_existing_nsx_manager_chosen="Selected"</formula>
    </cfRule>
  </conditionalFormatting>
  <conditionalFormatting sqref="L282">
    <cfRule type="expression" dxfId="2245" priority="260">
      <formula>mgmt_domain_existing_nsx_manager_chosen="Unselected"</formula>
    </cfRule>
  </conditionalFormatting>
  <conditionalFormatting sqref="L283">
    <cfRule type="expression" dxfId="2244" priority="10">
      <formula>mgmt_domain_existing_vcenter_chosen="Unselected"</formula>
    </cfRule>
  </conditionalFormatting>
  <conditionalFormatting sqref="L285:L286">
    <cfRule type="expression" dxfId="2243" priority="8">
      <formula>mgmt_nsx_overlay_transit_gateway_chosen="Centralized Connectivity"</formula>
    </cfRule>
    <cfRule type="expression" dxfId="2242" priority="13">
      <formula>mgmt_domain_existing_vcenter_chosen="Selected"</formula>
    </cfRule>
  </conditionalFormatting>
  <conditionalFormatting sqref="L298:L299 L157:L161 L175:L176 L323 L325 L122:L123 L163 L301 L305:L306 L308:L309">
    <cfRule type="expression" dxfId="2241" priority="73">
      <formula>mgmt_domain_ops_automation_later_chosen="Selected"</formula>
    </cfRule>
  </conditionalFormatting>
  <conditionalFormatting sqref="L298:L299">
    <cfRule type="expression" dxfId="2240" priority="411">
      <formula>AND((mgmt_domain_password_creation_chosen="Selected"),(vcf_granular_option_chosen="Deploy a new VCF Fleet"))</formula>
    </cfRule>
  </conditionalFormatting>
  <conditionalFormatting sqref="L301">
    <cfRule type="expression" dxfId="2239" priority="153">
      <formula>mgmt_domain_password_creation_chosen="Selected"</formula>
    </cfRule>
    <cfRule type="expression" dxfId="2238" priority="179">
      <formula>mgmt_ops_collector_reuse_password_chosen="Selected"</formula>
    </cfRule>
  </conditionalFormatting>
  <conditionalFormatting sqref="L303 L301 L305:L306 L308:L309 L311:L313 L315:L317 L269:L273 L275:L276 L158:L159 L161 L163 L175:L176 L147:L151 L31 L33:L34 L47 L366:L372 L375:L377 L379 L39:L40 L67:L69 L278:L283 L291:L292 L387 L390:L393">
    <cfRule type="expression" dxfId="2237" priority="166">
      <formula>mgmt_domain_deployment_type_chosen="VMware vSphere Foundation"</formula>
    </cfRule>
  </conditionalFormatting>
  <conditionalFormatting sqref="L303">
    <cfRule type="expression" dxfId="2236" priority="34">
      <formula>mgmt_domain_ops_automation_later_chosen="Selected"</formula>
    </cfRule>
    <cfRule type="expression" dxfId="2235" priority="36">
      <formula>mgmt_domain_password_creation_chosen="Selected"</formula>
    </cfRule>
    <cfRule type="expression" dxfId="2234" priority="154">
      <formula>AND((mgmt_domain_password_creation_chosen="Selected"),(mgmt_domain_chosen="Deploy a new VCF fleet"))</formula>
    </cfRule>
    <cfRule type="expression" dxfId="2233" priority="186">
      <formula>mgmt_flt_fm_reuse_password_chosen="Selected"</formula>
    </cfRule>
  </conditionalFormatting>
  <conditionalFormatting sqref="L305:L306 L308:L309">
    <cfRule type="expression" dxfId="2232" priority="152">
      <formula>AND((mgmt_domain_existing_vcf_operations_chosen="Unselected"),(mgmt_domain_password_creation_chosen="Selected"),(mgmt_domain_chosen="First Instance"))</formula>
    </cfRule>
  </conditionalFormatting>
  <conditionalFormatting sqref="L308:L309">
    <cfRule type="expression" dxfId="2231" priority="397">
      <formula>AND((mgmt_domain_existing_vcenter_chosen="Unselected"),(mgmt_domain_password_creation_chosen="Selected"))</formula>
    </cfRule>
  </conditionalFormatting>
  <conditionalFormatting sqref="L311:L313">
    <cfRule type="expression" dxfId="2230" priority="148">
      <formula>AND((mgmt_domain_existing_nsx_manager_chosen="Unselected"),(mgmt_domain_password_creation_chosen="Selected"))</formula>
    </cfRule>
  </conditionalFormatting>
  <conditionalFormatting sqref="L315:L317">
    <cfRule type="expression" dxfId="2229" priority="147">
      <formula>mgmt_domain_password_creation_chosen="Selected"</formula>
    </cfRule>
  </conditionalFormatting>
  <conditionalFormatting sqref="L321">
    <cfRule type="containsBlanks" dxfId="2228" priority="19">
      <formula>LEN(TRIM(L321))=0</formula>
    </cfRule>
    <cfRule type="notContainsBlanks" dxfId="2226" priority="21">
      <formula>LEN(TRIM(L321))&gt;0</formula>
    </cfRule>
  </conditionalFormatting>
  <conditionalFormatting sqref="L323 L325 L327:L328 L330">
    <cfRule type="expression" dxfId="2225" priority="22">
      <formula>mgmt_set_appliance_size_chosen="Unselected"</formula>
    </cfRule>
  </conditionalFormatting>
  <conditionalFormatting sqref="L327:L329">
    <cfRule type="expression" dxfId="2224" priority="27">
      <formula>mgmt_domain_existing_vcenter_chosen="Selected"</formula>
    </cfRule>
  </conditionalFormatting>
  <conditionalFormatting sqref="L329">
    <cfRule type="expression" dxfId="2223" priority="23">
      <formula>AND((mgmt_cl01_vds_profile_chosen="Default"),(mgmt_cl01_vds01_link_type_chosen="VDS Lag"))</formula>
    </cfRule>
    <cfRule type="expression" dxfId="2222" priority="24">
      <formula>AND((mgmt_cl01_vds_profile_chosen="Storage Traffic Separation"),(mgmt_cl01_vds01_link_type_chosen="VDS Lag"))</formula>
    </cfRule>
    <cfRule type="expression" dxfId="2221" priority="25">
      <formula>AND((mgmt_cl01_vds_profile_chosen="Storage Traffic and NSX Traffic Separation"),(mgmt_cl01_vds03_link_type_chosen="VDS Lag"))</formula>
    </cfRule>
    <cfRule type="expression" dxfId="2220" priority="26" stopIfTrue="1">
      <formula>mgmt_cl01_vds_profile_chosen="Custom Switch Configuration"</formula>
    </cfRule>
  </conditionalFormatting>
  <conditionalFormatting sqref="L329:L330">
    <cfRule type="expression" dxfId="2219" priority="28">
      <formula>mgmt_domain_deployment_type_chosen="VMware vSphere Foundation"</formula>
    </cfRule>
  </conditionalFormatting>
  <conditionalFormatting sqref="L335:L337 L341 L343:L345 L347:L351 L353:L357 L359:L363">
    <cfRule type="notContainsBlanks" dxfId="2217" priority="135">
      <formula>LEN(TRIM(L335))&gt;0</formula>
    </cfRule>
  </conditionalFormatting>
  <conditionalFormatting sqref="L339 L341 L343:L345">
    <cfRule type="notContainsBlanks" dxfId="2215" priority="120">
      <formula>LEN(TRIM(L339))&gt;0</formula>
    </cfRule>
  </conditionalFormatting>
  <conditionalFormatting sqref="L340">
    <cfRule type="containsBlanks" dxfId="2213" priority="111">
      <formula>LEN(TRIM(L340))=0</formula>
    </cfRule>
    <cfRule type="notContainsBlanks" dxfId="2212" priority="112">
      <formula>LEN(TRIM(L340))&gt;0</formula>
    </cfRule>
  </conditionalFormatting>
  <conditionalFormatting sqref="L341 L343:L345 L335:L337 L347:L351 L353:L357 L359:L363">
    <cfRule type="containsBlanks" dxfId="2211" priority="133">
      <formula>LEN(TRIM(L335))=0</formula>
    </cfRule>
  </conditionalFormatting>
  <conditionalFormatting sqref="L343:L345 L339 L341">
    <cfRule type="containsBlanks" dxfId="2210" priority="118">
      <formula>LEN(TRIM(L339))=0</formula>
    </cfRule>
  </conditionalFormatting>
  <conditionalFormatting sqref="L343:L345">
    <cfRule type="expression" dxfId="2209" priority="7">
      <formula>mgmt_vcf_management_network_chosen="Use VM management network"</formula>
    </cfRule>
  </conditionalFormatting>
  <conditionalFormatting sqref="L352">
    <cfRule type="expression" dxfId="2208" priority="124">
      <formula>input_mgmt_principal_storage_chosen="VMFS on Fibre Channel (FC)"</formula>
    </cfRule>
    <cfRule type="expression" dxfId="2207" priority="125">
      <formula>mgmt_domain_existing_vcenter_chosen="Selected"</formula>
    </cfRule>
    <cfRule type="containsBlanks" dxfId="2205" priority="127">
      <formula>LEN(TRIM(L352))=0</formula>
    </cfRule>
  </conditionalFormatting>
  <conditionalFormatting sqref="L358 L334">
    <cfRule type="expression" dxfId="2204" priority="129">
      <formula>mgmt_domain_existing_vcenter_chosen="Selected"</formula>
    </cfRule>
  </conditionalFormatting>
  <conditionalFormatting sqref="L358 L352">
    <cfRule type="notContainsBlanks" dxfId="2203" priority="131">
      <formula>LEN(TRIM(L352))&gt;0</formula>
    </cfRule>
  </conditionalFormatting>
  <conditionalFormatting sqref="L358">
    <cfRule type="expression" dxfId="2202" priority="128">
      <formula>input_mgmt_principal_storage_chosen="VMFS on Fibre Channel (FC)"</formula>
    </cfRule>
    <cfRule type="containsBlanks" dxfId="2200" priority="132">
      <formula>LEN(TRIM(L358))=0</formula>
    </cfRule>
  </conditionalFormatting>
  <conditionalFormatting sqref="L366:L372 L374:L377 L379 L381:L384">
    <cfRule type="expression" dxfId="2199" priority="105">
      <formula>mgmt_domain_ops_automation_later_chosen="Selected"</formula>
    </cfRule>
  </conditionalFormatting>
  <conditionalFormatting sqref="L375:L377 L158:L159 L161 J374:J377 L379 L303 L301 L163 L366:L372 J379 J366:J372 L323 L325">
    <cfRule type="expression" dxfId="2198" priority="424">
      <formula>mgmt_domain_existing_vcf_operations_chosen="Selected"</formula>
    </cfRule>
  </conditionalFormatting>
  <conditionalFormatting sqref="L377 L381:L384 L26">
    <cfRule type="expression" dxfId="2197" priority="263" stopIfTrue="1">
      <formula>mgmt_domain_deployment_type_chosen="VMware vSphere Foundation"</formula>
    </cfRule>
  </conditionalFormatting>
  <conditionalFormatting sqref="L381:L384 L175:L176 L305:L306 L308:L309 J381:J384">
    <cfRule type="expression" dxfId="2196" priority="388">
      <formula>mgmt_domain_vcf_automation_later_chosen="Selected"</formula>
    </cfRule>
  </conditionalFormatting>
  <conditionalFormatting sqref="L383:L384">
    <cfRule type="expression" dxfId="2195" priority="371">
      <formula>mgmt_domain_existing_vcf_automation_result="Included"</formula>
    </cfRule>
  </conditionalFormatting>
  <conditionalFormatting sqref="L386">
    <cfRule type="expression" dxfId="2194" priority="322">
      <formula>mgmt_domain_vcf_installer_mode_result="Excluded"</formula>
    </cfRule>
  </conditionalFormatting>
  <dataValidations count="29">
    <dataValidation type="list" allowBlank="1" showInputMessage="1" showErrorMessage="1" sqref="L47 L31:L34 L18 L61 L196 L321 L14 L69 L296 L59 L49 L269" xr:uid="{AF68374F-C6E0-4249-91F4-B8396AEC4F33}">
      <formula1>"Selected,Unselected"</formula1>
    </dataValidation>
    <dataValidation type="list" allowBlank="1" showInputMessage="1" showErrorMessage="1" sqref="L39" xr:uid="{44E0A351-1070-D24C-851E-ECAF8C26C773}">
      <formula1>"High Availability (Three-Node),Simple"</formula1>
    </dataValidation>
    <dataValidation type="list" allowBlank="1" showInputMessage="1" showErrorMessage="1" sqref="L323" xr:uid="{44CE2A2A-A7E4-F548-A7CE-D6122B9B4D36}">
      <formula1>"xSmall, Small, Medium, Large, xLarge"</formula1>
    </dataValidation>
    <dataValidation type="list" allowBlank="1" showInputMessage="1" showErrorMessage="1" sqref="L9" xr:uid="{B62AACD4-B053-1B4B-9149-173F865E0012}">
      <formula1>"Online,Offline"</formula1>
    </dataValidation>
    <dataValidation type="list" allowBlank="1" showInputMessage="1" showErrorMessage="1" sqref="L327" xr:uid="{6DBA85C7-2733-2644-B3B8-8906F9C45B2C}">
      <formula1>"Tiny,Small,Medium,Large,XLarge"</formula1>
    </dataValidation>
    <dataValidation type="list" allowBlank="1" showInputMessage="1" showErrorMessage="1" sqref="L328" xr:uid="{EAF64F30-94DF-994D-BE30-47D2333F084B}">
      <formula1>"default,lstorage,xlstorage"</formula1>
    </dataValidation>
    <dataValidation type="list" allowBlank="1" showInputMessage="1" showErrorMessage="1" sqref="L58" xr:uid="{F8D5454F-B3C9-D448-9916-429B0E26396E}">
      <formula1>"vSAN-ESA,vSAN-OSA, VMFS on Fibre Channel (FC),NFSv3"</formula1>
    </dataValidation>
    <dataValidation type="list" allowBlank="1" showInputMessage="1" showErrorMessage="1" sqref="L201" xr:uid="{9E7D022B-232D-9C43-A35C-0B93CF49A34B}">
      <formula1>IF(mgmt_domain_deployment_type_chosen="VMware Cloud Foundation",wld_cl01_vds_standard_preconfigured_profiles,vvf_mgmt_cl01_vds_standard_preconfigured_profiles)</formula1>
    </dataValidation>
    <dataValidation type="list" allowBlank="1" showInputMessage="1" showErrorMessage="1" sqref="L60" xr:uid="{F01FA7FB-F473-C74A-8E32-92B960C1FF61}">
      <formula1>"1,2"</formula1>
    </dataValidation>
    <dataValidation type="list" allowBlank="1" showInputMessage="1" showErrorMessage="1" sqref="L15" xr:uid="{D045F95D-B763-6B4C-BC16-61C32E0E91CC}">
      <formula1>"HTTP,HTTPS"</formula1>
    </dataValidation>
    <dataValidation type="list" allowBlank="1" showInputMessage="1" showErrorMessage="1" sqref="L240 L245 L255 L260 L265 L250" xr:uid="{ECB2BA76-A1AF-7549-BE3B-D9AF5A0F9462}">
      <formula1>"Route based on IP hash,Route based on source MAC hash,Route based on the source of the port ID,Use explicit failover order,Route Based on Physical NIC Load"</formula1>
    </dataValidation>
    <dataValidation type="list" allowBlank="1" showInputMessage="1" showErrorMessage="1" sqref="L266:L267 L241:L242 L251:L252 L256:L257 L261:L262 L272:L273 L246:L247" xr:uid="{FA7409ED-5F61-584D-B67D-AFECE6C711E7}">
      <formula1>"Active,Standby,Unused"</formula1>
    </dataValidation>
    <dataValidation type="list" allowBlank="1" showInputMessage="1" showErrorMessage="1" sqref="L271" xr:uid="{8DBF9C77-00D5-2D4F-8B0E-D6109AAECA5E}">
      <formula1>"Route based on source MAC hash,Route based on the source of the port ID,Use explicit failover order"</formula1>
    </dataValidation>
    <dataValidation type="list" allowBlank="1" showInputMessage="1" showErrorMessage="1" sqref="L291" xr:uid="{CE34E3B0-C43E-504F-A5E1-B32029532AF3}">
      <formula1>"Deployed on one of the hosts in the management domain,Deployed outside management domain"</formula1>
    </dataValidation>
    <dataValidation type="list" allowBlank="1" showInputMessage="1" showErrorMessage="1" sqref="L270" xr:uid="{19825F38-EF3D-CE43-979A-B7C3B040FA1F}">
      <formula1>"Standard,Enhanced Datapath Standard,Enhanced Datapath Dedicated"</formula1>
    </dataValidation>
    <dataValidation type="list" allowBlank="1" showInputMessage="1" showErrorMessage="1" sqref="L208 L219 L230" xr:uid="{5A80132E-EF48-4A44-A1B7-4DF19B2E7913}">
      <formula1>"VDS Uplinks, VDS LAG"</formula1>
    </dataValidation>
    <dataValidation type="list" allowBlank="1" showInputMessage="1" showErrorMessage="1" sqref="L211 L222 L233" xr:uid="{43EC5384-31CB-7446-B239-FFD26D1D0D5D}">
      <formula1>lag_load_balancing</formula1>
    </dataValidation>
    <dataValidation type="list" allowBlank="1" showInputMessage="1" showErrorMessage="1" sqref="L212 L223 L234" xr:uid="{B4FD2D4F-AF3A-1C43-B208-723D08B76060}">
      <formula1>"Slow,Fast"</formula1>
    </dataValidation>
    <dataValidation type="list" allowBlank="1" showInputMessage="1" showErrorMessage="1" sqref="L210 L221 L232" xr:uid="{A66630F2-1A4D-2B48-81D5-9BFC0465B39B}">
      <formula1>"Active,Passive"</formula1>
    </dataValidation>
    <dataValidation type="list" allowBlank="1" showInputMessage="1" showErrorMessage="1" sqref="L330" xr:uid="{BF817B54-E717-A947-8C2D-57B6461DDA41}">
      <formula1>"Medium,Large,XLarge"</formula1>
    </dataValidation>
    <dataValidation type="list" allowBlank="1" showInputMessage="1" showErrorMessage="1" sqref="L53" xr:uid="{75B96CA9-C04A-C541-B3FD-A9540AB61299}">
      <formula1>" Distributed connectivity,Centralized connectivity"</formula1>
    </dataValidation>
    <dataValidation type="list" allowBlank="1" showInputMessage="1" showErrorMessage="1" sqref="L45" xr:uid="{2AB2A5E7-9465-2B4A-B677-8383FA75F7D3}">
      <formula1>"Use a separate dedicated network, Use ESX management network"</formula1>
    </dataValidation>
    <dataValidation type="list" allowBlank="1" showInputMessage="1" showErrorMessage="1" sqref="L46" xr:uid="{FCC2B25E-7118-B942-BA8F-99D837B31A29}">
      <formula1>"Use a separate dedicated network, Use VM management network"</formula1>
    </dataValidation>
    <dataValidation type="list" allowBlank="1" showInputMessage="1" showErrorMessage="1" sqref="L40" xr:uid="{8EC0AACF-03E9-604C-8634-6A50E1508A6E}">
      <formula1>"Medium,Large"</formula1>
    </dataValidation>
    <dataValidation type="list" allowBlank="1" showInputMessage="1" showErrorMessage="1" sqref="L50:L51" xr:uid="{EFA9A60C-771C-1F4B-8BFF-1E72A5D7FAF6}">
      <formula1>"IPv4,IPv6"</formula1>
    </dataValidation>
    <dataValidation type="list" allowBlank="1" showInputMessage="1" showErrorMessage="1" sqref="L149" xr:uid="{73B7D652-569C-724D-8643-DAAD72788021}">
      <formula1>"DHCP,IP Pool"</formula1>
    </dataValidation>
    <dataValidation type="list" allowBlank="1" showInputMessage="1" showErrorMessage="1" sqref="L192" xr:uid="{58D0091D-E726-0D4D-AF16-F596DED61B3C}">
      <formula1>"6 Hours,12 hours,1 Day,3 Days,7 Days"</formula1>
    </dataValidation>
    <dataValidation type="list" allowBlank="1" showInputMessage="1" showErrorMessage="1" sqref="L282:L283" xr:uid="{2D57E373-328E-6A40-81B1-EFA5B5E7BC7C}">
      <formula1>"Unselected,Selected"</formula1>
    </dataValidation>
    <dataValidation type="list" allowBlank="1" showInputMessage="1" showErrorMessage="1" sqref="L325" xr:uid="{4BD803A1-317F-2D42-9324-A8A908373B47}">
      <formula1>"Small,Standard"</formula1>
    </dataValidation>
  </dataValidations>
  <hyperlinks>
    <hyperlink ref="K10" r:id="rId1" xr:uid="{00000000-0004-0000-0300-000000000000}"/>
    <hyperlink ref="K20" r:id="rId2" xr:uid="{00000000-0004-0000-0300-000001000000}"/>
    <hyperlink ref="M26" location="'VCF &amp; VVF Planning'!J19" display="Values are set based on selections made in VCF VVF Planning Tab" xr:uid="{00000000-0004-0000-0300-000002000000}"/>
    <hyperlink ref="M66" location="'VCF &amp; VVF Planning'!J19" display="Values are set based on selections made in VCF VVF Planning Tab" xr:uid="{9E957A41-F94B-554C-97E2-41C588AD6D2F}"/>
  </hyperlinks>
  <pageMargins left="0.7" right="0.7" top="0.75" bottom="0.75" header="0.3" footer="0.3"/>
  <pageSetup paperSize="9" orientation="portrait" horizontalDpi="0" verticalDpi="0"/>
  <drawing r:id="rId3"/>
  <extLst>
    <ext xmlns:x14="http://schemas.microsoft.com/office/spreadsheetml/2009/9/main" uri="{78C0D931-6437-407d-A8EE-F0AAD7539E65}">
      <x14:conditionalFormattings>
        <x14:conditionalFormatting xmlns:xm="http://schemas.microsoft.com/office/excel/2006/main">
          <x14:cfRule type="containsText" priority="444" operator="containsText" id="{8A70E33F-B8E1-464D-91D4-5C48A6AE1494}">
            <xm:f>NOT(ISERROR(SEARCH("Value Missing",J9)))</xm:f>
            <xm:f>"Value Missing"</xm:f>
            <x14:dxf>
              <font>
                <color rgb="FF0E223A"/>
              </font>
              <fill>
                <patternFill>
                  <bgColor rgb="FFFFBE29"/>
                </patternFill>
              </fill>
            </x14:dxf>
          </x14:cfRule>
          <xm:sqref>L9:L20 L190:L196 L157:L161 L163 L301 L303 L323 L325 J366:J372 L366:L372 J374:J377 L374:L377 J379 L379 L58:L61 L45:L47 L66:L69 L296 L31:L34 L298:L299 L278:L283 L327:L330 J390:J393 L390:L393 L308:L309 L175:L176 L305:L306 J381:J384 L381:L384 L386:L388 L229 L25:L26 L133:L135 L218:L226 L81:L97 L244:L247 L235:L237 L39:L40 L269:L273 L275:L276 L291:L292 L311:L313 L315:L317 L71:L73 L75:L76 L181:L185 J386:J388 L260:L262 L201 L213:L215 L239:L242 L249:L252 L255:L257 L265:L267 J395:J410 L395:L410 L49:L51 L53 L102:L105 L107:L110 L112:L115 L125:L127 L117:L120 L285:L286</xm:sqref>
        </x14:conditionalFormatting>
        <x14:conditionalFormatting xmlns:xm="http://schemas.microsoft.com/office/excel/2006/main">
          <x14:cfRule type="containsText" priority="74" operator="containsText" id="{6FBCBB81-6AB8-5D40-AE48-8F1E9CF49C27}">
            <xm:f>NOT(ISERROR(SEARCH("Value Missing",L122)))</xm:f>
            <xm:f>"Value Missing"</xm:f>
            <x14:dxf>
              <font>
                <color rgb="FF0E223A"/>
              </font>
              <fill>
                <patternFill>
                  <bgColor rgb="FFFFBE29"/>
                </patternFill>
              </fill>
            </x14:dxf>
          </x14:cfRule>
          <xm:sqref>L122:L123</xm:sqref>
        </x14:conditionalFormatting>
        <x14:conditionalFormatting xmlns:xm="http://schemas.microsoft.com/office/excel/2006/main">
          <x14:cfRule type="containsText" priority="161" stopIfTrue="1" operator="containsText" id="{F4403742-9E03-7E4C-A9A4-9C70CC9738C9}">
            <xm:f>NOT(ISERROR(SEARCH("Value Missing",L141)))</xm:f>
            <xm:f>"Value Missing"</xm:f>
            <x14:dxf>
              <font>
                <color rgb="FF0E223A"/>
              </font>
              <fill>
                <patternFill>
                  <bgColor rgb="FFFFBE29"/>
                </patternFill>
              </fill>
            </x14:dxf>
          </x14:cfRule>
          <xm:sqref>L141:L143</xm:sqref>
        </x14:conditionalFormatting>
        <x14:conditionalFormatting xmlns:xm="http://schemas.microsoft.com/office/excel/2006/main">
          <x14:cfRule type="containsText" priority="48" operator="containsText" id="{1B0E87FC-C041-844F-AB98-5603F8F08DEE}">
            <xm:f>NOT(ISERROR(SEARCH("Value Missing",L165)))</xm:f>
            <xm:f>"Value Missing"</xm:f>
            <x14:dxf>
              <font>
                <color rgb="FF0E223A"/>
              </font>
              <fill>
                <patternFill>
                  <bgColor rgb="FFFFBE29"/>
                </patternFill>
              </fill>
            </x14:dxf>
          </x14:cfRule>
          <xm:sqref>L165</xm:sqref>
        </x14:conditionalFormatting>
        <x14:conditionalFormatting xmlns:xm="http://schemas.microsoft.com/office/excel/2006/main">
          <x14:cfRule type="containsText" priority="143" operator="containsText" id="{3E5757ED-CAE5-204F-BEB2-CF8E8FBA1DF0}">
            <xm:f>NOT(ISERROR(SEARCH("Value Missing",L167)))</xm:f>
            <xm:f>"Value Missing"</xm:f>
            <x14:dxf>
              <font>
                <color rgb="FF0E223A"/>
              </font>
              <fill>
                <patternFill>
                  <bgColor rgb="FFFFBE29"/>
                </patternFill>
              </fill>
            </x14:dxf>
          </x14:cfRule>
          <xm:sqref>L167:L169</xm:sqref>
        </x14:conditionalFormatting>
        <x14:conditionalFormatting xmlns:xm="http://schemas.microsoft.com/office/excel/2006/main">
          <x14:cfRule type="containsText" priority="55" operator="containsText" id="{CDD09365-596E-0F4E-8C0C-084A531C3376}">
            <xm:f>NOT(ISERROR(SEARCH("Value Missing",L170)))</xm:f>
            <xm:f>"Value Missing"</xm:f>
            <x14:dxf>
              <font>
                <color rgb="FF0E223A"/>
              </font>
              <fill>
                <patternFill>
                  <bgColor rgb="FFFFBE29"/>
                </patternFill>
              </fill>
            </x14:dxf>
          </x14:cfRule>
          <xm:sqref>L170</xm:sqref>
        </x14:conditionalFormatting>
        <x14:conditionalFormatting xmlns:xm="http://schemas.microsoft.com/office/excel/2006/main">
          <x14:cfRule type="containsText" priority="20" operator="containsText" id="{15769CAF-3382-CF44-B36D-3880573CFE6E}">
            <xm:f>NOT(ISERROR(SEARCH("Value Missing",L321)))</xm:f>
            <xm:f>"Value Missing"</xm:f>
            <x14:dxf>
              <fill>
                <patternFill>
                  <bgColor rgb="FFFFBE29"/>
                </patternFill>
              </fill>
            </x14:dxf>
          </x14:cfRule>
          <xm:sqref>L321</xm:sqref>
        </x14:conditionalFormatting>
        <x14:conditionalFormatting xmlns:xm="http://schemas.microsoft.com/office/excel/2006/main">
          <x14:cfRule type="containsText" priority="134" operator="containsText" id="{8CD701A8-3478-8646-817F-E7C59D3F3B1D}">
            <xm:f>NOT(ISERROR(SEARCH("Value Missing",L335)))</xm:f>
            <xm:f>"Value Missing"</xm:f>
            <x14:dxf>
              <fill>
                <patternFill>
                  <bgColor rgb="FFFFBE29"/>
                </patternFill>
              </fill>
            </x14:dxf>
          </x14:cfRule>
          <xm:sqref>L335:L337 L341 L343:L345 L347:L351 L353:L357 L359:L363</xm:sqref>
        </x14:conditionalFormatting>
        <x14:conditionalFormatting xmlns:xm="http://schemas.microsoft.com/office/excel/2006/main">
          <x14:cfRule type="containsText" priority="119" operator="containsText" id="{74FCFFD3-109A-1948-8078-78E22CF647CE}">
            <xm:f>NOT(ISERROR(SEARCH("Value Missing",L339)))</xm:f>
            <xm:f>"Value Missing"</xm:f>
            <x14:dxf>
              <font>
                <color theme="1"/>
              </font>
              <fill>
                <patternFill>
                  <bgColor rgb="FFFFBE29"/>
                </patternFill>
              </fill>
            </x14:dxf>
          </x14:cfRule>
          <xm:sqref>L339 L341 L343:L345</xm:sqref>
        </x14:conditionalFormatting>
        <x14:conditionalFormatting xmlns:xm="http://schemas.microsoft.com/office/excel/2006/main">
          <x14:cfRule type="containsText" priority="110" operator="containsText" id="{5F6B1D0A-99AC-2641-B0E9-D9EB6CE12A9A}">
            <xm:f>NOT(ISERROR(SEARCH("Value Missing",L340)))</xm:f>
            <xm:f>"Value Missing"</xm:f>
            <x14:dxf>
              <font>
                <color theme="1"/>
              </font>
              <fill>
                <patternFill>
                  <bgColor rgb="FFFFBE29"/>
                </patternFill>
              </fill>
            </x14:dxf>
          </x14:cfRule>
          <xm:sqref>L340</xm:sqref>
        </x14:conditionalFormatting>
        <x14:conditionalFormatting xmlns:xm="http://schemas.microsoft.com/office/excel/2006/main">
          <x14:cfRule type="containsText" priority="126" stopIfTrue="1" operator="containsText" id="{9E10FC66-F798-1E4E-A70B-813FE9B39BA2}">
            <xm:f>NOT(ISERROR(SEARCH("Value Missing",L352)))</xm:f>
            <xm:f>"Value Missing"</xm:f>
            <x14:dxf>
              <font>
                <color rgb="FF0E223A"/>
              </font>
              <fill>
                <patternFill>
                  <bgColor rgb="FFFFBE29"/>
                </patternFill>
              </fill>
            </x14:dxf>
          </x14:cfRule>
          <xm:sqref>L352</xm:sqref>
        </x14:conditionalFormatting>
        <x14:conditionalFormatting xmlns:xm="http://schemas.microsoft.com/office/excel/2006/main">
          <x14:cfRule type="containsText" priority="130" stopIfTrue="1" operator="containsText" id="{558487B0-6B55-AB4B-A2CE-4F60D95E498D}">
            <xm:f>NOT(ISERROR(SEARCH("Value Missing",L358)))</xm:f>
            <xm:f>"Value Missing"</xm:f>
            <x14:dxf>
              <font>
                <color rgb="FF0E223A"/>
              </font>
              <fill>
                <patternFill>
                  <bgColor rgb="FFFFBE29"/>
                </patternFill>
              </fill>
            </x14:dxf>
          </x14:cfRule>
          <xm:sqref>L358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A98BA-7619-3446-8A72-6F3EE625E4A1}">
  <sheetPr codeName="Sheet6">
    <tabColor theme="9" tint="0.39997558519241921"/>
  </sheetPr>
  <dimension ref="A1:G646"/>
  <sheetViews>
    <sheetView showGridLines="0" workbookViewId="0">
      <pane ySplit="8" topLeftCell="A9" activePane="bottomLeft" state="frozen"/>
      <selection pane="bottomLeft"/>
    </sheetView>
  </sheetViews>
  <sheetFormatPr baseColWidth="10" defaultRowHeight="16" x14ac:dyDescent="0.2"/>
  <cols>
    <col min="1" max="1" width="2.83203125" style="9" customWidth="1"/>
    <col min="2" max="2" width="76.5" style="9" customWidth="1"/>
    <col min="3" max="4" width="75.83203125" style="2" customWidth="1"/>
    <col min="5" max="5" width="125.83203125" style="9" customWidth="1"/>
    <col min="6" max="7" width="12.1640625" style="9" bestFit="1" customWidth="1"/>
    <col min="8" max="8" width="10.83203125" style="9" customWidth="1"/>
    <col min="9" max="10" width="12.1640625" style="9" customWidth="1"/>
    <col min="11" max="11" width="43" style="9" bestFit="1" customWidth="1"/>
    <col min="12" max="12" width="12.83203125" style="9" bestFit="1" customWidth="1"/>
    <col min="13" max="15" width="10.83203125" style="9" customWidth="1"/>
    <col min="16" max="16384" width="10.83203125" style="9"/>
  </cols>
  <sheetData>
    <row r="1" spans="1:5" x14ac:dyDescent="0.2">
      <c r="A1" s="146"/>
    </row>
    <row r="2" spans="1:5" ht="54" customHeight="1" x14ac:dyDescent="0.2">
      <c r="A2" s="149"/>
      <c r="B2" s="582" t="s">
        <v>0</v>
      </c>
      <c r="C2" s="582"/>
      <c r="D2" s="582"/>
      <c r="E2" s="582"/>
    </row>
    <row r="3" spans="1:5" s="25" customFormat="1" ht="20" customHeight="1" x14ac:dyDescent="0.2">
      <c r="A3" s="61"/>
      <c r="B3" s="583" t="s">
        <v>1</v>
      </c>
      <c r="C3" s="583"/>
      <c r="D3" s="583"/>
      <c r="E3" s="583"/>
    </row>
    <row r="4" spans="1:5" ht="17" thickBot="1" x14ac:dyDescent="0.25"/>
    <row r="5" spans="1:5" ht="20" customHeight="1" thickBot="1" x14ac:dyDescent="0.25">
      <c r="B5" s="150" t="s">
        <v>2</v>
      </c>
      <c r="C5" s="150" t="s">
        <v>3</v>
      </c>
      <c r="D5" s="150" t="s">
        <v>4</v>
      </c>
      <c r="E5" s="150" t="s">
        <v>709</v>
      </c>
    </row>
    <row r="6" spans="1:5" s="25" customFormat="1" ht="10" customHeight="1" thickBot="1" x14ac:dyDescent="0.25">
      <c r="B6" s="151"/>
      <c r="C6" s="151"/>
      <c r="D6" s="151"/>
      <c r="E6" s="152"/>
    </row>
    <row r="7" spans="1:5" ht="20" customHeight="1" thickBot="1" x14ac:dyDescent="0.25">
      <c r="B7" s="150" t="s">
        <v>15</v>
      </c>
      <c r="C7" s="150" t="s">
        <v>7</v>
      </c>
      <c r="D7" s="150" t="s">
        <v>5</v>
      </c>
      <c r="E7" s="150"/>
    </row>
    <row r="10" spans="1:5" ht="34" customHeight="1" x14ac:dyDescent="0.2">
      <c r="B10" s="54" t="s">
        <v>8</v>
      </c>
      <c r="C10" s="55"/>
      <c r="D10" s="55"/>
      <c r="E10" s="56"/>
    </row>
    <row r="11" spans="1:5" ht="20" customHeight="1" x14ac:dyDescent="0.2">
      <c r="B11" s="63" t="s">
        <v>9</v>
      </c>
      <c r="C11" s="63" t="s">
        <v>10</v>
      </c>
      <c r="D11" s="63" t="s">
        <v>11</v>
      </c>
      <c r="E11" s="63" t="s">
        <v>12</v>
      </c>
    </row>
    <row r="12" spans="1:5" ht="20" customHeight="1" x14ac:dyDescent="0.2">
      <c r="B12" s="116" t="s">
        <v>13</v>
      </c>
      <c r="C12" s="65" t="s">
        <v>3</v>
      </c>
      <c r="D12" s="140" t="str">
        <f>IF(mgmt_domain_deployment_type_chosen="VMware vSphere Foundation","Excluded",IF(mgmt_signed_certs_chosen="Exclude","Excluded","Included"))</f>
        <v>Excluded</v>
      </c>
      <c r="E12" s="140" t="str">
        <f>IF(mgmt_domain_deployment_type_chosen="VMware vSphere Foundation","Cannot be performed on a VMware vSphere Foundation deployment",
IF(vcf_granular_option_chosen="Create Cluster","Deploy a new VCF fleet or Deploy a VCF Instance in an existing VCF fleet not selected on VCF &amp; VVF Planning Tab",
IF(vcf_granular_option_chosen="None Chosen","No Deployment Type Chosen",
IF(mgmt_signed_certs_chosen="Exclude","Cause: Not Selected. Signed certificates will not be deployed",
IF(mgmt_signed_certs_chosen="Microsoft CA","Microsoft CA based signed certificates will be deployed","OpenSSL CA based signed certificates will be deployed")))))</f>
        <v>Cause: Not Selected. Signed certificates will not be deployed</v>
      </c>
    </row>
    <row r="13" spans="1:5" ht="20" customHeight="1" x14ac:dyDescent="0.2">
      <c r="B13" s="116" t="s">
        <v>13</v>
      </c>
      <c r="C13" s="65" t="s">
        <v>14</v>
      </c>
      <c r="D13" s="140" t="str">
        <f>IF(mgmt_domain_deployment_type_chosen="VMware vSphere Foundation","Excluded",IF(mgmt_vns_chosen="Exclude","Excluded",
IF(mgmt_nsx_overlay_transit_gateway_chosen="Distributed Connectivity","Excluded","Included")))</f>
        <v>Excluded</v>
      </c>
      <c r="E13" s="140" t="str">
        <f>IF(mgmt_domain_deployment_type_chosen="VMware vSphere Foundation","Cannot be performed on a VMware vSphere Foundation deployment",IF(mgmt_vns_chosen="Exclude","Cause: Not Selected. NSX Network Connectivity for MGMT Workload Domain will not be configured",IF(mgmt_nsx_overlay_transit_gateway_chosen="Distributed Connectivity","Cause: As Distributed Connectivity is chosen in VCF Installer then its not possible to use the Transit Gateway Wizard after bring up.",
IF(mgmt_vns_chosen="Distributed Connectivity","Suitable for environments where you need a streamlined network configuration with limited NSX networking services.","NSX Edge cluster will be created. EBGP will be used. Suitable for environments where you need the full-scale of the NSX services"))))</f>
        <v>Cause: Not Selected. NSX Network Connectivity for MGMT Workload Domain will not be configured</v>
      </c>
    </row>
    <row r="14" spans="1:5" ht="20" customHeight="1" x14ac:dyDescent="0.2">
      <c r="B14" s="153" t="s">
        <v>13</v>
      </c>
      <c r="C14" s="65" t="s">
        <v>709</v>
      </c>
      <c r="D14" s="140" t="str">
        <f>IF(mgmt_domain_deployment_type_chosen="VMware vSphere Foundation","Excluded",
IF(AND((mgmt_supervisor_chosen&lt;&gt;"Exclude"),(mgmt_vns_result="Excluded")),"Excluded",
IF(mgmt_supervisor_chosen="Exclude","Excluded","Included")))</f>
        <v>Excluded</v>
      </c>
      <c r="E14" s="140" t="str">
        <f>IF(AND((mgmt_supervisor_chosen&lt;&gt;"Exclude"),(mgmt_vns_chosen="Exclude")),"Cause: You have not enabled NSX Network Connectivity for MGMT Workload Domain","Casue: Not Selected. vSphere Supervisor will not be enabled")</f>
        <v>Casue: Not Selected. vSphere Supervisor will not be enabled</v>
      </c>
    </row>
    <row r="15" spans="1:5" ht="20" customHeight="1" x14ac:dyDescent="0.2">
      <c r="B15" s="153" t="s">
        <v>13</v>
      </c>
      <c r="C15" s="65" t="s">
        <v>4006</v>
      </c>
      <c r="D15" s="140" t="str">
        <f>IF(AND(vcf_granular_option_chosen&lt;&gt;"Deploy a new VCF fleet",vcf_granular_option_chosen&lt;&gt;"Deploy a VCF Instance in an existing VCF fleet",vcf_granular_option_chosen&lt;&gt;"Create Cluster"),"Excluded",IF(mgmt_avi_loadbalancer_chosen="Exclude","Excluded","Included"))</f>
        <v>Excluded</v>
      </c>
      <c r="E15" s="140" t="str">
        <f>IF(vcf_granular_option_chosen="None Chosen","No Deployment Type Chosen",IF(mgmt_domain_deployment_type_chosen="VMware vSphere Foundation","Cannot be performed on a VMware vSphere Foundation deployment",
IF(mgmt_avi_loadbalancer_chosen="Exclude","Cause: Not Selected. AVI Load Balancer will not be configured","AVI Load Balancer will be configured")))</f>
        <v>Cause: Not Selected. AVI Load Balancer will not be configured</v>
      </c>
    </row>
    <row r="16" spans="1:5" ht="20" customHeight="1" x14ac:dyDescent="0.2">
      <c r="B16" s="116" t="s">
        <v>13</v>
      </c>
      <c r="C16" s="65" t="s">
        <v>15</v>
      </c>
      <c r="D16" s="140" t="str">
        <f>IF(AND(vcf_granular_option_chosen&lt;&gt;"Deploy a new VCF fleet",vcf_granular_option_chosen&lt;&gt;"Deploy a VCF Instance in an existing VCF fleet",vcf_granular_option_chosen&lt;&gt;"Create Cluster"),"Excluded",IF(mgmt_stretched_cluster_chosen="Exclude","Excluded",
IF(AND(mgmt_stretched_cluster_chosen="Include",AND(mgmt_principal_storage_chosen&lt;&gt;"vSAN-ESA",mgmt_principal_storage_chosen&lt;&gt;"vSAN-OSA")),"Excluded","Included")))</f>
        <v>Excluded</v>
      </c>
      <c r="E16" s="140" t="str">
        <f>IF(vcf_granular_option_chosen="None Chosen","No Deployment Type Chosen",IF(mgmt_domain_deployment_type_chosen="VMware vSphere Foundation","Cannot be performed on a VMware vSphere Foundation deployment",IF(vcf_version_chosen="No Version Selected","Cause: VCF Deployment version is not Selected",IF(mgmt_stretched_cluster_chosen="Exclude","Cause: Not Selected. Stretched Cluster will not be deployed",IF(AND(mgmt_stretched_cluster_chosen="Include",AND(mgmt_principal_storage_chosen&lt;&gt;"vSAN-ESA",mgmt_principal_storage_chosen&lt;&gt;"vSAN-OSA")),"Cause: Stretched Cluster is only supported with vSAN as Principal Storage",IF(mgmt_vns_chosen="VLAN-Backed","Note: VLAN-backed segments require L2 stretched VM Networks. Consider Overlay-backed instead.","Stretched Cluster will be deployed"))))))</f>
        <v>Cause: Not Selected. Stretched Cluster will not be deployed</v>
      </c>
    </row>
    <row r="17" spans="2:5" ht="20" customHeight="1" x14ac:dyDescent="0.2">
      <c r="B17" s="116" t="s">
        <v>13</v>
      </c>
      <c r="C17" s="65" t="s">
        <v>7</v>
      </c>
      <c r="D17" s="140" t="str">
        <f>IF(AND(vcf_granular_option_chosen&lt;&gt;"Deploy a new VCF fleet",vcf_granular_option_chosen&lt;&gt;"Deploy a VCF Instance in an existing VCF fleet",vcf_granular_option_chosen&lt;&gt;"Create Cluster",vcf_granular_option_chosen&lt;&gt;"One or More VVDs"),"Excluded",IF(mgmt_nsxt_federation_chosen="Exclude","Excluded",IF(mgmt_vns_chosen="Centralized Connectivity","Included","Excluded")))</f>
        <v>Excluded</v>
      </c>
      <c r="E17" s="140" t="str">
        <f>IF(vcf_granular_option_chosen="None Chosen","No Deployment Type Chosen",
IF(mgmt_domain_deployment_type_chosen="VMware vSphere Foundation","Cannot be performed on a VMware vSphere Foundation deployment",IF(mgmt_nsxt_federation_chosen="Exclude","Cause: Not Selected. NSX Federation for Management Domain will not be deployed",
IF(AND((mgmt_nsxt_federation_chosen="Active Global Manager"),(mgmt_nsxt_federation_result="Included")),"NSX Federation for Management Domain will be deployed with Active Global Manager",
IF(AND((mgmt_nsxt_federation_chosen="Standby Global Manager"),(mgmt_nsxt_federation_result="Included")),"NSX Federation for Management Domain will be deployed with Standby Global Manager",
IF(AND((mgmt_nsxt_federation_chosen="Connect Instance"),(mgmt_nsxt_federation_result="Included")),"Management Domain will be connected to an existing Global Manager","Cause: NSX Centralized Connectivity for Management Domain Required"))))))</f>
        <v>Cause: Not Selected. NSX Federation for Management Domain will not be deployed</v>
      </c>
    </row>
    <row r="18" spans="2:5" ht="16" customHeight="1" x14ac:dyDescent="0.2"/>
    <row r="19" spans="2:5" ht="34" customHeight="1" x14ac:dyDescent="0.2">
      <c r="B19" s="586" t="s">
        <v>16</v>
      </c>
      <c r="C19" s="587"/>
      <c r="D19" s="587"/>
      <c r="E19" s="588"/>
    </row>
    <row r="20" spans="2:5" ht="20" customHeight="1" x14ac:dyDescent="0.2">
      <c r="B20" s="563" t="s">
        <v>17</v>
      </c>
      <c r="C20" s="564"/>
      <c r="D20" s="564"/>
      <c r="E20" s="565"/>
    </row>
    <row r="21" spans="2:5" ht="20" customHeight="1" x14ac:dyDescent="0.2">
      <c r="B21" s="62" t="s">
        <v>18</v>
      </c>
      <c r="C21" s="63" t="s">
        <v>19</v>
      </c>
      <c r="D21" s="63" t="s">
        <v>20</v>
      </c>
      <c r="E21" s="63" t="s">
        <v>21</v>
      </c>
    </row>
    <row r="22" spans="2:5" ht="20" customHeight="1" x14ac:dyDescent="0.2">
      <c r="B22" s="4" t="s">
        <v>22</v>
      </c>
      <c r="C22" s="103" t="s">
        <v>23</v>
      </c>
      <c r="D22" s="66"/>
      <c r="E22" s="4" t="s">
        <v>24</v>
      </c>
    </row>
    <row r="23" spans="2:5" ht="20" customHeight="1" x14ac:dyDescent="0.2">
      <c r="B23" s="4" t="s">
        <v>25</v>
      </c>
      <c r="C23" s="65">
        <v>22</v>
      </c>
      <c r="D23" s="66"/>
      <c r="E23" s="4"/>
    </row>
    <row r="24" spans="2:5" ht="20" customHeight="1" x14ac:dyDescent="0.2">
      <c r="B24" s="4" t="s">
        <v>26</v>
      </c>
      <c r="C24" s="65" t="s">
        <v>27</v>
      </c>
      <c r="D24" s="66"/>
      <c r="E24" s="4"/>
    </row>
    <row r="25" spans="2:5" ht="20" customHeight="1" x14ac:dyDescent="0.2">
      <c r="B25" s="4" t="s">
        <v>28</v>
      </c>
      <c r="C25" s="65" t="s">
        <v>29</v>
      </c>
      <c r="D25" s="66"/>
      <c r="E25" s="4"/>
    </row>
    <row r="26" spans="2:5" ht="20" customHeight="1" x14ac:dyDescent="0.2">
      <c r="B26" s="4" t="s">
        <v>30</v>
      </c>
      <c r="C26" s="65" t="s">
        <v>31</v>
      </c>
      <c r="D26" s="66"/>
      <c r="E26" s="4"/>
    </row>
    <row r="27" spans="2:5" ht="20" customHeight="1" x14ac:dyDescent="0.2">
      <c r="B27" s="4" t="s">
        <v>32</v>
      </c>
      <c r="C27" s="65" t="s">
        <v>33</v>
      </c>
      <c r="D27" s="66"/>
      <c r="E27" s="4"/>
    </row>
    <row r="28" spans="2:5" ht="20" customHeight="1" x14ac:dyDescent="0.2">
      <c r="B28" s="4" t="s">
        <v>34</v>
      </c>
      <c r="C28" s="65" t="s">
        <v>35</v>
      </c>
      <c r="D28" s="66"/>
      <c r="E28" s="4"/>
    </row>
    <row r="29" spans="2:5" ht="20" customHeight="1" x14ac:dyDescent="0.2">
      <c r="B29" s="4" t="s">
        <v>36</v>
      </c>
      <c r="C29" s="65" t="s">
        <v>31</v>
      </c>
      <c r="D29" s="66"/>
      <c r="E29" s="4" t="s">
        <v>37</v>
      </c>
    </row>
    <row r="30" spans="2:5" ht="16" customHeight="1" x14ac:dyDescent="0.2"/>
    <row r="31" spans="2:5" ht="34" customHeight="1" x14ac:dyDescent="0.2">
      <c r="B31" s="584" t="s">
        <v>3</v>
      </c>
      <c r="C31" s="585"/>
      <c r="D31" s="585"/>
      <c r="E31" s="585"/>
    </row>
    <row r="32" spans="2:5" ht="20" customHeight="1" x14ac:dyDescent="0.2">
      <c r="B32" s="421" t="s">
        <v>38</v>
      </c>
      <c r="C32" s="422"/>
      <c r="D32" s="422"/>
      <c r="E32" s="423"/>
    </row>
    <row r="33" spans="2:5" ht="20" customHeight="1" x14ac:dyDescent="0.2">
      <c r="B33" s="62" t="s">
        <v>18</v>
      </c>
      <c r="C33" s="63" t="s">
        <v>19</v>
      </c>
      <c r="D33" s="63" t="s">
        <v>20</v>
      </c>
      <c r="E33" s="63" t="s">
        <v>21</v>
      </c>
    </row>
    <row r="34" spans="2:5" ht="20" customHeight="1" x14ac:dyDescent="0.2">
      <c r="B34" s="4" t="s">
        <v>39</v>
      </c>
      <c r="C34" s="103" t="s">
        <v>40</v>
      </c>
      <c r="D34" s="66"/>
      <c r="E34" s="8" t="str">
        <f>IF(mgmt_signed_certs_result="Excluded","Inputs are masked out and only required if Apply Signed Certifcates is chosen from the Post-Deployment Option","")</f>
        <v>Inputs are masked out and only required if Apply Signed Certifcates is chosen from the Post-Deployment Option</v>
      </c>
    </row>
    <row r="35" spans="2:5" ht="20" customHeight="1" x14ac:dyDescent="0.2">
      <c r="B35" s="4" t="s">
        <v>41</v>
      </c>
      <c r="C35" s="65" t="s">
        <v>42</v>
      </c>
      <c r="D35" s="66"/>
      <c r="E35" s="4"/>
    </row>
    <row r="36" spans="2:5" ht="20" customHeight="1" x14ac:dyDescent="0.2">
      <c r="B36" s="4" t="s">
        <v>30</v>
      </c>
      <c r="C36" s="100" t="s">
        <v>31</v>
      </c>
      <c r="D36" s="66"/>
      <c r="E36" s="4"/>
    </row>
    <row r="37" spans="2:5" ht="20" customHeight="1" x14ac:dyDescent="0.2">
      <c r="B37" s="421" t="s">
        <v>43</v>
      </c>
      <c r="C37" s="422"/>
      <c r="D37" s="422"/>
      <c r="E37" s="423"/>
    </row>
    <row r="38" spans="2:5" ht="20" customHeight="1" x14ac:dyDescent="0.2">
      <c r="B38" s="4" t="s">
        <v>39</v>
      </c>
      <c r="C38" s="65" t="str">
        <f>sample_certificate_authority_fqdn</f>
        <v>rpl-ad01.rainpole.io</v>
      </c>
      <c r="D38" s="134" t="str">
        <f>certificate_authority_fqdn</f>
        <v>Value Missing</v>
      </c>
      <c r="E38" s="8" t="str">
        <f>IF(mgmt_signed_certs_result="Excluded","Inputs are masked out and only required if Apply Signed Certifcates is chosen from the Post-Deployment Option","")</f>
        <v>Inputs are masked out and only required if Apply Signed Certifcates is chosen from the Post-Deployment Option</v>
      </c>
    </row>
    <row r="39" spans="2:5" ht="20" customHeight="1" x14ac:dyDescent="0.2">
      <c r="B39" s="4" t="s">
        <v>41</v>
      </c>
      <c r="C39" s="65" t="str">
        <f>sample_ca_administrator_username</f>
        <v>Administrator</v>
      </c>
      <c r="D39" s="134" t="str">
        <f>ca_administrator_username</f>
        <v>Value Missing</v>
      </c>
      <c r="E39" s="4"/>
    </row>
    <row r="40" spans="2:5" ht="20" customHeight="1" x14ac:dyDescent="0.2">
      <c r="B40" s="4" t="s">
        <v>30</v>
      </c>
      <c r="C40" s="65" t="str">
        <f>sample_ca_administrator_password</f>
        <v>VMw@re1!</v>
      </c>
      <c r="D40" s="134" t="str">
        <f>ca_administrator_password</f>
        <v>Value Missing</v>
      </c>
      <c r="E40" s="4"/>
    </row>
    <row r="41" spans="2:5" ht="20" customHeight="1" x14ac:dyDescent="0.2">
      <c r="B41" s="4" t="s">
        <v>44</v>
      </c>
      <c r="C41" s="65" t="str">
        <f>sample_certificate_authority_fqdn</f>
        <v>rpl-ad01.rainpole.io</v>
      </c>
      <c r="D41" s="134" t="str">
        <f>certificate_authority_fqdn</f>
        <v>Value Missing</v>
      </c>
      <c r="E41" s="4"/>
    </row>
    <row r="42" spans="2:5" ht="20" customHeight="1" x14ac:dyDescent="0.2">
      <c r="B42" s="421" t="s">
        <v>45</v>
      </c>
      <c r="C42" s="422"/>
      <c r="D42" s="422"/>
      <c r="E42" s="423"/>
    </row>
    <row r="43" spans="2:5" ht="20" customHeight="1" x14ac:dyDescent="0.2">
      <c r="B43" s="4" t="s">
        <v>46</v>
      </c>
      <c r="C43" s="65" t="str">
        <f>CONCATENATE("https://",sample_certificate_authority_fqdn)</f>
        <v>https://rpl-ad01.rainpole.io</v>
      </c>
      <c r="D43" s="134" t="str">
        <f>certificate_authority_fqdn</f>
        <v>Value Missing</v>
      </c>
      <c r="E43" s="8" t="str">
        <f>IF(mgmt_signed_certs_result="Excluded","Inputs are masked out and only required if Apply Signed Certifcates is chosen from the Post-Deployment Option","")</f>
        <v>Inputs are masked out and only required if Apply Signed Certifcates is chosen from the Post-Deployment Option</v>
      </c>
    </row>
    <row r="44" spans="2:5" ht="20" customHeight="1" x14ac:dyDescent="0.2">
      <c r="B44" s="4" t="s">
        <v>47</v>
      </c>
      <c r="C44" s="65" t="str">
        <f>sample_ca_administrator_username</f>
        <v>Administrator</v>
      </c>
      <c r="D44" s="134" t="str">
        <f>ca_administrator_username</f>
        <v>Value Missing</v>
      </c>
      <c r="E44" s="4"/>
    </row>
    <row r="45" spans="2:5" ht="20" customHeight="1" x14ac:dyDescent="0.2">
      <c r="B45" s="4" t="s">
        <v>30</v>
      </c>
      <c r="C45" s="65" t="str">
        <f>sample_ca_administrator_password</f>
        <v>VMw@re1!</v>
      </c>
      <c r="D45" s="134" t="str">
        <f>ca_administrator_password</f>
        <v>Value Missing</v>
      </c>
      <c r="E45" s="4"/>
    </row>
    <row r="46" spans="2:5" ht="20" customHeight="1" x14ac:dyDescent="0.2">
      <c r="B46" s="4" t="s">
        <v>48</v>
      </c>
      <c r="C46" s="106" t="s">
        <v>49</v>
      </c>
      <c r="D46" s="66"/>
      <c r="E46" s="4"/>
    </row>
    <row r="47" spans="2:5" ht="20" customHeight="1" x14ac:dyDescent="0.2">
      <c r="B47" s="421" t="s">
        <v>50</v>
      </c>
      <c r="C47" s="422"/>
      <c r="D47" s="422"/>
      <c r="E47" s="423"/>
    </row>
    <row r="48" spans="2:5" ht="20" customHeight="1" x14ac:dyDescent="0.2">
      <c r="B48" s="4" t="s">
        <v>39</v>
      </c>
      <c r="C48" s="65" t="str">
        <f>sample_certificate_authority_fqdn</f>
        <v>rpl-ad01.rainpole.io</v>
      </c>
      <c r="D48" s="134" t="str">
        <f>certificate_authority_fqdn</f>
        <v>Value Missing</v>
      </c>
      <c r="E48" s="8" t="str">
        <f>IF(mgmt_signed_certs_result="Excluded","Inputs are masked out and only required if Apply Signed Certifcates is chosen from the Post-Deployment Option","")</f>
        <v>Inputs are masked out and only required if Apply Signed Certifcates is chosen from the Post-Deployment Option</v>
      </c>
    </row>
    <row r="49" spans="2:5" ht="20" customHeight="1" x14ac:dyDescent="0.2">
      <c r="B49" s="4" t="s">
        <v>41</v>
      </c>
      <c r="C49" s="65" t="str">
        <f>sample_ca_administrator_username</f>
        <v>Administrator</v>
      </c>
      <c r="D49" s="134" t="str">
        <f>ca_administrator_username</f>
        <v>Value Missing</v>
      </c>
      <c r="E49" s="4"/>
    </row>
    <row r="50" spans="2:5" ht="20" customHeight="1" x14ac:dyDescent="0.2">
      <c r="B50" s="4" t="s">
        <v>30</v>
      </c>
      <c r="C50" s="65" t="str">
        <f>sample_ca_administrator_password</f>
        <v>VMw@re1!</v>
      </c>
      <c r="D50" s="134" t="str">
        <f>ca_administrator_password</f>
        <v>Value Missing</v>
      </c>
      <c r="E50" s="4"/>
    </row>
    <row r="51" spans="2:5" ht="20" customHeight="1" x14ac:dyDescent="0.2">
      <c r="B51" s="4" t="s">
        <v>51</v>
      </c>
      <c r="C51" s="65" t="s">
        <v>52</v>
      </c>
      <c r="D51" s="66"/>
      <c r="E51" s="4"/>
    </row>
    <row r="52" spans="2:5" ht="20" customHeight="1" x14ac:dyDescent="0.2">
      <c r="B52" s="421" t="s">
        <v>53</v>
      </c>
      <c r="C52" s="422"/>
      <c r="D52" s="422"/>
      <c r="E52" s="423"/>
    </row>
    <row r="53" spans="2:5" ht="20" customHeight="1" x14ac:dyDescent="0.2">
      <c r="B53" s="4" t="s">
        <v>54</v>
      </c>
      <c r="C53" s="65" t="s">
        <v>55</v>
      </c>
      <c r="D53" s="8" t="s">
        <v>55</v>
      </c>
      <c r="E53" s="8" t="str">
        <f>IF(mgmt_signed_certs_result="Excluded","Inputs are masked out and only required if Apply Signed Certifcates is chosen from the Post-Deployment Option","")</f>
        <v>Inputs are masked out and only required if Apply Signed Certifcates is chosen from the Post-Deployment Option</v>
      </c>
    </row>
    <row r="54" spans="2:5" ht="20" customHeight="1" x14ac:dyDescent="0.2">
      <c r="B54" s="4" t="s">
        <v>46</v>
      </c>
      <c r="C54" s="65" t="str">
        <f>CONCATENATE("https://",certificate_authority_fqdn,"/certsrv")</f>
        <v>https://Value Missing/certsrv</v>
      </c>
      <c r="D54" s="8" t="str">
        <f>CONCATENATE("https://",certificate_authority_fqdn,"/certsrv")</f>
        <v>https://Value Missing/certsrv</v>
      </c>
      <c r="E54" s="4"/>
    </row>
    <row r="55" spans="2:5" ht="20" customHeight="1" x14ac:dyDescent="0.2">
      <c r="B55" s="4" t="s">
        <v>28</v>
      </c>
      <c r="C55" s="65" t="str">
        <f>sample_svc_vcf_ca_vcf_user</f>
        <v>svc-vcf-ca</v>
      </c>
      <c r="D55" s="8" t="str">
        <f>user_svc_vcf_ca_vcf</f>
        <v>Value Missing</v>
      </c>
      <c r="E55" s="4"/>
    </row>
    <row r="56" spans="2:5" ht="20" customHeight="1" x14ac:dyDescent="0.2">
      <c r="B56" s="4" t="s">
        <v>30</v>
      </c>
      <c r="C56" s="65" t="s">
        <v>31</v>
      </c>
      <c r="D56" s="66"/>
      <c r="E56" s="4"/>
    </row>
    <row r="57" spans="2:5" ht="20" customHeight="1" x14ac:dyDescent="0.2">
      <c r="B57" s="4" t="s">
        <v>48</v>
      </c>
      <c r="C57" s="65" t="str">
        <f>sample_ca_template_name</f>
        <v>VMware</v>
      </c>
      <c r="D57" s="134" t="str">
        <f>ca_template_name</f>
        <v>Value Missing</v>
      </c>
      <c r="E57" s="4"/>
    </row>
    <row r="58" spans="2:5" ht="20" customHeight="1" x14ac:dyDescent="0.2">
      <c r="B58" s="576" t="s">
        <v>56</v>
      </c>
      <c r="C58" s="577"/>
      <c r="D58" s="577"/>
      <c r="E58" s="578"/>
    </row>
    <row r="59" spans="2:5" ht="20" customHeight="1" x14ac:dyDescent="0.2">
      <c r="B59" s="4" t="s">
        <v>57</v>
      </c>
      <c r="C59" s="106" t="s">
        <v>58</v>
      </c>
      <c r="D59" s="66"/>
      <c r="E59" s="8" t="str">
        <f>IF(mgmt_signed_certs_result="Excluded","Inputs are masked out and only required if Apply Signed Certifcates is chosen from the Post-Deployment Option","")</f>
        <v>Inputs are masked out and only required if Apply Signed Certifcates is chosen from the Post-Deployment Option</v>
      </c>
    </row>
    <row r="60" spans="2:5" ht="20" customHeight="1" x14ac:dyDescent="0.2">
      <c r="B60" s="4" t="s">
        <v>59</v>
      </c>
      <c r="C60" s="106" t="s">
        <v>60</v>
      </c>
      <c r="D60" s="66"/>
      <c r="E60" s="4"/>
    </row>
    <row r="61" spans="2:5" ht="20" customHeight="1" x14ac:dyDescent="0.2">
      <c r="B61" s="4" t="s">
        <v>61</v>
      </c>
      <c r="C61" s="106" t="s">
        <v>62</v>
      </c>
      <c r="D61" s="66"/>
      <c r="E61" s="4"/>
    </row>
    <row r="62" spans="2:5" ht="20" customHeight="1" x14ac:dyDescent="0.2">
      <c r="B62" s="4" t="s">
        <v>63</v>
      </c>
      <c r="C62" s="106" t="s">
        <v>64</v>
      </c>
      <c r="D62" s="66"/>
      <c r="E62" s="4"/>
    </row>
    <row r="63" spans="2:5" ht="20" customHeight="1" x14ac:dyDescent="0.2">
      <c r="B63" s="4" t="s">
        <v>65</v>
      </c>
      <c r="C63" s="106" t="s">
        <v>66</v>
      </c>
      <c r="D63" s="66"/>
      <c r="E63" s="4"/>
    </row>
    <row r="64" spans="2:5" ht="20" customHeight="1" x14ac:dyDescent="0.2">
      <c r="B64" s="4" t="s">
        <v>67</v>
      </c>
      <c r="C64" s="106" t="s">
        <v>68</v>
      </c>
      <c r="D64" s="66"/>
      <c r="E64" s="4"/>
    </row>
    <row r="65" spans="2:5" ht="20" customHeight="1" x14ac:dyDescent="0.2">
      <c r="B65" s="4" t="s">
        <v>69</v>
      </c>
      <c r="C65" s="106" t="s">
        <v>70</v>
      </c>
      <c r="D65" s="408"/>
      <c r="E65" s="4"/>
    </row>
    <row r="66" spans="2:5" ht="20" customHeight="1" x14ac:dyDescent="0.2">
      <c r="B66" s="4" t="s">
        <v>71</v>
      </c>
      <c r="C66" s="106">
        <v>4096</v>
      </c>
      <c r="D66" s="66"/>
      <c r="E66" s="4"/>
    </row>
    <row r="67" spans="2:5" ht="20" customHeight="1" x14ac:dyDescent="0.2">
      <c r="B67" s="421" t="s">
        <v>72</v>
      </c>
      <c r="C67" s="422"/>
      <c r="D67" s="422"/>
      <c r="E67" s="423"/>
    </row>
    <row r="68" spans="2:5" ht="20" customHeight="1" x14ac:dyDescent="0.2">
      <c r="B68" s="4" t="s">
        <v>54</v>
      </c>
      <c r="C68" s="103" t="s">
        <v>73</v>
      </c>
      <c r="D68" s="66"/>
      <c r="E68" s="8" t="str">
        <f>IF(mgmt_signed_certs_result="Excluded","Inputs are masked out and only required if Apply Signed Certifcates is chosen from the Post-Deployment Option","")</f>
        <v>Inputs are masked out and only required if Apply Signed Certifcates is chosen from the Post-Deployment Option</v>
      </c>
    </row>
    <row r="69" spans="2:5" ht="20" customHeight="1" x14ac:dyDescent="0.2">
      <c r="B69" s="4" t="s">
        <v>74</v>
      </c>
      <c r="C69" s="65" t="str">
        <f>sample_sddc_mgr_fqdn</f>
        <v>sfo-vcf01.sfo.rainpole.io</v>
      </c>
      <c r="D69" s="114"/>
      <c r="E69" s="4"/>
    </row>
    <row r="70" spans="2:5" ht="20" customHeight="1" x14ac:dyDescent="0.2">
      <c r="B70" s="4" t="s">
        <v>63</v>
      </c>
      <c r="C70" s="65" t="str">
        <f>sample_ca_country</f>
        <v>US</v>
      </c>
      <c r="D70" s="114"/>
      <c r="E70" s="4"/>
    </row>
    <row r="71" spans="2:5" ht="20" customHeight="1" x14ac:dyDescent="0.2">
      <c r="B71" s="4" t="s">
        <v>75</v>
      </c>
      <c r="C71" s="65" t="str">
        <f>sample_ca_locality</f>
        <v>San Francisco</v>
      </c>
      <c r="D71" s="114"/>
      <c r="E71" s="4"/>
    </row>
    <row r="72" spans="2:5" ht="20" customHeight="1" x14ac:dyDescent="0.2">
      <c r="B72" s="4" t="s">
        <v>76</v>
      </c>
      <c r="C72" s="65" t="str">
        <f>sample_ca_organization_unit</f>
        <v>Rainpole</v>
      </c>
      <c r="D72" s="114"/>
      <c r="E72" s="4"/>
    </row>
    <row r="73" spans="2:5" ht="20" customHeight="1" x14ac:dyDescent="0.2">
      <c r="B73" s="4" t="s">
        <v>77</v>
      </c>
      <c r="C73" s="65" t="str">
        <f>sample_ca_organization</f>
        <v>IT</v>
      </c>
      <c r="D73" s="114"/>
      <c r="E73" s="4"/>
    </row>
    <row r="74" spans="2:5" ht="20" customHeight="1" x14ac:dyDescent="0.2">
      <c r="B74" s="4" t="s">
        <v>65</v>
      </c>
      <c r="C74" s="65" t="str">
        <f>sample_ca_state</f>
        <v>CA</v>
      </c>
      <c r="D74" s="114"/>
      <c r="E74" s="4"/>
    </row>
    <row r="75" spans="2:5" ht="20" customHeight="1" x14ac:dyDescent="0.2">
      <c r="B75" s="421" t="s">
        <v>78</v>
      </c>
      <c r="C75" s="422"/>
      <c r="D75" s="422"/>
      <c r="E75" s="423"/>
    </row>
    <row r="76" spans="2:5" ht="20" customHeight="1" x14ac:dyDescent="0.2">
      <c r="B76" s="4" t="s">
        <v>57</v>
      </c>
      <c r="C76" s="65" t="str">
        <f>sample_ca_algorithm</f>
        <v>RSA</v>
      </c>
      <c r="D76" s="114"/>
      <c r="E76" s="8" t="str">
        <f>IF(mgmt_signed_certs_result="Excluded","Inputs are masked out and only required if Apply Signed Certifcates is chosen from the Post-Deployment Option","")</f>
        <v>Inputs are masked out and only required if Apply Signed Certifcates is chosen from the Post-Deployment Option</v>
      </c>
    </row>
    <row r="77" spans="2:5" ht="20" customHeight="1" x14ac:dyDescent="0.2">
      <c r="B77" s="4" t="s">
        <v>71</v>
      </c>
      <c r="C77" s="65">
        <f>sample_ca_key_size</f>
        <v>4096</v>
      </c>
      <c r="D77" s="114">
        <v>4096</v>
      </c>
      <c r="E77" s="4"/>
    </row>
    <row r="78" spans="2:5" ht="20" customHeight="1" x14ac:dyDescent="0.2">
      <c r="B78" s="4" t="s">
        <v>69</v>
      </c>
      <c r="C78" s="65" t="str">
        <f>sample_ca_email_address</f>
        <v>administrator@rainpole.io</v>
      </c>
      <c r="D78" s="114"/>
      <c r="E78" s="4"/>
    </row>
    <row r="79" spans="2:5" ht="20" customHeight="1" x14ac:dyDescent="0.2">
      <c r="B79" s="4" t="s">
        <v>61</v>
      </c>
      <c r="C79" s="65" t="str">
        <f>sample_ca_organization</f>
        <v>IT</v>
      </c>
      <c r="D79" s="114"/>
      <c r="E79" s="4"/>
    </row>
    <row r="80" spans="2:5" ht="20" customHeight="1" x14ac:dyDescent="0.2">
      <c r="B80" s="4" t="s">
        <v>76</v>
      </c>
      <c r="C80" s="65" t="str">
        <f>sample_ca_organization_unit</f>
        <v>Rainpole</v>
      </c>
      <c r="D80" s="114"/>
      <c r="E80" s="4"/>
    </row>
    <row r="81" spans="2:5" ht="20" customHeight="1" x14ac:dyDescent="0.2">
      <c r="B81" s="4" t="s">
        <v>67</v>
      </c>
      <c r="C81" s="65" t="str">
        <f>sample_ca_locality</f>
        <v>San Francisco</v>
      </c>
      <c r="D81" s="114"/>
      <c r="E81" s="4"/>
    </row>
    <row r="82" spans="2:5" ht="20" customHeight="1" x14ac:dyDescent="0.2">
      <c r="B82" s="4" t="s">
        <v>65</v>
      </c>
      <c r="C82" s="65" t="str">
        <f>sample_ca_state</f>
        <v>CA</v>
      </c>
      <c r="D82" s="114"/>
      <c r="E82" s="4"/>
    </row>
    <row r="83" spans="2:5" ht="20" customHeight="1" x14ac:dyDescent="0.2">
      <c r="B83" s="4" t="s">
        <v>63</v>
      </c>
      <c r="C83" s="65" t="str">
        <f>sample_ca_country</f>
        <v>US</v>
      </c>
      <c r="D83" s="114"/>
      <c r="E83" s="4"/>
    </row>
    <row r="84" spans="2:5" ht="20" customHeight="1" x14ac:dyDescent="0.2">
      <c r="B84" s="4" t="s">
        <v>79</v>
      </c>
      <c r="C84" s="65" t="s">
        <v>80</v>
      </c>
      <c r="D84" s="66"/>
      <c r="E84" s="4"/>
    </row>
    <row r="85" spans="2:5" ht="20" customHeight="1" x14ac:dyDescent="0.2">
      <c r="B85" s="4" t="s">
        <v>30</v>
      </c>
      <c r="C85" s="65" t="str">
        <f>sample_sddc_mgr_vcf_password</f>
        <v>VMw@re1!VMw@re1!</v>
      </c>
      <c r="D85" s="114"/>
      <c r="E85" s="4"/>
    </row>
    <row r="86" spans="2:5" ht="16" customHeight="1" x14ac:dyDescent="0.2">
      <c r="B86" s="6"/>
    </row>
    <row r="87" spans="2:5" ht="34" customHeight="1" x14ac:dyDescent="0.2">
      <c r="B87" s="586" t="s">
        <v>840</v>
      </c>
      <c r="C87" s="587"/>
      <c r="D87" s="587"/>
      <c r="E87" s="588"/>
    </row>
    <row r="88" spans="2:5" ht="20" customHeight="1" x14ac:dyDescent="0.2">
      <c r="B88" s="421" t="s">
        <v>81</v>
      </c>
      <c r="C88" s="422"/>
      <c r="D88" s="422"/>
      <c r="E88" s="423"/>
    </row>
    <row r="89" spans="2:5" ht="20" customHeight="1" x14ac:dyDescent="0.2">
      <c r="B89" s="62" t="s">
        <v>18</v>
      </c>
      <c r="C89" s="63" t="s">
        <v>19</v>
      </c>
      <c r="D89" s="63" t="s">
        <v>20</v>
      </c>
      <c r="E89" s="63" t="s">
        <v>21</v>
      </c>
    </row>
    <row r="90" spans="2:5" ht="20" customHeight="1" x14ac:dyDescent="0.2">
      <c r="B90" s="579" t="s">
        <v>3831</v>
      </c>
      <c r="C90" s="580"/>
      <c r="D90" s="580"/>
      <c r="E90" s="581"/>
    </row>
    <row r="91" spans="2:5" ht="20" customHeight="1" x14ac:dyDescent="0.2">
      <c r="B91" s="4" t="s">
        <v>82</v>
      </c>
      <c r="C91" s="65" t="s">
        <v>3832</v>
      </c>
      <c r="D91" s="66"/>
      <c r="E91" s="8"/>
    </row>
    <row r="92" spans="2:5" ht="20" customHeight="1" x14ac:dyDescent="0.2">
      <c r="B92" s="579" t="s">
        <v>82</v>
      </c>
      <c r="C92" s="580"/>
      <c r="D92" s="580"/>
      <c r="E92" s="581"/>
    </row>
    <row r="93" spans="2:5" ht="20" customHeight="1" x14ac:dyDescent="0.2">
      <c r="B93" s="4" t="s">
        <v>82</v>
      </c>
      <c r="C93" s="65" t="s">
        <v>83</v>
      </c>
      <c r="D93" s="8" t="str">
        <f>mgmt_vns_chosen</f>
        <v>Exclude</v>
      </c>
      <c r="E93" s="8" t="str">
        <f>IF(mgmt_vns_result="Excluded","Inputs are masked out and only required if NSX Network Connectivity for MGMT Domain is chosen from the Post-Deployment Option",
IF(mgmt_vns_chosen="Distributed Connectivity","Suitable for environments that require a streamlined network configuration with limited NSX networking services","Suitable for environments that require full-scale NSX networking services."))</f>
        <v>Inputs are masked out and only required if NSX Network Connectivity for MGMT Domain is chosen from the Post-Deployment Option</v>
      </c>
    </row>
    <row r="94" spans="2:5" ht="20" customHeight="1" x14ac:dyDescent="0.2">
      <c r="B94" s="579" t="s">
        <v>88</v>
      </c>
      <c r="C94" s="580"/>
      <c r="D94" s="580"/>
      <c r="E94" s="581"/>
    </row>
    <row r="95" spans="2:5" ht="20" customHeight="1" x14ac:dyDescent="0.2">
      <c r="B95" s="4" t="s">
        <v>89</v>
      </c>
      <c r="C95" s="65" t="str">
        <f>CONCATENATE(this_instance,"-m01-ec01")</f>
        <v>sfo-m01-ec01</v>
      </c>
      <c r="D95" s="66"/>
      <c r="E95" s="4"/>
    </row>
    <row r="96" spans="2:5" ht="20" customHeight="1" x14ac:dyDescent="0.2">
      <c r="B96" s="4" t="s">
        <v>90</v>
      </c>
      <c r="C96" s="65">
        <v>1700</v>
      </c>
      <c r="D96" s="114"/>
      <c r="E96" s="8" t="s">
        <v>3653</v>
      </c>
    </row>
    <row r="97" spans="2:5" ht="20" customHeight="1" x14ac:dyDescent="0.2">
      <c r="B97" s="4" t="s">
        <v>91</v>
      </c>
      <c r="C97" s="65" t="s">
        <v>92</v>
      </c>
      <c r="D97" s="114" t="s">
        <v>92</v>
      </c>
      <c r="E97" s="4"/>
    </row>
    <row r="98" spans="2:5" ht="20" customHeight="1" x14ac:dyDescent="0.2">
      <c r="B98" s="424" t="s">
        <v>93</v>
      </c>
      <c r="C98" s="425"/>
      <c r="D98" s="425"/>
      <c r="E98" s="426"/>
    </row>
    <row r="99" spans="2:5" ht="20" customHeight="1" x14ac:dyDescent="0.2">
      <c r="B99" s="4" t="s">
        <v>94</v>
      </c>
      <c r="C99" s="109" t="str">
        <f>CONCATENATE(this_instance,"-m01-en01",".",sample_child_dns_zone)</f>
        <v>sfo-m01-en01.sfo.rainpole.io</v>
      </c>
      <c r="D99" s="66"/>
      <c r="E99" s="4"/>
    </row>
    <row r="100" spans="2:5" ht="20" customHeight="1" x14ac:dyDescent="0.2">
      <c r="B100" s="4" t="s">
        <v>95</v>
      </c>
      <c r="C100" s="65" t="str">
        <f>sample_mgmt_cl01_cluster</f>
        <v>sfo-m01-cl01</v>
      </c>
      <c r="D100" s="134" t="str">
        <f>mgmt_cl01_cluster</f>
        <v>Value Missing</v>
      </c>
      <c r="E100" s="66" t="s">
        <v>96</v>
      </c>
    </row>
    <row r="101" spans="2:5" ht="20" customHeight="1" x14ac:dyDescent="0.2">
      <c r="B101" s="4" t="s">
        <v>97</v>
      </c>
      <c r="C101" s="65" t="str">
        <f>CONCATENATE(this_instance,"-m01-cl01-rp-ec01")</f>
        <v>sfo-m01-cl01-rp-ec01</v>
      </c>
      <c r="D101" s="114"/>
      <c r="E101" s="8" t="s">
        <v>98</v>
      </c>
    </row>
    <row r="102" spans="2:5" ht="20" customHeight="1" x14ac:dyDescent="0.2">
      <c r="B102" s="4" t="s">
        <v>99</v>
      </c>
      <c r="C102" s="65" t="s">
        <v>100</v>
      </c>
      <c r="D102" s="114" t="s">
        <v>100</v>
      </c>
      <c r="E102" s="8"/>
    </row>
    <row r="103" spans="2:5" ht="20" customHeight="1" x14ac:dyDescent="0.2">
      <c r="B103" s="4" t="s">
        <v>101</v>
      </c>
      <c r="C103" s="65" t="str">
        <f>CONCATENATE(this_instance,"-m01","-host-group-affinity-rule-ec01-en01")</f>
        <v>sfo-m01-host-group-affinity-rule-ec01-en01</v>
      </c>
      <c r="D103" s="114"/>
      <c r="E103" s="8" t="str">
        <f>IF(mgmt_ec01_host_group_affinity_rule_chosen="No","Inputs are masked out and only required if Host Groups Affiity are required","Host Group is optional and must be precreated in vCenter Prior to Starting this workflow" )</f>
        <v>Inputs are masked out and only required if Host Groups Affiity are required</v>
      </c>
    </row>
    <row r="104" spans="2:5" ht="20" customHeight="1" x14ac:dyDescent="0.2">
      <c r="B104" s="4" t="s">
        <v>102</v>
      </c>
      <c r="C104" s="65" t="str">
        <f>sample_mgmt_cl01_vsan_datastore</f>
        <v>sfo-m01-cl01-ds-vsan01</v>
      </c>
      <c r="D104" s="134" t="str">
        <f>mgmt_cl01_vsan_datastore</f>
        <v>Value Missing</v>
      </c>
      <c r="E104" s="66" t="s">
        <v>103</v>
      </c>
    </row>
    <row r="105" spans="2:5" ht="20" customHeight="1" x14ac:dyDescent="0.2">
      <c r="B105" s="4" t="s">
        <v>3840</v>
      </c>
      <c r="C105" s="103" t="s">
        <v>3841</v>
      </c>
      <c r="D105" s="114" t="s">
        <v>3841</v>
      </c>
      <c r="E105" s="8"/>
    </row>
    <row r="106" spans="2:5" ht="20" customHeight="1" x14ac:dyDescent="0.2">
      <c r="B106" s="4" t="s">
        <v>104</v>
      </c>
      <c r="C106" s="109" t="s">
        <v>105</v>
      </c>
      <c r="D106" s="114" t="s">
        <v>105</v>
      </c>
      <c r="E106" s="8"/>
    </row>
    <row r="107" spans="2:5" ht="20" customHeight="1" x14ac:dyDescent="0.2">
      <c r="B107" s="4" t="s">
        <v>108</v>
      </c>
      <c r="C107" s="109" t="str">
        <f>IF(mgmt_dpg_reuse_result="Excluded",CONCATENATE(prefix_mgmt_az1_cidr,"11.75","/",INT(RIGHT(sample_mgmt_az1_mgmt_vm_gateway_cidr,LEN(sample_mgmt_az1_mgmt_vm_gateway_cidr)-FIND("/",sample_mgmt_az1_mgmt_vm_gateway_cidr)))),CONCATENATE(prefix_mgmt_az1_cidr,"10.75","/",INT(RIGHT(sample_mgmt_az1_mgmt_vm_gateway_cidr,LEN(sample_mgmt_az1_mgmt_vm_gateway_cidr)-FIND("/",sample_mgmt_az1_mgmt_vm_gateway_cidr)))))</f>
        <v>10.11.10.75/24</v>
      </c>
      <c r="D107" s="114"/>
      <c r="E107" s="8" t="str">
        <f>IF(mgmt_az1_en1_ip_allocation_chosen="DHCP","Inputs are masked out and only required if Static IP Allocation is selected","")</f>
        <v/>
      </c>
    </row>
    <row r="108" spans="2:5" ht="20" customHeight="1" x14ac:dyDescent="0.2">
      <c r="B108" s="4" t="s">
        <v>109</v>
      </c>
      <c r="C108" s="65" t="str">
        <f>IF(mgmt_dpg_reuse_result="Excluded",CONCATENATE(prefix_mgmt_az1_cidr,"11.1"),CONCATENATE(prefix_mgmt_az1_cidr,"10.1"))</f>
        <v>10.11.10.1</v>
      </c>
      <c r="D108" s="134" t="str">
        <f>mgmt_az1_mgmt_vm_gateway_ip</f>
        <v>Value Missing</v>
      </c>
      <c r="E108" s="66" t="str">
        <f>IF(mgmt_az1_en1_ip_allocation_chosen="DHCP","Inputs are masked out and only required if Static IP Allocation is selected","Values are set based on VM Management Network configuration in the Deploy Management Domain Tab. Click to Redirect")</f>
        <v>Values are set based on VM Management Network configuration in the Deploy Management Domain Tab. Click to Redirect</v>
      </c>
    </row>
    <row r="109" spans="2:5" ht="20" customHeight="1" x14ac:dyDescent="0.2">
      <c r="B109" s="4" t="s">
        <v>106</v>
      </c>
      <c r="C109" s="109" t="str">
        <f>sample_mgmt_cl01_az1_mgmt_vm_pg</f>
        <v>sfo-m01-cl01-vds01-pg-vm-mgmt</v>
      </c>
      <c r="D109" s="134" t="str">
        <f>mgmt_cl01_az1_mgmt_vm_pg</f>
        <v>Value Missing</v>
      </c>
      <c r="E109" s="66" t="s">
        <v>107</v>
      </c>
    </row>
    <row r="110" spans="2:5" ht="20" customHeight="1" x14ac:dyDescent="0.2">
      <c r="B110" s="4" t="s">
        <v>110</v>
      </c>
      <c r="C110" s="65" t="s">
        <v>111</v>
      </c>
      <c r="D110" s="114" t="s">
        <v>111</v>
      </c>
      <c r="E110" s="4"/>
    </row>
    <row r="111" spans="2:5" ht="20" customHeight="1" x14ac:dyDescent="0.2">
      <c r="B111" s="424" t="s">
        <v>112</v>
      </c>
      <c r="C111" s="425"/>
      <c r="D111" s="425"/>
      <c r="E111" s="426"/>
    </row>
    <row r="112" spans="2:5" ht="20" customHeight="1" x14ac:dyDescent="0.2">
      <c r="B112" s="4" t="s">
        <v>113</v>
      </c>
      <c r="C112" s="65" t="str">
        <f>IF(mgmt_cl01_vds_profile_chosen="Storage Traffic and NSX Traffic Separation","vmnic4",IF(mgmt_cl01_vds_profile_chosen="NSX Traffic Separation","vmnic2","vmnic0"))</f>
        <v>vmnic0</v>
      </c>
      <c r="D112" s="114"/>
      <c r="E112" s="8" t="s">
        <v>114</v>
      </c>
    </row>
    <row r="113" spans="2:5" ht="20" customHeight="1" x14ac:dyDescent="0.2">
      <c r="B113" s="23" t="s">
        <v>113</v>
      </c>
      <c r="C113" s="65" t="str">
        <f>IF(mgmt_cl01_vds_profile_chosen="Storage Traffic and NSX Traffic Separation","vmnic5",IF(mgmt_cl01_vds_profile_chosen="NSX Traffic Separation","vmnic3","vmnic1"))</f>
        <v>vmnic1</v>
      </c>
      <c r="D113" s="114"/>
      <c r="E113" s="8" t="s">
        <v>856</v>
      </c>
    </row>
    <row r="114" spans="2:5" ht="20" customHeight="1" x14ac:dyDescent="0.2">
      <c r="B114" s="23" t="s">
        <v>115</v>
      </c>
      <c r="C114" s="65" t="str">
        <f>IF(mgmt_cl01_vds_profile_chosen="Storage Traffic and NSX Traffic Separation","vmnic5",IF(mgmt_cl01_vds_profile_chosen="NSX Traffic Separation","vmnic3","vmnic1"))</f>
        <v>vmnic1</v>
      </c>
      <c r="D114" s="114"/>
      <c r="E114" s="8" t="s">
        <v>114</v>
      </c>
    </row>
    <row r="115" spans="2:5" ht="20" customHeight="1" x14ac:dyDescent="0.2">
      <c r="B115" s="30" t="s">
        <v>115</v>
      </c>
      <c r="C115" s="65" t="str">
        <f>IF(mgmt_cl01_vds_profile_chosen="Storage Traffic and NSX Traffic Separation","vmnic4",IF(mgmt_cl01_vds_profile_chosen="NSX Traffic Separation","vmnic2","vmnic0"))</f>
        <v>vmnic0</v>
      </c>
      <c r="D115" s="114"/>
      <c r="E115" s="8" t="s">
        <v>856</v>
      </c>
    </row>
    <row r="116" spans="2:5" ht="20" customHeight="1" x14ac:dyDescent="0.2">
      <c r="B116" s="4" t="s">
        <v>116</v>
      </c>
      <c r="C116" s="103" t="str">
        <f>CONCATENATE(prefix_mgmt_az1_vlan,"19")</f>
        <v>1119</v>
      </c>
      <c r="D116" s="66"/>
      <c r="E116" s="8" t="str">
        <f>IF(mgmt_ec01_use_host_overlay_chosen="Selected","Inputs are masked out as host overlay network and edge overlay networks will share the same network configuration","")</f>
        <v/>
      </c>
    </row>
    <row r="117" spans="2:5" ht="20" customHeight="1" x14ac:dyDescent="0.2">
      <c r="B117" s="4" t="s">
        <v>3842</v>
      </c>
      <c r="C117" s="103" t="s">
        <v>3713</v>
      </c>
      <c r="D117" s="114" t="s">
        <v>3713</v>
      </c>
      <c r="E117" s="8" t="str">
        <f>IF(mgmt_az1_en1_uplink_ip_assignment_chosen="IPV6","NSX does not support EVPN, Multicast Routing, Service Insertion and Federation functionalities when you use IPv6 as the IP Address Type ","")</f>
        <v/>
      </c>
    </row>
    <row r="118" spans="2:5" ht="20" customHeight="1" x14ac:dyDescent="0.2">
      <c r="B118" s="4" t="s">
        <v>117</v>
      </c>
      <c r="C118" s="65" t="s">
        <v>118</v>
      </c>
      <c r="D118" s="114" t="s">
        <v>3458</v>
      </c>
      <c r="E118" s="4"/>
    </row>
    <row r="119" spans="2:5" ht="20" customHeight="1" x14ac:dyDescent="0.2">
      <c r="B119" s="4" t="s">
        <v>119</v>
      </c>
      <c r="C119" s="109" t="str">
        <f>CONCATENATE(sample_mgmt_sddc_domain,"-ip-pool02-edge")</f>
        <v>sfo-m01-ip-pool02-edge</v>
      </c>
      <c r="D119" s="114"/>
      <c r="E119" s="8" t="str">
        <f>IF(mgmt_az1_en1_edge_overlay_network_ip_allocation_chosen&lt;&gt;"IP Pool","Inputs are masked out and only required if IP Pools are required","")</f>
        <v/>
      </c>
    </row>
    <row r="120" spans="2:5" ht="20" customHeight="1" x14ac:dyDescent="0.2">
      <c r="B120" s="4" t="s">
        <v>120</v>
      </c>
      <c r="C120" s="109" t="str">
        <f>CONCATENATE(prefix_mgmt_az1_cidr,"19.2")</f>
        <v>10.11.19.2</v>
      </c>
      <c r="D120" s="114"/>
      <c r="E120" s="8" t="str">
        <f>IF(mgmt_az1_en1_edge_overlay_network_ip_allocation_chosen&lt;&gt;"IP Pool","Inputs are masked out and only required if IP Pools are required","")</f>
        <v/>
      </c>
    </row>
    <row r="121" spans="2:5" ht="20" customHeight="1" x14ac:dyDescent="0.2">
      <c r="B121" s="4" t="s">
        <v>121</v>
      </c>
      <c r="C121" s="109" t="str">
        <f>CONCATENATE(prefix_mgmt_az1_cidr,"19.5")</f>
        <v>10.11.19.5</v>
      </c>
      <c r="D121" s="114"/>
      <c r="E121" s="8" t="str">
        <f>IF(mgmt_az1_en1_edge_overlay_network_ip_allocation_chosen&lt;&gt;"IP Pool","Inputs are masked out and only required if IP Pools are required","")</f>
        <v/>
      </c>
    </row>
    <row r="122" spans="2:5" ht="20" customHeight="1" x14ac:dyDescent="0.2">
      <c r="B122" s="4" t="s">
        <v>122</v>
      </c>
      <c r="C122" s="109" t="str">
        <f>CONCATENATE(prefix_mgmt_az1_cidr,"19.2")</f>
        <v>10.11.19.2</v>
      </c>
      <c r="D122" s="66"/>
      <c r="E122" s="8" t="str">
        <f>IF(mgmt_az1_en1_edge_overlay_network_ip_allocation_chosen&lt;&gt;"Static IP List","Inputs are masked out and only required if Static IP List are required",IF(mgmt_ec01_use_host_overlay_chosen="Selected","","Overlay IP Address #01 for Edge Node 1"))</f>
        <v>Inputs are masked out and only required if Static IP List are required</v>
      </c>
    </row>
    <row r="123" spans="2:5" ht="20" customHeight="1" x14ac:dyDescent="0.2">
      <c r="B123" s="4" t="s">
        <v>123</v>
      </c>
      <c r="C123" s="109" t="str">
        <f>CONCATENATE(prefix_mgmt_az1_cidr,"19.3")</f>
        <v>10.11.19.3</v>
      </c>
      <c r="D123" s="66"/>
      <c r="E123" s="8" t="str">
        <f>IF(mgmt_az1_en1_edge_overlay_network_ip_allocation_chosen&lt;&gt;"Static IP List","Inputs are masked out and only required if Static IP List are required",IF(mgmt_ec01_use_host_overlay_chosen="Selected","","Overlay IP Address #02 for Edge Node 1"))</f>
        <v>Inputs are masked out and only required if Static IP List are required</v>
      </c>
    </row>
    <row r="124" spans="2:5" ht="20" customHeight="1" x14ac:dyDescent="0.2">
      <c r="B124" s="4" t="s">
        <v>451</v>
      </c>
      <c r="C124" s="103" t="str">
        <f>CONCATENATE(prefix_mgmt_az1_cidr,"19.0/24")</f>
        <v>10.11.19.0/24</v>
      </c>
      <c r="D124" s="66"/>
      <c r="E124" s="8"/>
    </row>
    <row r="125" spans="2:5" ht="20" customHeight="1" x14ac:dyDescent="0.2">
      <c r="B125" s="4" t="s">
        <v>124</v>
      </c>
      <c r="C125" s="103" t="str">
        <f>CONCATENATE(prefix_mgmt_az1_cidr,"19.1")</f>
        <v>10.11.19.1</v>
      </c>
      <c r="D125" s="66"/>
      <c r="E125" s="4"/>
    </row>
    <row r="126" spans="2:5" ht="20" customHeight="1" x14ac:dyDescent="0.2">
      <c r="B126" s="4" t="s">
        <v>125</v>
      </c>
      <c r="C126" s="65" t="s">
        <v>126</v>
      </c>
      <c r="D126" s="114"/>
      <c r="E126" s="4"/>
    </row>
    <row r="127" spans="2:5" ht="20" customHeight="1" x14ac:dyDescent="0.2">
      <c r="B127" s="424" t="s">
        <v>127</v>
      </c>
      <c r="C127" s="425"/>
      <c r="D127" s="425"/>
      <c r="E127" s="426"/>
    </row>
    <row r="128" spans="2:5" ht="20" customHeight="1" x14ac:dyDescent="0.2">
      <c r="B128" s="4" t="s">
        <v>128</v>
      </c>
      <c r="C128" s="154" t="str">
        <f>CONCATENATE(this_instance,"-m01-en02",".",sample_child_dns_zone)</f>
        <v>sfo-m01-en02.sfo.rainpole.io</v>
      </c>
      <c r="D128" s="66"/>
      <c r="E128" s="4"/>
    </row>
    <row r="129" spans="2:5" ht="20" customHeight="1" x14ac:dyDescent="0.2">
      <c r="B129" s="4" t="s">
        <v>95</v>
      </c>
      <c r="C129" s="65" t="str">
        <f>sample_mgmt_cl01_cluster</f>
        <v>sfo-m01-cl01</v>
      </c>
      <c r="D129" s="134" t="str">
        <f>mgmt_cl01_cluster</f>
        <v>Value Missing</v>
      </c>
      <c r="E129" s="66" t="s">
        <v>96</v>
      </c>
    </row>
    <row r="130" spans="2:5" ht="20" customHeight="1" x14ac:dyDescent="0.2">
      <c r="B130" s="4" t="s">
        <v>97</v>
      </c>
      <c r="C130" s="65" t="str">
        <f>sample_mgmt_ec_rp_name</f>
        <v>sfo-m01-cl01-rp-ec01</v>
      </c>
      <c r="D130" s="134" t="str">
        <f>mgmt_ec_rp_name</f>
        <v>Value Missing</v>
      </c>
      <c r="E130" s="8" t="str">
        <f>IF(input_mgmt_ec_rp_name="","Input is masked out based on based Resource Pool value for Edge node 1","")</f>
        <v>Input is masked out based on based Resource Pool value for Edge node 1</v>
      </c>
    </row>
    <row r="131" spans="2:5" ht="20" customHeight="1" x14ac:dyDescent="0.2">
      <c r="B131" s="4" t="s">
        <v>99</v>
      </c>
      <c r="C131" s="65" t="s">
        <v>100</v>
      </c>
      <c r="D131" s="134" t="str">
        <f>_xlfn.SINGLE(mgmt_ec01_host_group_affinity_rule_chosen)</f>
        <v>No</v>
      </c>
      <c r="E131" s="8" t="s">
        <v>129</v>
      </c>
    </row>
    <row r="132" spans="2:5" ht="20" customHeight="1" x14ac:dyDescent="0.2">
      <c r="B132" s="4" t="s">
        <v>101</v>
      </c>
      <c r="C132" s="65" t="str">
        <f>CONCATENATE(this_instance,"-m01","-host-group-affinity-rule-ec01-en02")</f>
        <v>sfo-m01-host-group-affinity-rule-ec01-en02</v>
      </c>
      <c r="D132" s="114"/>
      <c r="E132" s="8"/>
    </row>
    <row r="133" spans="2:5" ht="20" customHeight="1" x14ac:dyDescent="0.2">
      <c r="B133" s="4" t="s">
        <v>102</v>
      </c>
      <c r="C133" s="65" t="str">
        <f>sample_mgmt_cl01_vsan_datastore</f>
        <v>sfo-m01-cl01-ds-vsan01</v>
      </c>
      <c r="D133" s="134" t="str">
        <f>mgmt_cl01_vsan_datastore</f>
        <v>Value Missing</v>
      </c>
      <c r="E133" s="66" t="s">
        <v>103</v>
      </c>
    </row>
    <row r="134" spans="2:5" ht="20" customHeight="1" x14ac:dyDescent="0.2">
      <c r="B134" s="4" t="s">
        <v>104</v>
      </c>
      <c r="C134" s="109" t="s">
        <v>105</v>
      </c>
      <c r="D134" s="8" t="str">
        <f>mgmt_az1_en1_ip_allocation_chosen</f>
        <v>Static</v>
      </c>
      <c r="E134" s="8" t="s">
        <v>130</v>
      </c>
    </row>
    <row r="135" spans="2:5" ht="20" customHeight="1" x14ac:dyDescent="0.2">
      <c r="B135" s="4" t="s">
        <v>131</v>
      </c>
      <c r="C135" s="109" t="str">
        <f>IF(mgmt_dpg_reuse_result="Excluded",CONCATENATE(prefix_mgmt_az1_cidr,"11.76","/",INT(RIGHT(sample_mgmt_az1_mgmt_vm_gateway_cidr,LEN(sample_mgmt_az1_mgmt_vm_gateway_cidr)-FIND("/",sample_mgmt_az1_mgmt_vm_gateway_cidr)))),CONCATENATE(prefix_mgmt_az1_cidr,"10.76","/",INT(RIGHT(sample_mgmt_az1_mgmt_vm_gateway_cidr,LEN(sample_mgmt_az1_mgmt_vm_gateway_cidr)-FIND("/",sample_mgmt_az1_mgmt_vm_gateway_cidr)))))</f>
        <v>10.11.10.76/24</v>
      </c>
      <c r="D135" s="66"/>
      <c r="E135" s="8" t="str">
        <f>IF(mgmt_az1_en1_ip_allocation_chosen="DHCP","Inputs are masked out and only required if Static IP Allocation is selected","")</f>
        <v/>
      </c>
    </row>
    <row r="136" spans="2:5" ht="20" customHeight="1" x14ac:dyDescent="0.2">
      <c r="B136" s="4" t="s">
        <v>132</v>
      </c>
      <c r="C136" s="65" t="str">
        <f>IF(mgmt_dpg_reuse_result="Excluded",CONCATENATE(prefix_mgmt_az1_cidr,"11.1"),CONCATENATE(prefix_mgmt_az1_cidr,"10.1"))</f>
        <v>10.11.10.1</v>
      </c>
      <c r="D136" s="134" t="str">
        <f>mgmt_az1_mgmt_vm_gateway_ip</f>
        <v>Value Missing</v>
      </c>
      <c r="E136" s="66" t="str">
        <f>IF(mgmt_az1_en1_ip_allocation_chosen="DHCP","Inputs are masked out and only required if Static IP Allocation is selected","Values are set based on VM Management Network configuration in the Deploy Management Domain Tab. Click to Redirect")</f>
        <v>Values are set based on VM Management Network configuration in the Deploy Management Domain Tab. Click to Redirect</v>
      </c>
    </row>
    <row r="137" spans="2:5" ht="20" customHeight="1" x14ac:dyDescent="0.2">
      <c r="B137" s="4" t="s">
        <v>106</v>
      </c>
      <c r="C137" s="109" t="str">
        <f>sample_mgmt_cl01_az1_mgmt_vm_pg</f>
        <v>sfo-m01-cl01-vds01-pg-vm-mgmt</v>
      </c>
      <c r="D137" s="8" t="str">
        <f>mgmt_cl01_az1_mgmt_vm_pg</f>
        <v>Value Missing</v>
      </c>
      <c r="E137" s="66" t="s">
        <v>107</v>
      </c>
    </row>
    <row r="138" spans="2:5" ht="20" customHeight="1" x14ac:dyDescent="0.2">
      <c r="B138" s="4" t="s">
        <v>110</v>
      </c>
      <c r="C138" s="65" t="s">
        <v>111</v>
      </c>
      <c r="D138" s="134" t="str">
        <f>mgmt_ec01_use_host_overlay_chosen</f>
        <v xml:space="preserve">Unselected </v>
      </c>
      <c r="E138" s="8" t="s">
        <v>133</v>
      </c>
    </row>
    <row r="139" spans="2:5" ht="20" customHeight="1" x14ac:dyDescent="0.2">
      <c r="B139" s="424" t="s">
        <v>134</v>
      </c>
      <c r="C139" s="425"/>
      <c r="D139" s="425"/>
      <c r="E139" s="426"/>
    </row>
    <row r="140" spans="2:5" ht="20" customHeight="1" x14ac:dyDescent="0.2">
      <c r="B140" s="4" t="s">
        <v>113</v>
      </c>
      <c r="C140" s="65" t="str">
        <f>IF(mgmt_cl01_vds_profile_chosen="Storage Traffic and NSX Traffic Separation","vmnic4",IF(mgmt_cl01_vds_profile_chosen="NSX Traffic Separation","vmnic2","vmnic0"))</f>
        <v>vmnic0</v>
      </c>
      <c r="D140" s="114"/>
      <c r="E140" s="8" t="s">
        <v>114</v>
      </c>
    </row>
    <row r="141" spans="2:5" ht="20" customHeight="1" x14ac:dyDescent="0.2">
      <c r="B141" s="23" t="s">
        <v>113</v>
      </c>
      <c r="C141" s="65" t="str">
        <f>IF(mgmt_cl01_vds_profile_chosen="Storage Traffic and NSX Traffic Separation","vmnic5",IF(mgmt_cl01_vds_profile_chosen="NSX Traffic Separation","vmnic3","vmnic1"))</f>
        <v>vmnic1</v>
      </c>
      <c r="D141" s="114"/>
      <c r="E141" s="8" t="s">
        <v>856</v>
      </c>
    </row>
    <row r="142" spans="2:5" ht="20" customHeight="1" x14ac:dyDescent="0.2">
      <c r="B142" s="23" t="s">
        <v>115</v>
      </c>
      <c r="C142" s="65" t="str">
        <f>IF(mgmt_cl01_vds_profile_chosen="Storage Traffic and NSX Traffic Separation","vmnic5",IF(mgmt_cl01_vds_profile_chosen="NSX Traffic Separation","vmnic3","vmnic1"))</f>
        <v>vmnic1</v>
      </c>
      <c r="D142" s="114"/>
      <c r="E142" s="8" t="s">
        <v>114</v>
      </c>
    </row>
    <row r="143" spans="2:5" ht="20" customHeight="1" x14ac:dyDescent="0.2">
      <c r="B143" s="30" t="s">
        <v>115</v>
      </c>
      <c r="C143" s="65" t="str">
        <f>IF(mgmt_cl01_vds_profile_chosen="Storage Traffic and NSX Traffic Separation","vmnic4",IF(mgmt_cl01_vds_profile_chosen="NSX Traffic Separation","vmnic2","vmnic0"))</f>
        <v>vmnic0</v>
      </c>
      <c r="D143" s="114"/>
      <c r="E143" s="8" t="s">
        <v>856</v>
      </c>
    </row>
    <row r="144" spans="2:5" ht="20" customHeight="1" x14ac:dyDescent="0.2">
      <c r="B144" s="4" t="s">
        <v>116</v>
      </c>
      <c r="C144" s="103" t="str">
        <f>sample_mgmt_az1_edge_overlay_vlan</f>
        <v>1119</v>
      </c>
      <c r="D144" s="8" t="str">
        <f>mgmt_az1_edge_overlay_vlan</f>
        <v>Value Missing</v>
      </c>
      <c r="E144" s="8" t="str">
        <f>IF(mgmt_ec01_use_host_overlay_chosen="Selected","Inputs are masked out as host overlay network and edge overlay networks will share the same network configuration","Value is set based on VLAN  for Edge node 1 ")</f>
        <v xml:space="preserve">Value is set based on VLAN  for Edge node 1 </v>
      </c>
    </row>
    <row r="145" spans="2:5" ht="20" customHeight="1" x14ac:dyDescent="0.2">
      <c r="B145" s="4" t="s">
        <v>117</v>
      </c>
      <c r="C145" s="65" t="s">
        <v>118</v>
      </c>
      <c r="D145" s="134" t="str">
        <f>mgmt_az1_en1_edge_overlay_network_ip_allocation_chosen</f>
        <v>IP Pool</v>
      </c>
      <c r="E145" s="184" t="s">
        <v>855</v>
      </c>
    </row>
    <row r="146" spans="2:5" ht="20" customHeight="1" x14ac:dyDescent="0.2">
      <c r="B146" s="4" t="s">
        <v>119</v>
      </c>
      <c r="C146" s="65" t="str">
        <f>sample_mgmt_az1_edge_overlay_network_pool_name</f>
        <v>sfo-m01-ip-pool02-edge</v>
      </c>
      <c r="D146" s="134" t="str">
        <f>mgmt_az1_edge_overlay_network_pool_name</f>
        <v>Value Missing</v>
      </c>
      <c r="E146" s="8" t="str">
        <f>IF(mgmt_az1_en1_edge_overlay_network_ip_allocation_chosen&lt;&gt;"IP Pool","Inputs are masked out and only required if IP Pools are required","Value is set based on IP Pool Name for Edge node 1 ")</f>
        <v xml:space="preserve">Value is set based on IP Pool Name for Edge node 1 </v>
      </c>
    </row>
    <row r="147" spans="2:5" ht="20" customHeight="1" x14ac:dyDescent="0.2">
      <c r="B147" s="4" t="s">
        <v>135</v>
      </c>
      <c r="C147" s="109" t="str">
        <f>CONCATENATE(prefix_mgmt_az1_cidr,"19.4")</f>
        <v>10.11.19.4</v>
      </c>
      <c r="D147" s="66"/>
      <c r="E147" s="8" t="str">
        <f>IF(mgmt_az1_en1_edge_overlay_network_ip_allocation_chosen&lt;&gt;"Static IP List","Inputs are masked out and only required if Static IP List are required",IF(mgmt_ec01_use_host_overlay_chosen="Selected","","Overlay IP Address #01 for Edge Node 2"))</f>
        <v>Inputs are masked out and only required if Static IP List are required</v>
      </c>
    </row>
    <row r="148" spans="2:5" ht="20" customHeight="1" x14ac:dyDescent="0.2">
      <c r="B148" s="4" t="s">
        <v>136</v>
      </c>
      <c r="C148" s="109" t="str">
        <f>CONCATENATE(prefix_mgmt_az1_cidr,"19.5")</f>
        <v>10.11.19.5</v>
      </c>
      <c r="D148" s="66"/>
      <c r="E148" s="8" t="str">
        <f>IF(mgmt_az1_en1_edge_overlay_network_ip_allocation_chosen&lt;&gt;"Static IP List","Inputs are masked out and only required if Static IP List are required",IF(mgmt_ec01_use_host_overlay_chosen="Selected","","Overlay IP Address #02 for Edge Node 2"))</f>
        <v>Inputs are masked out and only required if Static IP List are required</v>
      </c>
    </row>
    <row r="149" spans="2:5" ht="20" customHeight="1" x14ac:dyDescent="0.2">
      <c r="B149" s="4" t="s">
        <v>124</v>
      </c>
      <c r="C149" s="65" t="str">
        <f>sample_mgmt_az1_edge_overlay_gateway_ip</f>
        <v>10.11.19.1</v>
      </c>
      <c r="D149" s="8" t="str">
        <f>mgmt_az1_edge_overlay_gateway_ip</f>
        <v>Value Missing</v>
      </c>
      <c r="E149" s="8" t="str">
        <f>IF(mgmt_az1_en1_edge_overlay_network_ip_allocation_chosen&lt;&gt;"Static IP List","Inputs are masked out and only required if Static IP List are required","")</f>
        <v>Inputs are masked out and only required if Static IP List are required</v>
      </c>
    </row>
    <row r="150" spans="2:5" ht="20" customHeight="1" x14ac:dyDescent="0.2">
      <c r="B150" s="4" t="s">
        <v>125</v>
      </c>
      <c r="C150" s="65" t="str">
        <f>sample_mgmt_az1_edge_overlay_mask</f>
        <v>255.255.255.0</v>
      </c>
      <c r="D150" s="134" t="str">
        <f>mgmt_az1_edge_overlay_mask</f>
        <v>Value Missing</v>
      </c>
      <c r="E150" s="8" t="str">
        <f>IF(mgmt_az1_en1_edge_overlay_network_ip_allocation_chosen&lt;&gt;"Static IP List","Inputs are masked out and only required if Static IP List are required","Value is set based on Subnet Mask Value for Edge node 1")</f>
        <v>Inputs are masked out and only required if Static IP List are required</v>
      </c>
    </row>
    <row r="151" spans="2:5" ht="20" customHeight="1" x14ac:dyDescent="0.2">
      <c r="B151" s="424" t="s">
        <v>3856</v>
      </c>
      <c r="C151" s="425"/>
      <c r="D151" s="425"/>
      <c r="E151" s="426"/>
    </row>
    <row r="152" spans="2:5" ht="20" customHeight="1" x14ac:dyDescent="0.2">
      <c r="B152" s="4" t="s">
        <v>137</v>
      </c>
      <c r="C152" s="65" t="s">
        <v>111</v>
      </c>
      <c r="D152" s="114" t="s">
        <v>156</v>
      </c>
      <c r="E152" s="4"/>
    </row>
    <row r="153" spans="2:5" ht="20" customHeight="1" x14ac:dyDescent="0.2">
      <c r="B153" s="4" t="s">
        <v>138</v>
      </c>
      <c r="C153" s="65" t="s">
        <v>139</v>
      </c>
      <c r="D153" s="66"/>
      <c r="E153" s="8" t="str">
        <f>IF(mgmt_az1_ec01_password_creation_chosen="Selected","Inputs are masked out as you have opted to deploy with system generated passwords","Minimum 15 Characters, 1 Uppercase, 1 Special")</f>
        <v>Inputs are masked out as you have opted to deploy with system generated passwords</v>
      </c>
    </row>
    <row r="154" spans="2:5" ht="20" customHeight="1" x14ac:dyDescent="0.2">
      <c r="B154" s="4" t="s">
        <v>140</v>
      </c>
      <c r="C154" s="65" t="s">
        <v>139</v>
      </c>
      <c r="D154" s="66"/>
      <c r="E154" s="8" t="str">
        <f>IF(mgmt_az1_ec01_password_creation_chosen="Selected","Inputs are masked out as you have opted to deploy with system generated passwords","Minimum 15 Characters, 1 Uppercase, 1 Special")</f>
        <v>Inputs are masked out as you have opted to deploy with system generated passwords</v>
      </c>
    </row>
    <row r="155" spans="2:5" ht="20" customHeight="1" x14ac:dyDescent="0.2">
      <c r="B155" s="424" t="s">
        <v>141</v>
      </c>
      <c r="C155" s="425"/>
      <c r="D155" s="425"/>
      <c r="E155" s="426"/>
    </row>
    <row r="156" spans="2:5" ht="20" customHeight="1" x14ac:dyDescent="0.2">
      <c r="B156" s="4" t="s">
        <v>143</v>
      </c>
      <c r="C156" s="65" t="str">
        <f>CONCATENATE(this_instance,"-m01-ec01-t0-gw01")</f>
        <v>sfo-m01-ec01-t0-gw01</v>
      </c>
      <c r="D156" s="66"/>
      <c r="E156" s="4"/>
    </row>
    <row r="157" spans="2:5" ht="20" customHeight="1" x14ac:dyDescent="0.2">
      <c r="B157" s="4" t="s">
        <v>144</v>
      </c>
      <c r="C157" s="65" t="s">
        <v>145</v>
      </c>
      <c r="D157" s="114" t="s">
        <v>861</v>
      </c>
      <c r="E157" s="4"/>
    </row>
    <row r="158" spans="2:5" ht="20" customHeight="1" x14ac:dyDescent="0.2">
      <c r="B158" s="4" t="s">
        <v>146</v>
      </c>
      <c r="C158" s="65" t="s">
        <v>147</v>
      </c>
      <c r="D158" s="114" t="s">
        <v>147</v>
      </c>
      <c r="E158" s="4"/>
    </row>
    <row r="159" spans="2:5" ht="20" customHeight="1" x14ac:dyDescent="0.2">
      <c r="B159" s="4" t="s">
        <v>148</v>
      </c>
      <c r="C159" s="103" t="str">
        <f>IF(mgmt_domain_chosen="First Instance","65101","65201")</f>
        <v>65101</v>
      </c>
      <c r="D159" s="66"/>
      <c r="E159" s="4"/>
    </row>
    <row r="160" spans="2:5" ht="20" customHeight="1" x14ac:dyDescent="0.2">
      <c r="B160" s="424" t="s">
        <v>149</v>
      </c>
      <c r="C160" s="425"/>
      <c r="D160" s="425"/>
      <c r="E160" s="426"/>
    </row>
    <row r="161" spans="2:5" ht="20" customHeight="1" x14ac:dyDescent="0.2">
      <c r="B161" s="67" t="s">
        <v>150</v>
      </c>
      <c r="C161" s="103" t="str">
        <f>CONCATENATE(prefix_mgmt_az1_vlan,"17")</f>
        <v>1117</v>
      </c>
      <c r="D161" s="66"/>
      <c r="E161" s="8" t="s">
        <v>151</v>
      </c>
    </row>
    <row r="162" spans="2:5" ht="20" customHeight="1" x14ac:dyDescent="0.2">
      <c r="B162" s="67" t="s">
        <v>152</v>
      </c>
      <c r="C162" s="109" t="str">
        <f>CONCATENATE(prefix_mgmt_az1_cidr,"17.2","/",INT(RIGHT(sample_mgmt_az1_uplink01_cidr,LEN(sample_mgmt_az1_uplink01_cidr)-FIND("/",sample_mgmt_az1_uplink01_cidr))))</f>
        <v>10.11.17.2/24</v>
      </c>
      <c r="D162" s="66"/>
      <c r="E162" s="8" t="s">
        <v>153</v>
      </c>
    </row>
    <row r="163" spans="2:5" ht="20" customHeight="1" x14ac:dyDescent="0.2">
      <c r="B163" s="67" t="s">
        <v>154</v>
      </c>
      <c r="C163" s="103" t="str">
        <f>CONCATENATE(prefix_mgmt_az1_cidr,"17.10")</f>
        <v>10.11.17.10</v>
      </c>
      <c r="D163" s="66"/>
      <c r="E163" s="8" t="str">
        <f>IF(mgmt_gateway_routing_type_chosen="STATIC","Value is masked out due to Gateway Routing Type. Value is only requied if BGP is selected", "Top of Rack 1 - IP Address")</f>
        <v>Top of Rack 1 - IP Address</v>
      </c>
    </row>
    <row r="164" spans="2:5" ht="20" customHeight="1" x14ac:dyDescent="0.2">
      <c r="B164" s="67" t="s">
        <v>157</v>
      </c>
      <c r="C164" s="65">
        <v>9000</v>
      </c>
      <c r="D164" s="66"/>
      <c r="E164" s="8"/>
    </row>
    <row r="165" spans="2:5" ht="20" customHeight="1" x14ac:dyDescent="0.2">
      <c r="B165" s="67" t="s">
        <v>155</v>
      </c>
      <c r="C165" s="65" t="s">
        <v>156</v>
      </c>
      <c r="D165" s="66" t="s">
        <v>156</v>
      </c>
      <c r="E165" s="8"/>
    </row>
    <row r="166" spans="2:5" ht="20" customHeight="1" x14ac:dyDescent="0.2">
      <c r="B166" s="67" t="s">
        <v>158</v>
      </c>
      <c r="C166" s="103" t="str">
        <f>IF(wld_domain_chosen="First Domain",CONCATENATE(asn_start,asn_instance,asn_mgmt_az1,1),IF(wld_nsxt_federation_result="Included",CONCATENATE(asn_start,asn_instance,asn_mgmt_az1,1),CONCATENATE(asn_start,asn_instance,asn_mgmt_az1,1)))</f>
        <v>65111</v>
      </c>
      <c r="D166" s="66"/>
      <c r="E166" s="333" t="str">
        <f>IF(mgmt_gateway_routing_type_chosen="STATIC","Value is masked out due to Gateway Routing Type. Value is only requied if BGP is selected", "Top of Rack 1 - Autonomous System ID")</f>
        <v>Top of Rack 1 - Autonomous System ID</v>
      </c>
    </row>
    <row r="167" spans="2:5" ht="20" customHeight="1" x14ac:dyDescent="0.2">
      <c r="B167" s="67" t="s">
        <v>159</v>
      </c>
      <c r="C167" s="103" t="s">
        <v>31</v>
      </c>
      <c r="D167" s="66"/>
      <c r="E167" s="333" t="str">
        <f>IF(mgmt_gateway_routing_type_chosen="STATIC","Value is masked out due to Gateway Routing Type. Value is only requied if BGP is selected", "Top of Rack 1 - BGP Neighbor Password")</f>
        <v>Top of Rack 1 - BGP Neighbor Password</v>
      </c>
    </row>
    <row r="168" spans="2:5" ht="20" customHeight="1" x14ac:dyDescent="0.2">
      <c r="B168" s="67" t="s">
        <v>160</v>
      </c>
      <c r="C168" s="103" t="str">
        <f>CONCATENATE(prefix_mgmt_az1_vlan,"18")</f>
        <v>1118</v>
      </c>
      <c r="D168" s="66"/>
      <c r="E168" s="333" t="s">
        <v>161</v>
      </c>
    </row>
    <row r="169" spans="2:5" ht="20" customHeight="1" x14ac:dyDescent="0.2">
      <c r="B169" s="67" t="s">
        <v>152</v>
      </c>
      <c r="C169" s="109" t="str">
        <f>CONCATENATE(prefix_mgmt_az1_cidr,"18.2","/",INT(RIGHT(sample_mgmt_az1_uplink02_cidr,LEN(sample_mgmt_az1_uplink02_cidr)-FIND("/",sample_mgmt_az1_uplink02_cidr))))</f>
        <v>10.11.18.2/24</v>
      </c>
      <c r="D169" s="66"/>
      <c r="E169" s="333" t="s">
        <v>162</v>
      </c>
    </row>
    <row r="170" spans="2:5" ht="20" customHeight="1" x14ac:dyDescent="0.2">
      <c r="B170" s="67" t="s">
        <v>154</v>
      </c>
      <c r="C170" s="103" t="str">
        <f>CONCATENATE(prefix_mgmt_az1_cidr,"18.10")</f>
        <v>10.11.18.10</v>
      </c>
      <c r="D170" s="66"/>
      <c r="E170" s="333" t="str">
        <f>IF(mgmt_gateway_routing_type_chosen="STATIC","Value is masked out due to Gateway Routing Type. Value is only requied if BGP is selected", "Top of Rack 2 - IP Address")</f>
        <v>Top of Rack 2 - IP Address</v>
      </c>
    </row>
    <row r="171" spans="2:5" ht="20" customHeight="1" x14ac:dyDescent="0.2">
      <c r="B171" s="67" t="s">
        <v>157</v>
      </c>
      <c r="C171" s="103">
        <v>9000</v>
      </c>
      <c r="D171" s="66"/>
      <c r="E171" s="333"/>
    </row>
    <row r="172" spans="2:5" ht="20" customHeight="1" x14ac:dyDescent="0.2">
      <c r="B172" s="67" t="s">
        <v>155</v>
      </c>
      <c r="C172" s="65" t="s">
        <v>156</v>
      </c>
      <c r="D172" s="8" t="str">
        <f>mgmt_en01_bfd_chosen</f>
        <v>Selected</v>
      </c>
      <c r="E172" s="333"/>
    </row>
    <row r="173" spans="2:5" ht="20" customHeight="1" x14ac:dyDescent="0.2">
      <c r="B173" s="67" t="s">
        <v>158</v>
      </c>
      <c r="C173" s="103" t="str">
        <f>IF(wld_domain_chosen="First Domain",CONCATENATE(asn_start,asn_instance,asn_mgmt_az1,1),IF(wld_nsxt_federation_result="Included",CONCATENATE(asn_start,asn_instance,asn_mgmt_az1,1),CONCATENATE(asn_start,asn_instance,asn_mgmt_az1,1)))</f>
        <v>65111</v>
      </c>
      <c r="D173" s="66"/>
      <c r="E173" s="8" t="str">
        <f>IF(mgmt_gateway_routing_type_chosen="STATIC","Value is masked out due to Gateway Routing Type. Value is only requied if BGP is selected", "Top of Rack 2 - Autonomous System ID")</f>
        <v>Top of Rack 2 - Autonomous System ID</v>
      </c>
    </row>
    <row r="174" spans="2:5" ht="20" customHeight="1" x14ac:dyDescent="0.2">
      <c r="B174" s="67" t="s">
        <v>159</v>
      </c>
      <c r="C174" s="103" t="s">
        <v>31</v>
      </c>
      <c r="D174" s="66"/>
      <c r="E174" s="8" t="str">
        <f>IF(mgmt_gateway_routing_type_chosen="STATIC","Value is masked out due to Gateway Routing Type. Value is only requied if BGP is selected", "Top of Rack 2 - BGP Neighbor Password")</f>
        <v>Top of Rack 2 - BGP Neighbor Password</v>
      </c>
    </row>
    <row r="175" spans="2:5" ht="20" customHeight="1" x14ac:dyDescent="0.2">
      <c r="B175" s="424" t="s">
        <v>163</v>
      </c>
      <c r="C175" s="425"/>
      <c r="D175" s="425"/>
      <c r="E175" s="426"/>
    </row>
    <row r="176" spans="2:5" ht="20" customHeight="1" x14ac:dyDescent="0.2">
      <c r="B176" s="23" t="s">
        <v>150</v>
      </c>
      <c r="C176" s="65" t="str">
        <f>sample_mgmt_az1_uplink01_vlan</f>
        <v>1117</v>
      </c>
      <c r="D176" s="134" t="str">
        <f>mgmt_az1_uplink01_vlan</f>
        <v>Value Missing</v>
      </c>
      <c r="E176" s="184" t="s">
        <v>151</v>
      </c>
    </row>
    <row r="177" spans="2:5" ht="20" customHeight="1" x14ac:dyDescent="0.2">
      <c r="B177" s="23" t="s">
        <v>152</v>
      </c>
      <c r="C177" s="109" t="str">
        <f>CONCATENATE(prefix_mgmt_az1_cidr,"17.3","/",INT(RIGHT(sample_mgmt_az1_uplink01_cidr,LEN(sample_mgmt_az1_uplink01_cidr)-FIND("/",sample_mgmt_az1_uplink01_cidr))))</f>
        <v>10.11.17.3/24</v>
      </c>
      <c r="D177" s="66"/>
      <c r="E177" s="8" t="s">
        <v>164</v>
      </c>
    </row>
    <row r="178" spans="2:5" ht="20" customHeight="1" x14ac:dyDescent="0.2">
      <c r="B178" s="23" t="s">
        <v>154</v>
      </c>
      <c r="C178" s="65" t="str">
        <f>sample_mgmt_az1_tor1_peer_ip</f>
        <v>10.11.17.10</v>
      </c>
      <c r="D178" s="134" t="str">
        <f>mgmt_az1_tor1_peer_ip</f>
        <v>Value Missing</v>
      </c>
      <c r="E178" s="8" t="s">
        <v>165</v>
      </c>
    </row>
    <row r="179" spans="2:5" ht="20" customHeight="1" x14ac:dyDescent="0.2">
      <c r="B179" s="23" t="s">
        <v>155</v>
      </c>
      <c r="C179" s="65" t="s">
        <v>156</v>
      </c>
      <c r="D179" s="66" t="s">
        <v>156</v>
      </c>
      <c r="E179" s="352"/>
    </row>
    <row r="180" spans="2:5" ht="20" customHeight="1" x14ac:dyDescent="0.2">
      <c r="B180" s="23" t="s">
        <v>157</v>
      </c>
      <c r="C180" s="65">
        <v>9000</v>
      </c>
      <c r="D180" s="8" t="str">
        <f>mgmt_az1_uplink01_mtu</f>
        <v>Value Missing</v>
      </c>
      <c r="E180" s="333"/>
    </row>
    <row r="181" spans="2:5" ht="20" customHeight="1" x14ac:dyDescent="0.2">
      <c r="B181" s="23" t="s">
        <v>158</v>
      </c>
      <c r="C181" s="65" t="str">
        <f>sample_mgmt_az1_tor1_peer_asn</f>
        <v>65111</v>
      </c>
      <c r="D181" s="134" t="str">
        <f>mgmt_az1_tor1_peer_asn</f>
        <v>Value Missing</v>
      </c>
      <c r="E181" s="8" t="s">
        <v>166</v>
      </c>
    </row>
    <row r="182" spans="2:5" ht="20" customHeight="1" x14ac:dyDescent="0.2">
      <c r="B182" s="23" t="s">
        <v>159</v>
      </c>
      <c r="C182" s="65" t="str">
        <f>sample_mgmt_az1_tor1_peer_bgp_password</f>
        <v>VMw@re1!</v>
      </c>
      <c r="D182" s="134" t="str">
        <f>mgmt_az1_tor1_peer_bgp_password</f>
        <v>Value Missing</v>
      </c>
      <c r="E182" s="8" t="s">
        <v>167</v>
      </c>
    </row>
    <row r="183" spans="2:5" ht="20" customHeight="1" x14ac:dyDescent="0.2">
      <c r="B183" s="23" t="s">
        <v>160</v>
      </c>
      <c r="C183" s="65" t="str">
        <f>sample_mgmt_az1_uplink02_vlan</f>
        <v>1118</v>
      </c>
      <c r="D183" s="134" t="str">
        <f>mgmt_az1_uplink02_vlan</f>
        <v>Value Missing</v>
      </c>
      <c r="E183" s="8" t="s">
        <v>161</v>
      </c>
    </row>
    <row r="184" spans="2:5" ht="20" customHeight="1" x14ac:dyDescent="0.2">
      <c r="B184" s="23" t="s">
        <v>152</v>
      </c>
      <c r="C184" s="109" t="str">
        <f>CONCATENATE(prefix_mgmt_az1_cidr,"18.3","/",INT(RIGHT(sample_mgmt_az1_uplink02_cidr,LEN(sample_mgmt_az1_uplink02_cidr)-FIND("/",sample_mgmt_az1_uplink02_cidr))))</f>
        <v>10.11.18.3/24</v>
      </c>
      <c r="D184" s="66"/>
      <c r="E184" s="8" t="s">
        <v>162</v>
      </c>
    </row>
    <row r="185" spans="2:5" ht="20" customHeight="1" x14ac:dyDescent="0.2">
      <c r="B185" s="23" t="s">
        <v>154</v>
      </c>
      <c r="C185" s="65" t="str">
        <f>sample_mgmt_az1_tor2_peer_ip</f>
        <v>10.11.18.10</v>
      </c>
      <c r="D185" s="134" t="str">
        <f>mgmt_az1_tor2_peer_ip</f>
        <v>Value Missing</v>
      </c>
      <c r="E185" s="8" t="s">
        <v>168</v>
      </c>
    </row>
    <row r="186" spans="2:5" ht="20" customHeight="1" x14ac:dyDescent="0.2">
      <c r="B186" s="23" t="s">
        <v>155</v>
      </c>
      <c r="C186" s="65" t="s">
        <v>156</v>
      </c>
      <c r="D186" s="8" t="str">
        <f>mgmt_en02_bfd_chosen</f>
        <v>Selected</v>
      </c>
      <c r="E186" s="333" t="s">
        <v>3833</v>
      </c>
    </row>
    <row r="187" spans="2:5" ht="20" customHeight="1" x14ac:dyDescent="0.2">
      <c r="B187" s="23" t="s">
        <v>157</v>
      </c>
      <c r="C187" s="65">
        <v>9000</v>
      </c>
      <c r="D187" s="8" t="str">
        <f>mgmt_az1_uplink02_mtu</f>
        <v>Value Missing</v>
      </c>
      <c r="E187" s="333"/>
    </row>
    <row r="188" spans="2:5" ht="20" customHeight="1" x14ac:dyDescent="0.2">
      <c r="B188" s="23" t="s">
        <v>158</v>
      </c>
      <c r="C188" s="65" t="str">
        <f>sample_mgmt_az1_tor2_peer_asn</f>
        <v>65111</v>
      </c>
      <c r="D188" s="134" t="str">
        <f>mgmt_az1_tor2_peer_asn</f>
        <v>Value Missing</v>
      </c>
      <c r="E188" s="8" t="s">
        <v>169</v>
      </c>
    </row>
    <row r="189" spans="2:5" ht="20" customHeight="1" x14ac:dyDescent="0.2">
      <c r="B189" s="23" t="s">
        <v>159</v>
      </c>
      <c r="C189" s="65" t="str">
        <f>sample_mgmt_az1_tor2_peer_bgp_password</f>
        <v>VMw@re1!</v>
      </c>
      <c r="D189" s="134" t="str">
        <f>mgmt_az1_tor2_peer_bgp_password</f>
        <v>Value Missing</v>
      </c>
      <c r="E189" s="8" t="s">
        <v>170</v>
      </c>
    </row>
    <row r="190" spans="2:5" ht="20" customHeight="1" x14ac:dyDescent="0.2">
      <c r="B190" s="579" t="s">
        <v>84</v>
      </c>
      <c r="C190" s="580"/>
      <c r="D190" s="580"/>
      <c r="E190" s="581"/>
    </row>
    <row r="191" spans="2:5" ht="20" customHeight="1" x14ac:dyDescent="0.2">
      <c r="B191" s="67" t="s">
        <v>85</v>
      </c>
      <c r="C191" s="65" t="str">
        <f>CONCATENATE(prefix_mgmt_az1_vlan,"98")</f>
        <v>1198</v>
      </c>
      <c r="D191" s="66"/>
      <c r="E191" s="8" t="str">
        <f>IF(mgmt_vns_chosen="Centralized Connectivity","Inputs are masked out and only required if Distributed Connectivity Gateway Type is chosen from the Post-Deployment Option","Needs to be a routable network is customers envoirnment" )</f>
        <v>Needs to be a routable network is customers envoirnment</v>
      </c>
    </row>
    <row r="192" spans="2:5" ht="20" customHeight="1" x14ac:dyDescent="0.2">
      <c r="B192" s="67" t="s">
        <v>86</v>
      </c>
      <c r="C192" s="65" t="str">
        <f>CONCATENATE(prefix_mgmt_az1_cidr,"98.1/24")</f>
        <v>10.11.98.1/24</v>
      </c>
      <c r="D192" s="66"/>
      <c r="E192" s="4"/>
    </row>
    <row r="193" spans="2:5" ht="20" customHeight="1" x14ac:dyDescent="0.2">
      <c r="B193" s="421" t="s">
        <v>171</v>
      </c>
      <c r="C193" s="559"/>
      <c r="D193" s="422"/>
      <c r="E193" s="423"/>
    </row>
    <row r="194" spans="2:5" ht="20" customHeight="1" x14ac:dyDescent="0.2">
      <c r="B194" s="4" t="s">
        <v>3900</v>
      </c>
      <c r="C194" s="65" t="str">
        <f>CONCATENATE(this_instance,"-m01-vpc01-ext-ip-block")</f>
        <v>sfo-m01-vpc01-ext-ip-block</v>
      </c>
      <c r="D194" s="114"/>
      <c r="E194" s="8" t="s">
        <v>172</v>
      </c>
    </row>
    <row r="195" spans="2:5" ht="20" customHeight="1" x14ac:dyDescent="0.2">
      <c r="B195" s="4" t="s">
        <v>3857</v>
      </c>
      <c r="C195" s="65" t="s">
        <v>3858</v>
      </c>
      <c r="D195" s="114"/>
      <c r="E195" s="8" t="s">
        <v>174</v>
      </c>
    </row>
    <row r="196" spans="2:5" ht="20" customHeight="1" x14ac:dyDescent="0.2">
      <c r="B196" s="4" t="s">
        <v>172</v>
      </c>
      <c r="C196" s="65" t="str">
        <f>IF(mgmt_vns_chosen="Distributed Connectivity",CONCATENATE(prefix_mgmt_az1_cidr,"98.0/24"),IF(mgmt_domain_chosen="First Instance","192.168.21.0/24","192.168.31.0/24"))</f>
        <v>192.168.21.0/24</v>
      </c>
      <c r="D196" s="114"/>
      <c r="E196" s="8" t="s">
        <v>173</v>
      </c>
    </row>
    <row r="197" spans="2:5" ht="20" customHeight="1" x14ac:dyDescent="0.2">
      <c r="B197" s="4" t="s">
        <v>3859</v>
      </c>
      <c r="C197" s="65" t="s">
        <v>3899</v>
      </c>
      <c r="D197" s="114"/>
      <c r="E197" s="8"/>
    </row>
    <row r="198" spans="2:5" ht="20" customHeight="1" x14ac:dyDescent="0.2">
      <c r="B198" s="4" t="s">
        <v>3860</v>
      </c>
      <c r="C198" s="65" t="s">
        <v>100</v>
      </c>
      <c r="D198" s="114"/>
      <c r="E198" s="8"/>
    </row>
    <row r="199" spans="2:5" ht="20" customHeight="1" x14ac:dyDescent="0.2">
      <c r="B199" s="4" t="s">
        <v>3901</v>
      </c>
      <c r="C199" s="65" t="str">
        <f>CONCATENATE(this_instance,"-m01-vpc01-priv-ip-block")</f>
        <v>sfo-m01-vpc01-priv-ip-block</v>
      </c>
      <c r="D199" s="114"/>
      <c r="E199" s="8"/>
    </row>
    <row r="200" spans="2:5" ht="20" customHeight="1" x14ac:dyDescent="0.2">
      <c r="B200" s="4" t="s">
        <v>3857</v>
      </c>
      <c r="C200" s="65" t="s">
        <v>3898</v>
      </c>
      <c r="D200" s="114"/>
      <c r="E200" s="8"/>
    </row>
    <row r="201" spans="2:5" ht="20" customHeight="1" x14ac:dyDescent="0.2">
      <c r="B201" s="4" t="s">
        <v>174</v>
      </c>
      <c r="C201" s="65" t="s">
        <v>3903</v>
      </c>
      <c r="D201" s="114"/>
      <c r="E201" s="8" t="s">
        <v>175</v>
      </c>
    </row>
    <row r="202" spans="2:5" ht="20" customHeight="1" x14ac:dyDescent="0.2">
      <c r="B202" s="4" t="s">
        <v>3859</v>
      </c>
      <c r="C202" s="65" t="s">
        <v>3899</v>
      </c>
      <c r="D202" s="114"/>
      <c r="E202" s="8"/>
    </row>
    <row r="203" spans="2:5" ht="20" customHeight="1" x14ac:dyDescent="0.2">
      <c r="B203" s="4" t="s">
        <v>3860</v>
      </c>
      <c r="C203" s="65" t="s">
        <v>100</v>
      </c>
      <c r="D203" s="114"/>
      <c r="E203" s="8"/>
    </row>
    <row r="204" spans="2:5" ht="20" customHeight="1" x14ac:dyDescent="0.2">
      <c r="B204" s="421" t="s">
        <v>3894</v>
      </c>
      <c r="C204" s="559"/>
      <c r="D204" s="422"/>
      <c r="E204" s="423"/>
    </row>
    <row r="205" spans="2:5" ht="20" customHeight="1" x14ac:dyDescent="0.2">
      <c r="B205" s="4" t="s">
        <v>204</v>
      </c>
      <c r="C205" s="65" t="str">
        <f>CONCATENATE(this_instance,"-m0",wld_domain_number_chosen,"-vnac01")</f>
        <v>sfo-m01-vnac01</v>
      </c>
      <c r="D205" s="66"/>
      <c r="E205" s="8" t="s">
        <v>3902</v>
      </c>
    </row>
    <row r="206" spans="2:5" ht="20" customHeight="1" x14ac:dyDescent="0.2">
      <c r="B206" s="4" t="s">
        <v>3889</v>
      </c>
      <c r="C206" s="65" t="s">
        <v>92</v>
      </c>
      <c r="D206" s="66" t="s">
        <v>92</v>
      </c>
      <c r="E206" s="8"/>
    </row>
    <row r="207" spans="2:5" ht="20" customHeight="1" x14ac:dyDescent="0.2">
      <c r="B207" s="421" t="s">
        <v>3896</v>
      </c>
      <c r="C207" s="559"/>
      <c r="D207" s="422"/>
      <c r="E207" s="423"/>
    </row>
    <row r="208" spans="2:5" ht="20" customHeight="1" x14ac:dyDescent="0.2">
      <c r="B208" s="4" t="s">
        <v>3890</v>
      </c>
      <c r="C208" s="65" t="str">
        <f>CONCATENATE(this_instance,"-m0",wld_domain_number_chosen,"-vna01",".",sample_child_dns_zone)</f>
        <v>sfo-m01-vna01.sfo.rainpole.io</v>
      </c>
      <c r="D208" s="66"/>
      <c r="E208" s="8"/>
    </row>
    <row r="209" spans="2:5" ht="20" customHeight="1" x14ac:dyDescent="0.2">
      <c r="B209" s="4" t="s">
        <v>3891</v>
      </c>
      <c r="C209" s="65" t="str">
        <f>CONCATENATE(this_instance,"-m01-cl01")</f>
        <v>sfo-m01-cl01</v>
      </c>
      <c r="D209" s="8" t="str">
        <f>mgmt_cl01_cluster</f>
        <v>Value Missing</v>
      </c>
      <c r="E209" s="66" t="s">
        <v>96</v>
      </c>
    </row>
    <row r="210" spans="2:5" ht="20" customHeight="1" x14ac:dyDescent="0.2">
      <c r="B210" s="4" t="s">
        <v>97</v>
      </c>
      <c r="C210" s="65" t="str">
        <f>CONCATENATE(this_instance,"-m01-cl01-rp-vna01")</f>
        <v>sfo-m01-cl01-rp-vna01</v>
      </c>
      <c r="D210" s="66"/>
      <c r="E210" s="8" t="s">
        <v>98</v>
      </c>
    </row>
    <row r="211" spans="2:5" ht="20" customHeight="1" x14ac:dyDescent="0.2">
      <c r="B211" s="4" t="s">
        <v>844</v>
      </c>
      <c r="C211" s="65" t="str">
        <f>IF(mgmt_principal_storage_chosen="VMFS on Fibre Channel (FC)",CONCATENATE(this_instance,"-m01-cl01-ds-vmfs01"),IF(mgmt_principal_storage_chosen="NFSv3",CONCATENATE(this_instance,"-m01-cl01-ds-nfs01"),CONCATENATE(this_instance,"-m01-cl01-ds-vsan01")))</f>
        <v>sfo-m01-cl01-ds-vsan01</v>
      </c>
      <c r="D211" s="8" t="str">
        <f>mgmt_cl01_vsan_datastore</f>
        <v>Value Missing</v>
      </c>
      <c r="E211" s="66" t="s">
        <v>103</v>
      </c>
    </row>
    <row r="212" spans="2:5" ht="20" customHeight="1" x14ac:dyDescent="0.2">
      <c r="B212" s="4" t="s">
        <v>3892</v>
      </c>
      <c r="C212" s="65" t="s">
        <v>3713</v>
      </c>
      <c r="D212" s="66" t="s">
        <v>3713</v>
      </c>
      <c r="E212" s="8"/>
    </row>
    <row r="213" spans="2:5" ht="20" customHeight="1" x14ac:dyDescent="0.2">
      <c r="B213" s="4" t="s">
        <v>3840</v>
      </c>
      <c r="C213" s="65" t="s">
        <v>105</v>
      </c>
      <c r="D213" s="66" t="s">
        <v>105</v>
      </c>
      <c r="E213" s="8"/>
    </row>
    <row r="214" spans="2:5" ht="20" customHeight="1" x14ac:dyDescent="0.2">
      <c r="B214" s="4" t="s">
        <v>3893</v>
      </c>
      <c r="C214" s="65" t="str">
        <f>IF(mgmt_dpg_reuse_result="Excluded",CONCATENATE(prefix_mgmt_az1_cidr,"11.77/24"),CONCATENATE(prefix_mgmt_az1_cidr,"10.77/24"))</f>
        <v>10.11.10.77/24</v>
      </c>
      <c r="D214" s="66"/>
      <c r="E214" s="8"/>
    </row>
    <row r="215" spans="2:5" ht="20" customHeight="1" x14ac:dyDescent="0.2">
      <c r="B215" s="4" t="s">
        <v>247</v>
      </c>
      <c r="C215" s="65" t="str">
        <f>IF(mgmt_dpg_reuse_result="Excluded",CONCATENATE(prefix_mgmt_az1_cidr,"11.1"),CONCATENATE(prefix_mgmt_az1_cidr,"10.1"))</f>
        <v>10.11.10.1</v>
      </c>
      <c r="D215" s="8" t="str">
        <f>mgmt_az1_mgmt_vm_gateway_ip</f>
        <v>Value Missing</v>
      </c>
      <c r="E215" s="66" t="str">
        <f>IF(mgmt_az1_en1_ip_allocation_chosen="DHCP","Inputs are masked out and only required if Static IP Allocation is selected","Values are set based on VM Management Network configuration in the Deploy Management Domain Tab. Click to Redirect")</f>
        <v>Values are set based on VM Management Network configuration in the Deploy Management Domain Tab. Click to Redirect</v>
      </c>
    </row>
    <row r="216" spans="2:5" ht="20" customHeight="1" x14ac:dyDescent="0.2">
      <c r="B216" s="4" t="s">
        <v>106</v>
      </c>
      <c r="C216" s="65" t="str">
        <f>CONCATENATE(this_instance,"-m01-cl01-vds01-pg-vm-mgmt")</f>
        <v>sfo-m01-cl01-vds01-pg-vm-mgmt</v>
      </c>
      <c r="D216" s="8" t="str">
        <f>mgmt_cl01_az1_mgmt_vm_pg</f>
        <v>Value Missing</v>
      </c>
      <c r="E216" s="66" t="s">
        <v>107</v>
      </c>
    </row>
    <row r="217" spans="2:5" ht="20" customHeight="1" x14ac:dyDescent="0.2">
      <c r="B217" s="421" t="s">
        <v>3895</v>
      </c>
      <c r="C217" s="559"/>
      <c r="D217" s="422"/>
      <c r="E217" s="423"/>
    </row>
    <row r="218" spans="2:5" ht="20" customHeight="1" x14ac:dyDescent="0.2">
      <c r="B218" s="4" t="s">
        <v>3890</v>
      </c>
      <c r="C218" s="65" t="str">
        <f>CONCATENATE(this_instance,"-m0",wld_domain_number_chosen,"-vna02",".",sample_child_dns_zone)</f>
        <v>sfo-m01-vna02.sfo.rainpole.io</v>
      </c>
      <c r="D218" s="66"/>
      <c r="E218" s="8"/>
    </row>
    <row r="219" spans="2:5" ht="20" customHeight="1" x14ac:dyDescent="0.2">
      <c r="B219" s="4" t="s">
        <v>3891</v>
      </c>
      <c r="C219" s="65" t="str">
        <f>CONCATENATE(this_instance,"-m01-cl01")</f>
        <v>sfo-m01-cl01</v>
      </c>
      <c r="D219" s="8" t="str">
        <f>mgmt_cl01_cluster</f>
        <v>Value Missing</v>
      </c>
      <c r="E219" s="66" t="s">
        <v>96</v>
      </c>
    </row>
    <row r="220" spans="2:5" ht="20" customHeight="1" x14ac:dyDescent="0.2">
      <c r="B220" s="4" t="s">
        <v>97</v>
      </c>
      <c r="C220" s="65" t="str">
        <f>CONCATENATE(this_instance,"-m01-cl01-rp-vna01")</f>
        <v>sfo-m01-cl01-rp-vna01</v>
      </c>
      <c r="D220" s="8" t="str" cm="1">
        <f t="array" ref="D220">mgmt_vna_rp_name</f>
        <v>Value Missing</v>
      </c>
      <c r="E220" s="8" t="s">
        <v>98</v>
      </c>
    </row>
    <row r="221" spans="2:5" ht="20" customHeight="1" x14ac:dyDescent="0.2">
      <c r="B221" s="4" t="s">
        <v>844</v>
      </c>
      <c r="C221" s="65" t="str">
        <f>IF(mgmt_principal_storage_chosen="VMFS on Fibre Channel (FC)",CONCATENATE(this_instance,"-m01-cl01-ds-vmfs01"),IF(mgmt_principal_storage_chosen="NFSv3",CONCATENATE(this_instance,"-m01-cl01-ds-nfs01"),CONCATENATE(this_instance,"-m01-cl01-ds-vsan01")))</f>
        <v>sfo-m01-cl01-ds-vsan01</v>
      </c>
      <c r="D221" s="8" t="str">
        <f>mgmt_cl01_vsan_datastore</f>
        <v>Value Missing</v>
      </c>
      <c r="E221" s="66" t="s">
        <v>103</v>
      </c>
    </row>
    <row r="222" spans="2:5" ht="20" customHeight="1" x14ac:dyDescent="0.2">
      <c r="B222" s="4" t="s">
        <v>3892</v>
      </c>
      <c r="C222" s="65" t="s">
        <v>3713</v>
      </c>
      <c r="D222" s="8" t="str">
        <f>mgmt_vna_ip_assignment_address_type_chosen</f>
        <v>IPv4</v>
      </c>
      <c r="E222" s="8"/>
    </row>
    <row r="223" spans="2:5" ht="20" customHeight="1" x14ac:dyDescent="0.2">
      <c r="B223" s="4" t="s">
        <v>3840</v>
      </c>
      <c r="C223" s="65" t="s">
        <v>105</v>
      </c>
      <c r="D223" s="8" t="str" cm="1">
        <f t="array" ref="D223">mgmt_vna_ip_assignment_chosen</f>
        <v>Static</v>
      </c>
      <c r="E223" s="8"/>
    </row>
    <row r="224" spans="2:5" ht="20" customHeight="1" x14ac:dyDescent="0.2">
      <c r="B224" s="4" t="s">
        <v>3893</v>
      </c>
      <c r="C224" s="65" t="str">
        <f>IF(mgmt_dpg_reuse_result="Excluded",CONCATENATE(prefix_mgmt_az1_cidr,"11.78/24"),CONCATENATE(prefix_mgmt_az1_cidr,"10.78/24"))</f>
        <v>10.11.10.78/24</v>
      </c>
      <c r="D224" s="66"/>
      <c r="E224" s="8"/>
    </row>
    <row r="225" spans="2:5" ht="20" customHeight="1" x14ac:dyDescent="0.2">
      <c r="B225" s="4" t="s">
        <v>247</v>
      </c>
      <c r="C225" s="65" t="str">
        <f>IF(mgmt_dpg_reuse_result="Excluded",CONCATENATE(prefix_mgmt_az1_cidr,"11.1"),CONCATENATE(prefix_mgmt_az1_cidr,"10.1"))</f>
        <v>10.11.10.1</v>
      </c>
      <c r="D225" s="8" t="str">
        <f>mgmt_az1_mgmt_vm_gateway_ip</f>
        <v>Value Missing</v>
      </c>
      <c r="E225" s="66" t="str">
        <f>IF(mgmt_az1_en1_ip_allocation_chosen="DHCP","Inputs are masked out and only required if Static IP Allocation is selected","Values are set based on VM Management Network configuration in the Deploy Management Domain Tab. Click to Redirect")</f>
        <v>Values are set based on VM Management Network configuration in the Deploy Management Domain Tab. Click to Redirect</v>
      </c>
    </row>
    <row r="226" spans="2:5" ht="20" customHeight="1" x14ac:dyDescent="0.2">
      <c r="B226" s="4" t="s">
        <v>106</v>
      </c>
      <c r="C226" s="65" t="str">
        <f>CONCATENATE(this_instance,"-m01-cl01-vds01-pg-vm-mgmt")</f>
        <v>sfo-m01-cl01-vds01-pg-vm-mgmt</v>
      </c>
      <c r="D226" s="8" t="str">
        <f>mgmt_cl01_az1_mgmt_vm_pg</f>
        <v>Value Missing</v>
      </c>
      <c r="E226" s="66" t="s">
        <v>107</v>
      </c>
    </row>
    <row r="227" spans="2:5" ht="20" customHeight="1" x14ac:dyDescent="0.2">
      <c r="B227" s="421" t="s">
        <v>176</v>
      </c>
      <c r="C227" s="422"/>
      <c r="D227" s="422"/>
      <c r="E227" s="423"/>
    </row>
    <row r="228" spans="2:5" ht="20" customHeight="1" x14ac:dyDescent="0.2">
      <c r="B228" s="4" t="s">
        <v>177</v>
      </c>
      <c r="C228" s="103" t="s">
        <v>178</v>
      </c>
      <c r="D228" s="116" t="s">
        <v>13</v>
      </c>
      <c r="E228" s="4" t="str">
        <f>IF(mgmt_ec_api_chosen="Exclude","","Use the JSON Generator to create the JSON Spec ")</f>
        <v/>
      </c>
    </row>
    <row r="229" spans="2:5" ht="20" customHeight="1" x14ac:dyDescent="0.2">
      <c r="B229" s="424" t="s">
        <v>179</v>
      </c>
      <c r="C229" s="425"/>
      <c r="D229" s="425"/>
      <c r="E229" s="426"/>
    </row>
    <row r="230" spans="2:5" ht="20" customHeight="1" x14ac:dyDescent="0.2">
      <c r="B230" s="4" t="s">
        <v>180</v>
      </c>
      <c r="C230" s="103" t="str">
        <f>CONCATENATE(this_instance,"-m01-cl01-vds01-pg-uplink01")</f>
        <v>sfo-m01-cl01-vds01-pg-uplink01</v>
      </c>
      <c r="D230" s="114"/>
      <c r="E230" s="43" t="s">
        <v>181</v>
      </c>
    </row>
    <row r="231" spans="2:5" ht="20" customHeight="1" x14ac:dyDescent="0.2">
      <c r="B231" s="4" t="s">
        <v>182</v>
      </c>
      <c r="C231" s="103" t="str">
        <f>CONCATENATE(prefix_mgmt_az1_cidr,"17.1")</f>
        <v>10.11.17.1</v>
      </c>
      <c r="D231" s="114"/>
      <c r="E231" s="42"/>
    </row>
    <row r="232" spans="2:5" ht="20" customHeight="1" x14ac:dyDescent="0.2">
      <c r="B232" s="4" t="s">
        <v>183</v>
      </c>
      <c r="C232" s="103" t="str">
        <f>CONCATENATE(prefix_mgmt_az1_cidr,"17.0/24")</f>
        <v>10.11.17.0/24</v>
      </c>
      <c r="D232" s="114"/>
      <c r="E232" s="42"/>
    </row>
    <row r="233" spans="2:5" ht="20" customHeight="1" x14ac:dyDescent="0.2">
      <c r="B233" s="424" t="s">
        <v>184</v>
      </c>
      <c r="C233" s="425"/>
      <c r="D233" s="425"/>
      <c r="E233" s="426"/>
    </row>
    <row r="234" spans="2:5" ht="20" customHeight="1" x14ac:dyDescent="0.2">
      <c r="B234" s="4" t="s">
        <v>180</v>
      </c>
      <c r="C234" s="103" t="str">
        <f>CONCATENATE(this_instance,"-m01-cl01-vds01-pg-uplink02")</f>
        <v>sfo-m01-cl01-vds01-pg-uplink02</v>
      </c>
      <c r="D234" s="114"/>
      <c r="E234" s="43" t="s">
        <v>181</v>
      </c>
    </row>
    <row r="235" spans="2:5" ht="20" customHeight="1" x14ac:dyDescent="0.2">
      <c r="B235" s="4" t="s">
        <v>182</v>
      </c>
      <c r="C235" s="103" t="str">
        <f>CONCATENATE(prefix_mgmt_az1_cidr,"18.1")</f>
        <v>10.11.18.1</v>
      </c>
      <c r="D235" s="114"/>
      <c r="E235" s="42"/>
    </row>
    <row r="236" spans="2:5" ht="20" customHeight="1" x14ac:dyDescent="0.2">
      <c r="B236" s="4" t="s">
        <v>183</v>
      </c>
      <c r="C236" s="103" t="str">
        <f>CONCATENATE(prefix_mgmt_az1_cidr,"18.0/24")</f>
        <v>10.11.18.0/24</v>
      </c>
      <c r="D236" s="114"/>
      <c r="E236" s="42"/>
    </row>
    <row r="237" spans="2:5" ht="20" customHeight="1" x14ac:dyDescent="0.2">
      <c r="B237" s="424" t="s">
        <v>185</v>
      </c>
      <c r="C237" s="425"/>
      <c r="D237" s="425"/>
      <c r="E237" s="426"/>
    </row>
    <row r="238" spans="2:5" ht="20" customHeight="1" x14ac:dyDescent="0.2">
      <c r="B238" s="4" t="s">
        <v>157</v>
      </c>
      <c r="C238" s="103">
        <v>9000</v>
      </c>
      <c r="D238" s="114"/>
      <c r="E238" s="42"/>
    </row>
    <row r="239" spans="2:5" ht="16" customHeight="1" thickBot="1" x14ac:dyDescent="0.25"/>
    <row r="240" spans="2:5" ht="34" customHeight="1" thickBot="1" x14ac:dyDescent="0.25">
      <c r="B240" s="573" t="s">
        <v>3904</v>
      </c>
      <c r="C240" s="574"/>
      <c r="D240" s="574"/>
      <c r="E240" s="575"/>
    </row>
    <row r="241" spans="2:5" ht="20" customHeight="1" x14ac:dyDescent="0.2">
      <c r="B241" s="421" t="s">
        <v>3915</v>
      </c>
      <c r="C241" s="422"/>
      <c r="D241" s="422"/>
      <c r="E241" s="423"/>
    </row>
    <row r="242" spans="2:5" ht="20" customHeight="1" x14ac:dyDescent="0.2">
      <c r="B242" s="4" t="s">
        <v>3905</v>
      </c>
      <c r="C242" s="103" t="s">
        <v>3909</v>
      </c>
      <c r="D242" s="116" t="s">
        <v>3931</v>
      </c>
      <c r="E242" s="42"/>
    </row>
    <row r="243" spans="2:5" ht="20" customHeight="1" x14ac:dyDescent="0.2">
      <c r="B243" s="421" t="s">
        <v>3906</v>
      </c>
      <c r="C243" s="422"/>
      <c r="D243" s="422"/>
      <c r="E243" s="423"/>
    </row>
    <row r="244" spans="2:5" ht="20" customHeight="1" x14ac:dyDescent="0.2">
      <c r="B244" s="4" t="s">
        <v>3906</v>
      </c>
      <c r="C244" s="103" t="s">
        <v>3907</v>
      </c>
      <c r="D244" s="116" t="s">
        <v>3907</v>
      </c>
      <c r="E244" s="42"/>
    </row>
    <row r="245" spans="2:5" ht="20" customHeight="1" x14ac:dyDescent="0.2">
      <c r="B245" s="4" t="s">
        <v>3908</v>
      </c>
      <c r="C245" s="103" t="str">
        <f>CONCATENATE(this_instance,"-m01-sn01")</f>
        <v>sfo-m01-sn01</v>
      </c>
      <c r="D245" s="116"/>
      <c r="E245" s="42"/>
    </row>
    <row r="246" spans="2:5" ht="20" customHeight="1" x14ac:dyDescent="0.2">
      <c r="B246" s="4" t="s">
        <v>3910</v>
      </c>
      <c r="C246" s="103" t="s">
        <v>156</v>
      </c>
      <c r="D246" s="116" t="s">
        <v>156</v>
      </c>
      <c r="E246" s="42"/>
    </row>
    <row r="247" spans="2:5" ht="20" customHeight="1" x14ac:dyDescent="0.2">
      <c r="B247" s="4" t="s">
        <v>1730</v>
      </c>
      <c r="C247" s="103" t="str">
        <f>CONCATENATE(this_instance,"-m01-cl01")</f>
        <v>sfo-m01-cl01</v>
      </c>
      <c r="D247" s="116" t="str">
        <f>mgmt_cl01_cluster</f>
        <v>Value Missing</v>
      </c>
      <c r="E247" s="42"/>
    </row>
    <row r="248" spans="2:5" ht="20" customHeight="1" x14ac:dyDescent="0.2">
      <c r="B248" s="4" t="s">
        <v>3911</v>
      </c>
      <c r="C248" s="103" t="str">
        <f>CONCATENATE(this_instance,"-m01-zn01")</f>
        <v>sfo-m01-zn01</v>
      </c>
      <c r="D248" s="116"/>
      <c r="E248" s="42"/>
    </row>
    <row r="249" spans="2:5" ht="20" customHeight="1" x14ac:dyDescent="0.2">
      <c r="B249" s="421" t="s">
        <v>728</v>
      </c>
      <c r="C249" s="422"/>
      <c r="D249" s="422"/>
      <c r="E249" s="423"/>
    </row>
    <row r="250" spans="2:5" ht="20" customHeight="1" x14ac:dyDescent="0.2">
      <c r="B250" s="4" t="s">
        <v>3912</v>
      </c>
      <c r="C250" s="103" t="str">
        <f>CONCATENATE(this_instance,"-m01-cl01 - Optimal Datastore Default Policy - AutoRAID")</f>
        <v>sfo-m01-cl01 - Optimal Datastore Default Policy - AutoRAID</v>
      </c>
      <c r="D250" s="116"/>
      <c r="E250" s="42"/>
    </row>
    <row r="251" spans="2:5" ht="20" customHeight="1" x14ac:dyDescent="0.2">
      <c r="B251" s="4" t="s">
        <v>3913</v>
      </c>
      <c r="C251" s="103" t="str">
        <f>CONCATENATE(this_instance,"-m01-cl01 - Optimal Datastore Default Policy - AutoRAID")</f>
        <v>sfo-m01-cl01 - Optimal Datastore Default Policy - AutoRAID</v>
      </c>
      <c r="D251" s="116"/>
      <c r="E251" s="42"/>
    </row>
    <row r="252" spans="2:5" ht="20" customHeight="1" x14ac:dyDescent="0.2">
      <c r="B252" s="4" t="s">
        <v>3914</v>
      </c>
      <c r="C252" s="103" t="str">
        <f>CONCATENATE(this_instance,"-m01-cl01 - Optimal Datastore Default Policy - AutoRAID")</f>
        <v>sfo-m01-cl01 - Optimal Datastore Default Policy - AutoRAID</v>
      </c>
      <c r="D252" s="116"/>
      <c r="E252" s="42"/>
    </row>
    <row r="253" spans="2:5" ht="20" customHeight="1" x14ac:dyDescent="0.2">
      <c r="B253" s="421" t="s">
        <v>273</v>
      </c>
      <c r="C253" s="422"/>
      <c r="D253" s="422"/>
      <c r="E253" s="423"/>
    </row>
    <row r="254" spans="2:5" ht="20" customHeight="1" x14ac:dyDescent="0.2">
      <c r="B254" s="4" t="s">
        <v>3916</v>
      </c>
      <c r="C254" s="103" t="s">
        <v>105</v>
      </c>
      <c r="D254" s="116" t="s">
        <v>105</v>
      </c>
      <c r="E254" s="42"/>
    </row>
    <row r="255" spans="2:5" ht="20" customHeight="1" x14ac:dyDescent="0.2">
      <c r="B255" s="4" t="s">
        <v>245</v>
      </c>
      <c r="C255" s="103" t="str">
        <f>CONCATENATE(this_instance,"-m01-cl01-vds01-pg-vm-mgmt")</f>
        <v>sfo-m01-cl01-vds01-pg-vm-mgmt</v>
      </c>
      <c r="D255" s="116" t="str">
        <f>mgmt_cl01_az1_mgmt_vm_pg</f>
        <v>Value Missing</v>
      </c>
      <c r="E255" s="42"/>
    </row>
    <row r="256" spans="2:5" ht="20" customHeight="1" x14ac:dyDescent="0.2">
      <c r="B256" s="4" t="s">
        <v>3917</v>
      </c>
      <c r="C256" s="103" t="str">
        <f>IF(mgmt_dpg_reuse_result="Excluded",CONCATENATE(prefix_mgmt_az1_cidr,"11.201"," - ",prefix_mgmt_az1_cidr,"11.205"),CONCATENATE(prefix_mgmt_az1_cidr,"10.201"," - ",prefix_mgmt_az1_cidr,"10.205"))</f>
        <v>10.11.10.201 - 10.11.10.205</v>
      </c>
      <c r="D256" s="116"/>
      <c r="E256" s="42"/>
    </row>
    <row r="257" spans="2:5" ht="20" customHeight="1" x14ac:dyDescent="0.2">
      <c r="B257" s="4" t="s">
        <v>246</v>
      </c>
      <c r="C257" s="103" t="s">
        <v>126</v>
      </c>
      <c r="D257" s="116" t="str">
        <f>mgmt_az1_mgmt_vm_mask</f>
        <v>Value Missing</v>
      </c>
      <c r="E257" s="42"/>
    </row>
    <row r="258" spans="2:5" ht="20" customHeight="1" x14ac:dyDescent="0.2">
      <c r="B258" s="4" t="s">
        <v>182</v>
      </c>
      <c r="C258" s="103" t="str">
        <f>IF(mgmt_dpg_reuse_result="Excluded",CONCATENATE(prefix_mgmt_az1_cidr,"11.1"),CONCATENATE(prefix_mgmt_az1_cidr,"10.1"))</f>
        <v>10.11.10.1</v>
      </c>
      <c r="D258" s="116" t="str">
        <f>mgmt_az1_mgmt_vm_gateway_ip</f>
        <v>Value Missing</v>
      </c>
    </row>
    <row r="259" spans="2:5" ht="20" customHeight="1" x14ac:dyDescent="0.2">
      <c r="B259" s="4" t="s">
        <v>565</v>
      </c>
      <c r="C259" s="103" t="str">
        <f>IF(mgmt_dpg_reuse_result="Included",CONCATENATE(prefix_mgmt_az1_cidr,"10.4",",",,prefix_mgmt_az1_cidr,"10.5"),CONCATENATE(prefix_mgmt_az1_cidr,"11.4",",",,prefix_mgmt_az1_cidr,"11.5"))</f>
        <v>10.11.10.4,10.11.10.5</v>
      </c>
      <c r="D259" s="116"/>
      <c r="E259" s="42"/>
    </row>
    <row r="260" spans="2:5" ht="20" customHeight="1" x14ac:dyDescent="0.2">
      <c r="B260" s="4" t="s">
        <v>3918</v>
      </c>
      <c r="C260" s="103" t="str">
        <f>CONCATENATE(this_instance,".rainpole.io",",","rainpole.io")</f>
        <v>sfo.rainpole.io,rainpole.io</v>
      </c>
      <c r="D260" s="116"/>
      <c r="E260" s="42"/>
    </row>
    <row r="261" spans="2:5" ht="20" customHeight="1" x14ac:dyDescent="0.2">
      <c r="B261" s="4" t="s">
        <v>3919</v>
      </c>
      <c r="C261" s="103" t="str">
        <f>CONCATENATE("ntp0.",this_instance,".rainpole.io",",","ntp1.",this_instance,".rainpole.io")</f>
        <v>ntp0.sfo.rainpole.io,ntp1.sfo.rainpole.io</v>
      </c>
      <c r="D261" s="116"/>
      <c r="E261" s="42"/>
    </row>
    <row r="262" spans="2:5" ht="20" customHeight="1" x14ac:dyDescent="0.2">
      <c r="B262" s="421" t="s">
        <v>3920</v>
      </c>
      <c r="C262" s="422"/>
      <c r="D262" s="422"/>
      <c r="E262" s="423"/>
    </row>
    <row r="263" spans="2:5" ht="20" customHeight="1" x14ac:dyDescent="0.2">
      <c r="B263" s="4" t="s">
        <v>801</v>
      </c>
      <c r="C263" s="103" t="s">
        <v>745</v>
      </c>
      <c r="D263" s="116"/>
      <c r="E263" s="42"/>
    </row>
    <row r="264" spans="2:5" ht="20" customHeight="1" x14ac:dyDescent="0.2">
      <c r="B264" s="4" t="s">
        <v>802</v>
      </c>
      <c r="C264" s="103" t="s">
        <v>3926</v>
      </c>
      <c r="D264" s="116"/>
      <c r="E264" s="42"/>
    </row>
    <row r="265" spans="2:5" ht="20" customHeight="1" x14ac:dyDescent="0.2">
      <c r="B265" s="4" t="s">
        <v>3921</v>
      </c>
      <c r="C265" s="65" t="str">
        <f>CONCATENATE(this_instance,"-m01-vpc01-ext-ip-block")</f>
        <v>sfo-m01-vpc01-ext-ip-block</v>
      </c>
      <c r="D265" s="116"/>
      <c r="E265" s="42"/>
    </row>
    <row r="266" spans="2:5" ht="20" customHeight="1" x14ac:dyDescent="0.2">
      <c r="B266" s="4" t="s">
        <v>3922</v>
      </c>
      <c r="C266" s="65" t="str">
        <f>CONCATENATE(this_instance,"-m01-vpc01-priv-ip-block")</f>
        <v>sfo-m01-vpc01-priv-ip-block</v>
      </c>
      <c r="D266" s="116"/>
      <c r="E266" s="42"/>
    </row>
    <row r="267" spans="2:5" ht="20" customHeight="1" x14ac:dyDescent="0.2">
      <c r="B267" s="4" t="s">
        <v>3923</v>
      </c>
      <c r="C267" s="103" t="s">
        <v>3932</v>
      </c>
      <c r="D267" s="116"/>
      <c r="E267" s="42"/>
    </row>
    <row r="268" spans="2:5" ht="20" customHeight="1" x14ac:dyDescent="0.2">
      <c r="B268" s="4" t="s">
        <v>797</v>
      </c>
      <c r="C268" s="103" t="s">
        <v>3933</v>
      </c>
      <c r="D268" s="116"/>
      <c r="E268" s="42"/>
    </row>
    <row r="269" spans="2:5" ht="20" customHeight="1" x14ac:dyDescent="0.2">
      <c r="B269" s="4" t="s">
        <v>3924</v>
      </c>
      <c r="C269" s="103" t="str">
        <f>IF(mgmt_dpg_reuse_result="Included",CONCATENATE(prefix_mgmt_az1_cidr,"10.4",",",,prefix_mgmt_az1_cidr,"10.5"),CONCATENATE(prefix_mgmt_az1_cidr,"11.4",",",,prefix_mgmt_az1_cidr,"11.5"))</f>
        <v>10.11.10.4,10.11.10.5</v>
      </c>
      <c r="D269" s="116"/>
      <c r="E269" s="42"/>
    </row>
    <row r="270" spans="2:5" ht="20" customHeight="1" x14ac:dyDescent="0.2">
      <c r="B270" s="4" t="s">
        <v>3925</v>
      </c>
      <c r="C270" s="103" t="str">
        <f>CONCATENATE("ntp0.",this_instance,".rainpole.io"," , ","ntp0.",this_instance,".rainpole.io")</f>
        <v>ntp0.sfo.rainpole.io , ntp0.sfo.rainpole.io</v>
      </c>
      <c r="D270" s="116"/>
      <c r="E270" s="42"/>
    </row>
    <row r="271" spans="2:5" ht="20" customHeight="1" x14ac:dyDescent="0.2">
      <c r="B271" s="421" t="s">
        <v>3927</v>
      </c>
      <c r="C271" s="422"/>
      <c r="D271" s="422"/>
      <c r="E271" s="423"/>
    </row>
    <row r="272" spans="2:5" ht="20" customHeight="1" x14ac:dyDescent="0.2">
      <c r="B272" s="4" t="s">
        <v>3928</v>
      </c>
      <c r="C272" s="103" t="s">
        <v>539</v>
      </c>
      <c r="D272" s="116" t="s">
        <v>539</v>
      </c>
      <c r="E272" s="42"/>
    </row>
    <row r="273" spans="2:7" ht="20" customHeight="1" x14ac:dyDescent="0.2">
      <c r="B273" s="4" t="s">
        <v>3929</v>
      </c>
      <c r="C273" s="103" t="str">
        <f>CONCATENATE(this_instance,"-m01-supervisor.",sample_child_dns_zone)</f>
        <v>sfo-m01-supervisor.sfo.rainpole.io</v>
      </c>
      <c r="D273" s="116"/>
      <c r="E273" s="42"/>
    </row>
    <row r="274" spans="2:7" ht="16" customHeight="1" thickBot="1" x14ac:dyDescent="0.25"/>
    <row r="275" spans="2:7" ht="34" customHeight="1" x14ac:dyDescent="0.2">
      <c r="B275" s="573" t="s">
        <v>186</v>
      </c>
      <c r="C275" s="574"/>
      <c r="D275" s="574"/>
      <c r="E275" s="575"/>
      <c r="G275" s="36"/>
    </row>
    <row r="276" spans="2:7" ht="20" customHeight="1" x14ac:dyDescent="0.2">
      <c r="B276" s="421" t="s">
        <v>187</v>
      </c>
      <c r="C276" s="422"/>
      <c r="D276" s="422"/>
      <c r="E276" s="423"/>
    </row>
    <row r="277" spans="2:7" ht="20" customHeight="1" x14ac:dyDescent="0.2">
      <c r="B277" s="62" t="s">
        <v>18</v>
      </c>
      <c r="C277" s="63" t="s">
        <v>19</v>
      </c>
      <c r="D277" s="63" t="s">
        <v>20</v>
      </c>
      <c r="E277" s="63" t="s">
        <v>21</v>
      </c>
    </row>
    <row r="278" spans="2:7" ht="20" customHeight="1" x14ac:dyDescent="0.2">
      <c r="B278" s="421" t="s">
        <v>188</v>
      </c>
      <c r="C278" s="422"/>
      <c r="D278" s="422"/>
      <c r="E278" s="423"/>
      <c r="G278" s="36"/>
    </row>
    <row r="279" spans="2:7" ht="20" customHeight="1" x14ac:dyDescent="0.2">
      <c r="B279" s="4" t="s">
        <v>189</v>
      </c>
      <c r="C279" s="65" t="s">
        <v>190</v>
      </c>
      <c r="D279" s="66"/>
      <c r="E279" s="4"/>
    </row>
    <row r="280" spans="2:7" ht="20" customHeight="1" x14ac:dyDescent="0.2">
      <c r="B280" s="421" t="s">
        <v>191</v>
      </c>
      <c r="C280" s="559"/>
      <c r="D280" s="422"/>
      <c r="E280" s="423"/>
    </row>
    <row r="281" spans="2:7" ht="20" customHeight="1" x14ac:dyDescent="0.2">
      <c r="B281" s="4" t="s">
        <v>88</v>
      </c>
      <c r="C281" s="65" t="s">
        <v>92</v>
      </c>
      <c r="D281" s="8" t="s">
        <v>92</v>
      </c>
      <c r="E281" s="4"/>
    </row>
    <row r="282" spans="2:7" ht="20" customHeight="1" x14ac:dyDescent="0.2">
      <c r="B282" s="421" t="s">
        <v>192</v>
      </c>
      <c r="C282" s="559"/>
      <c r="D282" s="422"/>
      <c r="E282" s="423"/>
    </row>
    <row r="283" spans="2:7" ht="20" customHeight="1" x14ac:dyDescent="0.2">
      <c r="B283" s="4" t="s">
        <v>193</v>
      </c>
      <c r="C283" s="65" t="s">
        <v>139</v>
      </c>
      <c r="D283" s="66"/>
      <c r="E283" s="8" t="s">
        <v>194</v>
      </c>
      <c r="G283" s="36"/>
    </row>
    <row r="284" spans="2:7" ht="20" customHeight="1" x14ac:dyDescent="0.2">
      <c r="B284" s="4" t="s">
        <v>195</v>
      </c>
      <c r="C284" s="109" t="str">
        <f>IF(mgmt_dpg_reuse_result="Included",CONCATENATE(prefix_mgmt_az1_cidr,"10.92"),CONCATENATE(prefix_mgmt_az1_cidr,"11.92"))</f>
        <v>10.11.10.92</v>
      </c>
      <c r="D284" s="157"/>
      <c r="E284" s="8" t="s">
        <v>196</v>
      </c>
    </row>
    <row r="285" spans="2:7" ht="20" customHeight="1" x14ac:dyDescent="0.2">
      <c r="B285" s="4" t="s">
        <v>197</v>
      </c>
      <c r="C285" s="109" t="str">
        <f>IF(mgmt_dpg_reuse_result="Included",CONCATENATE(prefix_mgmt_az1_cidr,"10.93"),CONCATENATE(prefix_mgmt_az1_cidr,"11.93"))</f>
        <v>10.11.10.93</v>
      </c>
      <c r="D285" s="157"/>
      <c r="E285" s="8" t="s">
        <v>198</v>
      </c>
    </row>
    <row r="286" spans="2:7" ht="20" customHeight="1" x14ac:dyDescent="0.2">
      <c r="B286" s="4" t="s">
        <v>199</v>
      </c>
      <c r="C286" s="109" t="str">
        <f>IF(mgmt_dpg_reuse_result="Included",CONCATENATE(prefix_mgmt_az1_cidr,"10.94"),CONCATENATE(prefix_mgmt_az1_cidr,"11.94"))</f>
        <v>10.11.10.94</v>
      </c>
      <c r="D286" s="157"/>
      <c r="E286" s="8" t="s">
        <v>200</v>
      </c>
    </row>
    <row r="287" spans="2:7" ht="20" customHeight="1" x14ac:dyDescent="0.2">
      <c r="B287" s="4" t="s">
        <v>201</v>
      </c>
      <c r="C287" s="109" t="str">
        <f>IF(mgmt_dpg_reuse_result="Included",CONCATENATE(prefix_mgmt_az1_cidr,"10.91"),CONCATENATE(prefix_mgmt_az1_cidr,"11.91"))</f>
        <v>10.11.10.91</v>
      </c>
      <c r="D287" s="157"/>
      <c r="E287" s="8" t="s">
        <v>202</v>
      </c>
    </row>
    <row r="288" spans="2:7" ht="20" customHeight="1" x14ac:dyDescent="0.2">
      <c r="B288" s="4" t="s">
        <v>203</v>
      </c>
      <c r="C288" s="65" t="str">
        <f>CONCATENATE(this_instance,"-m01-avilb01",".",sample_child_dns_zone)</f>
        <v>sfo-m01-avilb01.sfo.rainpole.io</v>
      </c>
      <c r="D288" s="66"/>
      <c r="E288" s="4"/>
    </row>
    <row r="289" spans="2:7" ht="20" customHeight="1" x14ac:dyDescent="0.2">
      <c r="B289" s="4" t="s">
        <v>204</v>
      </c>
      <c r="C289" s="65" t="str">
        <f>CONCATENATE(this_instance,"-m01-cl01-avilb01")</f>
        <v>sfo-m01-cl01-avilb01</v>
      </c>
      <c r="D289" s="66"/>
      <c r="E289" s="4"/>
    </row>
    <row r="290" spans="2:7" ht="16" customHeight="1" x14ac:dyDescent="0.2"/>
    <row r="291" spans="2:7" ht="34" customHeight="1" x14ac:dyDescent="0.2">
      <c r="B291" s="573" t="s">
        <v>3654</v>
      </c>
      <c r="C291" s="574"/>
      <c r="D291" s="574"/>
      <c r="E291" s="575"/>
      <c r="G291" s="36"/>
    </row>
    <row r="292" spans="2:7" ht="16" customHeight="1" x14ac:dyDescent="0.2">
      <c r="G292" s="36"/>
    </row>
    <row r="293" spans="2:7" ht="34" customHeight="1" x14ac:dyDescent="0.2">
      <c r="B293" s="569" t="s">
        <v>205</v>
      </c>
      <c r="C293" s="570"/>
      <c r="D293" s="570"/>
      <c r="E293" s="571"/>
    </row>
    <row r="294" spans="2:7" ht="20" customHeight="1" x14ac:dyDescent="0.2">
      <c r="B294" s="62" t="s">
        <v>18</v>
      </c>
      <c r="C294" s="63" t="s">
        <v>19</v>
      </c>
      <c r="D294" s="63" t="s">
        <v>20</v>
      </c>
      <c r="E294" s="63" t="s">
        <v>21</v>
      </c>
    </row>
    <row r="295" spans="2:7" ht="20" customHeight="1" x14ac:dyDescent="0.2">
      <c r="B295" s="424" t="s">
        <v>206</v>
      </c>
      <c r="C295" s="425"/>
      <c r="D295" s="425"/>
      <c r="E295" s="426"/>
    </row>
    <row r="296" spans="2:7" ht="20" customHeight="1" x14ac:dyDescent="0.2">
      <c r="B296" s="4" t="s">
        <v>85</v>
      </c>
      <c r="C296" s="103" t="str">
        <f>CONCATENATE(prefix_mgmt_az2_vlan,"11")</f>
        <v>1211</v>
      </c>
      <c r="D296" s="66"/>
      <c r="E296" s="113"/>
    </row>
    <row r="297" spans="2:7" ht="20" customHeight="1" x14ac:dyDescent="0.2">
      <c r="B297" s="4" t="s">
        <v>182</v>
      </c>
      <c r="C297" s="103" t="str">
        <f>CONCATENATE(prefix_mgmt_az2_cidr,"11.1")</f>
        <v>10.12.11.1</v>
      </c>
      <c r="D297" s="66"/>
      <c r="E297" s="42"/>
    </row>
    <row r="298" spans="2:7" ht="20" customHeight="1" x14ac:dyDescent="0.2">
      <c r="B298" s="4" t="s">
        <v>183</v>
      </c>
      <c r="C298" s="103" t="str">
        <f>CONCATENATE(prefix_mgmt_az2_cidr,"11.0/24")</f>
        <v>10.12.11.0/24</v>
      </c>
      <c r="D298" s="66"/>
      <c r="E298" s="42"/>
    </row>
    <row r="299" spans="2:7" ht="20" customHeight="1" x14ac:dyDescent="0.2">
      <c r="B299" s="4" t="s">
        <v>157</v>
      </c>
      <c r="C299" s="103">
        <v>1500</v>
      </c>
      <c r="D299" s="66"/>
      <c r="E299" s="42"/>
    </row>
    <row r="300" spans="2:7" ht="20" customHeight="1" x14ac:dyDescent="0.2">
      <c r="B300" s="556" t="s">
        <v>207</v>
      </c>
      <c r="C300" s="557"/>
      <c r="D300" s="557"/>
      <c r="E300" s="558"/>
    </row>
    <row r="301" spans="2:7" ht="20" customHeight="1" x14ac:dyDescent="0.2">
      <c r="B301" s="23" t="s">
        <v>208</v>
      </c>
      <c r="C301" s="162" t="str">
        <f>CONCATENATE(prefix_mgmt_az2_cidr,"11.101")</f>
        <v>10.12.11.101</v>
      </c>
      <c r="D301" s="66"/>
      <c r="E301" s="163" t="s">
        <v>209</v>
      </c>
    </row>
    <row r="302" spans="2:7" ht="20" customHeight="1" x14ac:dyDescent="0.2">
      <c r="B302" s="23" t="s">
        <v>210</v>
      </c>
      <c r="C302" s="162" t="str">
        <f>CONCATENATE(prefix_mgmt_az2_cidr,"11.102")</f>
        <v>10.12.11.102</v>
      </c>
      <c r="D302" s="66"/>
      <c r="E302" s="163" t="s">
        <v>211</v>
      </c>
    </row>
    <row r="303" spans="2:7" ht="20" customHeight="1" x14ac:dyDescent="0.2">
      <c r="B303" s="23" t="s">
        <v>212</v>
      </c>
      <c r="C303" s="162" t="str">
        <f>CONCATENATE(prefix_mgmt_az2_cidr,"11.103")</f>
        <v>10.12.11.103</v>
      </c>
      <c r="D303" s="66"/>
      <c r="E303" s="163" t="s">
        <v>213</v>
      </c>
    </row>
    <row r="304" spans="2:7" ht="20" customHeight="1" x14ac:dyDescent="0.2">
      <c r="B304" s="23" t="s">
        <v>214</v>
      </c>
      <c r="C304" s="162" t="str">
        <f>CONCATENATE(prefix_mgmt_az2_cidr,"11.104")</f>
        <v>10.12.11.104</v>
      </c>
      <c r="D304" s="66"/>
      <c r="E304" s="163" t="s">
        <v>215</v>
      </c>
    </row>
    <row r="305" spans="2:7" ht="20" customHeight="1" x14ac:dyDescent="0.2">
      <c r="B305" s="23" t="s">
        <v>216</v>
      </c>
      <c r="C305" s="162" t="str">
        <f>CONCATENATE(prefix_mgmt_az2_cidr,"11.105")</f>
        <v>10.12.11.105</v>
      </c>
      <c r="D305" s="66"/>
      <c r="E305" s="163" t="s">
        <v>217</v>
      </c>
    </row>
    <row r="306" spans="2:7" ht="20" customHeight="1" x14ac:dyDescent="0.2">
      <c r="B306" s="23" t="s">
        <v>218</v>
      </c>
      <c r="C306" s="162" t="str">
        <f>CONCATENATE(prefix_mgmt_az2_cidr,"11.106")</f>
        <v>10.12.11.106</v>
      </c>
      <c r="D306" s="66"/>
      <c r="E306" s="163" t="s">
        <v>219</v>
      </c>
    </row>
    <row r="307" spans="2:7" ht="20" customHeight="1" x14ac:dyDescent="0.2">
      <c r="B307" s="23" t="s">
        <v>220</v>
      </c>
      <c r="C307" s="162" t="str">
        <f>CONCATENATE(prefix_mgmt_az2_cidr,"11.107")</f>
        <v>10.12.11.107</v>
      </c>
      <c r="D307" s="66"/>
      <c r="E307" s="163" t="s">
        <v>221</v>
      </c>
    </row>
    <row r="308" spans="2:7" ht="20" customHeight="1" x14ac:dyDescent="0.2">
      <c r="B308" s="23" t="s">
        <v>222</v>
      </c>
      <c r="C308" s="162" t="str">
        <f>CONCATENATE(prefix_mgmt_az2_cidr,"11.108")</f>
        <v>10.12.11.108</v>
      </c>
      <c r="D308" s="66"/>
      <c r="E308" s="163" t="s">
        <v>223</v>
      </c>
    </row>
    <row r="309" spans="2:7" ht="20" customHeight="1" x14ac:dyDescent="0.2">
      <c r="B309" s="23" t="s">
        <v>224</v>
      </c>
      <c r="C309" s="162" t="str">
        <f>CONCATENATE(prefix_mgmt_az2_cidr,"11.109")</f>
        <v>10.12.11.109</v>
      </c>
      <c r="D309" s="66"/>
      <c r="E309" s="163" t="s">
        <v>225</v>
      </c>
    </row>
    <row r="310" spans="2:7" ht="20" customHeight="1" x14ac:dyDescent="0.2">
      <c r="B310" s="23" t="s">
        <v>226</v>
      </c>
      <c r="C310" s="162" t="str">
        <f>CONCATENATE(prefix_mgmt_az2_cidr,"11.110")</f>
        <v>10.12.11.110</v>
      </c>
      <c r="D310" s="66"/>
      <c r="E310" s="163" t="s">
        <v>227</v>
      </c>
    </row>
    <row r="311" spans="2:7" ht="20" customHeight="1" x14ac:dyDescent="0.2">
      <c r="B311" s="23" t="s">
        <v>228</v>
      </c>
      <c r="C311" s="162" t="str">
        <f>CONCATENATE(prefix_mgmt_az2_cidr,"11.111")</f>
        <v>10.12.11.111</v>
      </c>
      <c r="D311" s="66"/>
      <c r="E311" s="163" t="s">
        <v>229</v>
      </c>
    </row>
    <row r="312" spans="2:7" ht="20" customHeight="1" x14ac:dyDescent="0.2">
      <c r="B312" s="23" t="s">
        <v>230</v>
      </c>
      <c r="C312" s="162" t="str">
        <f>CONCATENATE(prefix_mgmt_az2_cidr,"11.112")</f>
        <v>10.12.11.112</v>
      </c>
      <c r="D312" s="66"/>
      <c r="E312" s="163" t="s">
        <v>231</v>
      </c>
    </row>
    <row r="313" spans="2:7" ht="20" customHeight="1" x14ac:dyDescent="0.2">
      <c r="B313" s="23" t="s">
        <v>232</v>
      </c>
      <c r="C313" s="162" t="str">
        <f>CONCATENATE(prefix_mgmt_az2_cidr,"11.113")</f>
        <v>10.12.11.113</v>
      </c>
      <c r="D313" s="66"/>
      <c r="E313" s="163" t="s">
        <v>233</v>
      </c>
    </row>
    <row r="314" spans="2:7" ht="20" customHeight="1" x14ac:dyDescent="0.2">
      <c r="B314" s="23" t="s">
        <v>234</v>
      </c>
      <c r="C314" s="162" t="str">
        <f>CONCATENATE(prefix_mgmt_az2_cidr,"11.114")</f>
        <v>10.12.11.114</v>
      </c>
      <c r="D314" s="66"/>
      <c r="E314" s="163" t="s">
        <v>235</v>
      </c>
    </row>
    <row r="315" spans="2:7" ht="20" customHeight="1" x14ac:dyDescent="0.2">
      <c r="B315" s="23" t="s">
        <v>236</v>
      </c>
      <c r="C315" s="162" t="str">
        <f>CONCATENATE(prefix_mgmt_az2_cidr,"11.115")</f>
        <v>10.12.11.115</v>
      </c>
      <c r="D315" s="66"/>
      <c r="E315" s="163" t="s">
        <v>237</v>
      </c>
    </row>
    <row r="316" spans="2:7" ht="20" customHeight="1" x14ac:dyDescent="0.2">
      <c r="B316" s="23" t="s">
        <v>238</v>
      </c>
      <c r="C316" s="162" t="str">
        <f>CONCATENATE(prefix_mgmt_az2_cidr,"11.116")</f>
        <v>10.12.11.116</v>
      </c>
      <c r="D316" s="66"/>
      <c r="E316" s="163" t="s">
        <v>239</v>
      </c>
    </row>
    <row r="317" spans="2:7" ht="16" customHeight="1" x14ac:dyDescent="0.2">
      <c r="G317" s="36"/>
    </row>
    <row r="318" spans="2:7" ht="34" customHeight="1" x14ac:dyDescent="0.2">
      <c r="B318" s="569" t="s">
        <v>240</v>
      </c>
      <c r="C318" s="570"/>
      <c r="D318" s="570"/>
      <c r="E318" s="571"/>
    </row>
    <row r="319" spans="2:7" ht="20" customHeight="1" x14ac:dyDescent="0.2">
      <c r="B319" s="62" t="s">
        <v>18</v>
      </c>
      <c r="C319" s="63" t="s">
        <v>19</v>
      </c>
      <c r="D319" s="63" t="s">
        <v>20</v>
      </c>
      <c r="E319" s="63" t="s">
        <v>21</v>
      </c>
    </row>
    <row r="320" spans="2:7" ht="20" customHeight="1" x14ac:dyDescent="0.2">
      <c r="B320" s="4" t="s">
        <v>241</v>
      </c>
      <c r="C320" s="65" t="s">
        <v>242</v>
      </c>
      <c r="D320" s="155" t="s">
        <v>242</v>
      </c>
      <c r="E320" s="8" t="str">
        <f>IF(mgmt_az2_reuse_vcf_networkpool_chosen="Re-use an existing VCF Network Pool","An exisiting VCF Network Pool will be reused","A new VCF Network Pool will be created")</f>
        <v>A new VCF Network Pool will be created</v>
      </c>
    </row>
    <row r="321" spans="2:5" ht="20" customHeight="1" x14ac:dyDescent="0.2">
      <c r="B321" s="23" t="s">
        <v>243</v>
      </c>
      <c r="C321" s="164" t="str">
        <f>CONCATENATE(this_instance,"02-m01-r01-network-pool-01")</f>
        <v>sfo02-m01-r01-network-pool-01</v>
      </c>
      <c r="D321" s="165"/>
      <c r="E321" s="42"/>
    </row>
    <row r="322" spans="2:5" ht="20" customHeight="1" x14ac:dyDescent="0.2">
      <c r="B322" s="424" t="s">
        <v>244</v>
      </c>
      <c r="C322" s="425"/>
      <c r="D322" s="425"/>
      <c r="E322" s="426"/>
    </row>
    <row r="323" spans="2:5" ht="20" customHeight="1" x14ac:dyDescent="0.2">
      <c r="B323" s="4" t="s">
        <v>85</v>
      </c>
      <c r="C323" s="103" t="str">
        <f>CONCATENATE(prefix_mgmt_az2_vlan,"12")</f>
        <v>1212</v>
      </c>
      <c r="D323" s="66"/>
      <c r="E323" s="174" t="str">
        <f>IF(mgmt_az2_reuse_vcf_networkpool_chosen="Re-use an existing VCF Network Pool", "Inputs are masked out as existing VCF Network Pool will be used","")</f>
        <v/>
      </c>
    </row>
    <row r="324" spans="2:5" ht="20" customHeight="1" x14ac:dyDescent="0.2">
      <c r="B324" s="4" t="s">
        <v>157</v>
      </c>
      <c r="C324" s="103">
        <v>9000</v>
      </c>
      <c r="D324" s="66"/>
      <c r="E324" s="42"/>
    </row>
    <row r="325" spans="2:5" ht="20" customHeight="1" x14ac:dyDescent="0.2">
      <c r="B325" s="4" t="s">
        <v>245</v>
      </c>
      <c r="C325" s="103" t="str">
        <f>CONCATENATE(prefix_mgmt_az2_cidr,"12.0")</f>
        <v>10.12.12.0</v>
      </c>
      <c r="D325" s="66"/>
      <c r="E325" s="42"/>
    </row>
    <row r="326" spans="2:5" ht="20" customHeight="1" x14ac:dyDescent="0.2">
      <c r="B326" s="4" t="s">
        <v>246</v>
      </c>
      <c r="C326" s="103" t="s">
        <v>126</v>
      </c>
      <c r="D326" s="66"/>
      <c r="E326" s="42"/>
    </row>
    <row r="327" spans="2:5" ht="20" customHeight="1" x14ac:dyDescent="0.2">
      <c r="B327" s="4" t="s">
        <v>247</v>
      </c>
      <c r="C327" s="103" t="str">
        <f>CONCATENATE(prefix_mgmt_az2_cidr,"12.1")</f>
        <v>10.12.12.1</v>
      </c>
      <c r="D327" s="66"/>
      <c r="E327" s="42"/>
    </row>
    <row r="328" spans="2:5" ht="20" customHeight="1" x14ac:dyDescent="0.2">
      <c r="B328" s="23" t="s">
        <v>248</v>
      </c>
      <c r="C328" s="103" t="str">
        <f>CONCATENATE(prefix_mgmt_az2_cidr,"12.101")</f>
        <v>10.12.12.101</v>
      </c>
      <c r="D328" s="66"/>
      <c r="E328" s="42"/>
    </row>
    <row r="329" spans="2:5" ht="20" customHeight="1" x14ac:dyDescent="0.2">
      <c r="B329" s="23" t="s">
        <v>249</v>
      </c>
      <c r="C329" s="103" t="str">
        <f>CONCATENATE(prefix_mgmt_az2_cidr,"12.116")</f>
        <v>10.12.12.116</v>
      </c>
      <c r="D329" s="66"/>
      <c r="E329" s="42"/>
    </row>
    <row r="330" spans="2:5" ht="20" customHeight="1" x14ac:dyDescent="0.2">
      <c r="B330" s="424" t="s">
        <v>250</v>
      </c>
      <c r="C330" s="425"/>
      <c r="D330" s="425"/>
      <c r="E330" s="426"/>
    </row>
    <row r="331" spans="2:5" ht="20" customHeight="1" x14ac:dyDescent="0.2">
      <c r="B331" s="4" t="s">
        <v>85</v>
      </c>
      <c r="C331" s="103" t="str">
        <f>CONCATENATE(prefix_mgmt_az2_vlan,"13")</f>
        <v>1213</v>
      </c>
      <c r="D331" s="66"/>
      <c r="E331" s="43" t="str">
        <f>IF(mgmt_az2_reuse_vcf_networkpool_chosen="Re-use an existing VCF Network Pool", "Inputs are masked out as existing VCF Network Pool will be used","")</f>
        <v/>
      </c>
    </row>
    <row r="332" spans="2:5" ht="20" customHeight="1" x14ac:dyDescent="0.2">
      <c r="B332" s="4" t="s">
        <v>157</v>
      </c>
      <c r="C332" s="103">
        <v>9000</v>
      </c>
      <c r="D332" s="66"/>
      <c r="E332" s="42"/>
    </row>
    <row r="333" spans="2:5" ht="20" customHeight="1" x14ac:dyDescent="0.2">
      <c r="B333" s="4" t="s">
        <v>245</v>
      </c>
      <c r="C333" s="103" t="str">
        <f>CONCATENATE(prefix_mgmt_az2_cidr,"13.0")</f>
        <v>10.12.13.0</v>
      </c>
      <c r="D333" s="66"/>
      <c r="E333" s="80"/>
    </row>
    <row r="334" spans="2:5" ht="20" customHeight="1" x14ac:dyDescent="0.2">
      <c r="B334" s="4" t="s">
        <v>246</v>
      </c>
      <c r="C334" s="103" t="s">
        <v>126</v>
      </c>
      <c r="D334" s="66"/>
      <c r="E334" s="80"/>
    </row>
    <row r="335" spans="2:5" ht="20" customHeight="1" x14ac:dyDescent="0.2">
      <c r="B335" s="4" t="s">
        <v>247</v>
      </c>
      <c r="C335" s="103" t="str">
        <f>CONCATENATE(prefix_mgmt_az2_cidr,"13.1")</f>
        <v>10.12.13.1</v>
      </c>
      <c r="D335" s="66"/>
      <c r="E335" s="42" t="str">
        <f>IF(AND(mgmt_stretched_cluster_result="Included",mgmt_dpg_reuse_result="Excluded"),"Stretched L2","")</f>
        <v/>
      </c>
    </row>
    <row r="336" spans="2:5" ht="20" customHeight="1" x14ac:dyDescent="0.2">
      <c r="B336" s="23" t="s">
        <v>248</v>
      </c>
      <c r="C336" s="103" t="str">
        <f>CONCATENATE(prefix_mgmt_az2_cidr,"13.101")</f>
        <v>10.12.13.101</v>
      </c>
      <c r="D336" s="66"/>
      <c r="E336" s="80"/>
    </row>
    <row r="337" spans="2:5" ht="20" customHeight="1" x14ac:dyDescent="0.2">
      <c r="B337" s="23" t="s">
        <v>249</v>
      </c>
      <c r="C337" s="103" t="str">
        <f>CONCATENATE(prefix_mgmt_az2_cidr,"13.116")</f>
        <v>10.12.13.116</v>
      </c>
      <c r="D337" s="66"/>
      <c r="E337" s="80"/>
    </row>
    <row r="338" spans="2:5" ht="20" customHeight="1" x14ac:dyDescent="0.2">
      <c r="B338" s="424" t="s">
        <v>251</v>
      </c>
      <c r="C338" s="425"/>
      <c r="D338" s="425"/>
      <c r="E338" s="426"/>
    </row>
    <row r="339" spans="2:5" ht="20" customHeight="1" x14ac:dyDescent="0.2">
      <c r="B339" s="4" t="s">
        <v>85</v>
      </c>
      <c r="C339" s="166" t="str">
        <f>CONCATENATE(prefix_mgmt_az2_vlan,"15")</f>
        <v>1215</v>
      </c>
      <c r="D339" s="66"/>
      <c r="E339" s="43" t="str">
        <f>IF(mgmt_az2_reuse_vcf_networkpool_chosen="Re-use an existing VCF Network Pool", "Inputs are masked out as existing VCF Network Pool will be used",IF(mgmt_principal_storage_chosen&lt;&gt;"NFSv3","Input is masked out and only required if configuring NFS Storage",""))</f>
        <v>Input is masked out and only required if configuring NFS Storage</v>
      </c>
    </row>
    <row r="340" spans="2:5" ht="20" customHeight="1" x14ac:dyDescent="0.2">
      <c r="B340" s="4" t="s">
        <v>157</v>
      </c>
      <c r="C340" s="167">
        <v>9000</v>
      </c>
      <c r="D340" s="66"/>
      <c r="E340" s="42"/>
    </row>
    <row r="341" spans="2:5" ht="20" customHeight="1" x14ac:dyDescent="0.2">
      <c r="B341" s="4" t="s">
        <v>245</v>
      </c>
      <c r="C341" s="167" t="str">
        <f>CONCATENATE(prefix_mgmt_az2_cidr,"15.0")</f>
        <v>10.12.15.0</v>
      </c>
      <c r="D341" s="66"/>
      <c r="E341" s="80"/>
    </row>
    <row r="342" spans="2:5" ht="20" customHeight="1" x14ac:dyDescent="0.2">
      <c r="B342" s="4" t="s">
        <v>246</v>
      </c>
      <c r="C342" s="167" t="s">
        <v>126</v>
      </c>
      <c r="D342" s="66"/>
      <c r="E342" s="80"/>
    </row>
    <row r="343" spans="2:5" ht="20" customHeight="1" x14ac:dyDescent="0.2">
      <c r="B343" s="4" t="s">
        <v>247</v>
      </c>
      <c r="C343" s="167" t="str">
        <f>CONCATENATE(prefix_mgmt_az2_cidr,"15.1")</f>
        <v>10.12.15.1</v>
      </c>
      <c r="D343" s="66"/>
      <c r="E343" s="42" t="str">
        <f>IF(AND(mgmt_stretched_cluster_result="Included",mgmt_dpg_reuse_result="Excluded"),"Stretched L2","")</f>
        <v/>
      </c>
    </row>
    <row r="344" spans="2:5" ht="20" customHeight="1" x14ac:dyDescent="0.2">
      <c r="B344" s="23" t="s">
        <v>248</v>
      </c>
      <c r="C344" s="167" t="str">
        <f>CONCATENATE(prefix_mgmt_az2_cidr,"15.101")</f>
        <v>10.12.15.101</v>
      </c>
      <c r="D344" s="66"/>
      <c r="E344" s="80"/>
    </row>
    <row r="345" spans="2:5" ht="20" customHeight="1" x14ac:dyDescent="0.2">
      <c r="B345" s="23" t="s">
        <v>249</v>
      </c>
      <c r="C345" s="167" t="str">
        <f>CONCATENATE(prefix_mgmt_az2_cidr,"15.116")</f>
        <v>10.12.15.116</v>
      </c>
      <c r="D345" s="66"/>
      <c r="E345" s="80"/>
    </row>
    <row r="346" spans="2:5" ht="16" customHeight="1" x14ac:dyDescent="0.2"/>
    <row r="347" spans="2:5" ht="34" customHeight="1" x14ac:dyDescent="0.2">
      <c r="B347" s="569" t="s">
        <v>252</v>
      </c>
      <c r="C347" s="570"/>
      <c r="D347" s="570"/>
      <c r="E347" s="571"/>
    </row>
    <row r="348" spans="2:5" ht="20" customHeight="1" x14ac:dyDescent="0.2">
      <c r="B348" s="563" t="s">
        <v>253</v>
      </c>
      <c r="C348" s="564"/>
      <c r="D348" s="564"/>
      <c r="E348" s="565"/>
    </row>
    <row r="349" spans="2:5" ht="20" customHeight="1" x14ac:dyDescent="0.2">
      <c r="B349" s="62" t="s">
        <v>254</v>
      </c>
      <c r="C349" s="62" t="s">
        <v>255</v>
      </c>
      <c r="D349" s="161" t="s">
        <v>20</v>
      </c>
      <c r="E349" s="62" t="s">
        <v>256</v>
      </c>
    </row>
    <row r="350" spans="2:5" ht="20" customHeight="1" x14ac:dyDescent="0.2">
      <c r="B350" s="23" t="s">
        <v>208</v>
      </c>
      <c r="C350" s="109" t="str">
        <f>CONCATENATE(this_instance,"02-m01-r01-esx01",".",sample_child_dns_zone)</f>
        <v>sfo02-m01-r01-esx01.sfo.rainpole.io</v>
      </c>
      <c r="D350" s="66"/>
      <c r="E350" s="42"/>
    </row>
    <row r="351" spans="2:5" ht="20" customHeight="1" x14ac:dyDescent="0.2">
      <c r="B351" s="23" t="s">
        <v>210</v>
      </c>
      <c r="C351" s="109" t="str">
        <f>CONCATENATE(this_instance,"02-m01-r01-esx02",".",sample_child_dns_zone)</f>
        <v>sfo02-m01-r01-esx02.sfo.rainpole.io</v>
      </c>
      <c r="D351" s="66"/>
      <c r="E351" s="42"/>
    </row>
    <row r="352" spans="2:5" ht="20" customHeight="1" x14ac:dyDescent="0.2">
      <c r="B352" s="23" t="s">
        <v>212</v>
      </c>
      <c r="C352" s="109" t="str">
        <f>CONCATENATE(this_instance,"02-m01-r01-esx03",".",sample_child_dns_zone)</f>
        <v>sfo02-m01-r01-esx03.sfo.rainpole.io</v>
      </c>
      <c r="D352" s="66"/>
      <c r="E352" s="42"/>
    </row>
    <row r="353" spans="2:5" ht="20" customHeight="1" x14ac:dyDescent="0.2">
      <c r="B353" s="23" t="s">
        <v>214</v>
      </c>
      <c r="C353" s="109" t="str">
        <f>CONCATENATE(this_instance,"02-m01-r01-esx04",".",sample_child_dns_zone)</f>
        <v>sfo02-m01-r01-esx04.sfo.rainpole.io</v>
      </c>
      <c r="D353" s="66"/>
      <c r="E353" s="42"/>
    </row>
    <row r="354" spans="2:5" ht="20" customHeight="1" x14ac:dyDescent="0.2">
      <c r="B354" s="23" t="s">
        <v>216</v>
      </c>
      <c r="C354" s="109" t="str">
        <f>CONCATENATE(this_instance,"02-m01-r01-esx05",".",sample_child_dns_zone)</f>
        <v>sfo02-m01-r01-esx05.sfo.rainpole.io</v>
      </c>
      <c r="D354" s="66"/>
      <c r="E354" s="42"/>
    </row>
    <row r="355" spans="2:5" ht="20" customHeight="1" x14ac:dyDescent="0.2">
      <c r="B355" s="23" t="s">
        <v>218</v>
      </c>
      <c r="C355" s="109" t="str">
        <f>CONCATENATE(this_instance,"02-m01-r01-esx06",".",sample_child_dns_zone)</f>
        <v>sfo02-m01-r01-esx06.sfo.rainpole.io</v>
      </c>
      <c r="D355" s="66"/>
      <c r="E355" s="42"/>
    </row>
    <row r="356" spans="2:5" ht="20" customHeight="1" x14ac:dyDescent="0.2">
      <c r="B356" s="23" t="s">
        <v>220</v>
      </c>
      <c r="C356" s="109" t="str">
        <f>CONCATENATE(this_instance,"02-m01-r01-esx07",".",sample_child_dns_zone)</f>
        <v>sfo02-m01-r01-esx07.sfo.rainpole.io</v>
      </c>
      <c r="D356" s="66"/>
      <c r="E356" s="42"/>
    </row>
    <row r="357" spans="2:5" ht="20" customHeight="1" x14ac:dyDescent="0.2">
      <c r="B357" s="23" t="s">
        <v>222</v>
      </c>
      <c r="C357" s="109" t="str">
        <f>CONCATENATE(this_instance,"02-m01-r01-esx08",".",sample_child_dns_zone)</f>
        <v>sfo02-m01-r01-esx08.sfo.rainpole.io</v>
      </c>
      <c r="D357" s="66"/>
      <c r="E357" s="42"/>
    </row>
    <row r="358" spans="2:5" ht="20" customHeight="1" x14ac:dyDescent="0.2">
      <c r="B358" s="23" t="s">
        <v>224</v>
      </c>
      <c r="C358" s="109" t="str">
        <f>CONCATENATE(this_instance,"02-m01-r01-esx09",".",sample_child_dns_zone)</f>
        <v>sfo02-m01-r01-esx09.sfo.rainpole.io</v>
      </c>
      <c r="D358" s="66"/>
      <c r="E358" s="42"/>
    </row>
    <row r="359" spans="2:5" ht="20" customHeight="1" x14ac:dyDescent="0.2">
      <c r="B359" s="23" t="s">
        <v>226</v>
      </c>
      <c r="C359" s="109" t="str">
        <f>CONCATENATE(this_instance,"02-m01-r01-esx10",".",sample_child_dns_zone)</f>
        <v>sfo02-m01-r01-esx10.sfo.rainpole.io</v>
      </c>
      <c r="D359" s="66"/>
      <c r="E359" s="42"/>
    </row>
    <row r="360" spans="2:5" ht="20" customHeight="1" x14ac:dyDescent="0.2">
      <c r="B360" s="23" t="s">
        <v>228</v>
      </c>
      <c r="C360" s="109" t="str">
        <f>CONCATENATE(this_instance,"02-m01-r01-esx11",".",sample_child_dns_zone)</f>
        <v>sfo02-m01-r01-esx11.sfo.rainpole.io</v>
      </c>
      <c r="D360" s="66"/>
      <c r="E360" s="42"/>
    </row>
    <row r="361" spans="2:5" ht="20" customHeight="1" x14ac:dyDescent="0.2">
      <c r="B361" s="23" t="s">
        <v>230</v>
      </c>
      <c r="C361" s="109" t="str">
        <f>CONCATENATE(this_instance,"02-m01-r01-esx12",".",sample_child_dns_zone)</f>
        <v>sfo02-m01-r01-esx12.sfo.rainpole.io</v>
      </c>
      <c r="D361" s="66"/>
      <c r="E361" s="42"/>
    </row>
    <row r="362" spans="2:5" ht="20" customHeight="1" x14ac:dyDescent="0.2">
      <c r="B362" s="23" t="s">
        <v>232</v>
      </c>
      <c r="C362" s="109" t="str">
        <f>CONCATENATE(this_instance,"02-m01-r01-esx13",".",sample_child_dns_zone)</f>
        <v>sfo02-m01-r01-esx13.sfo.rainpole.io</v>
      </c>
      <c r="D362" s="66"/>
      <c r="E362" s="42"/>
    </row>
    <row r="363" spans="2:5" ht="20" customHeight="1" x14ac:dyDescent="0.2">
      <c r="B363" s="23" t="s">
        <v>234</v>
      </c>
      <c r="C363" s="109" t="str">
        <f>CONCATENATE(this_instance,"02-m01-r01-esx14",".",sample_child_dns_zone)</f>
        <v>sfo02-m01-r01-esx14.sfo.rainpole.io</v>
      </c>
      <c r="D363" s="66"/>
      <c r="E363" s="42"/>
    </row>
    <row r="364" spans="2:5" ht="20" customHeight="1" x14ac:dyDescent="0.2">
      <c r="B364" s="23" t="s">
        <v>236</v>
      </c>
      <c r="C364" s="109" t="str">
        <f>CONCATENATE(this_instance,"02-m01-r01-esx15",".",sample_child_dns_zone)</f>
        <v>sfo02-m01-r01-esx15.sfo.rainpole.io</v>
      </c>
      <c r="D364" s="66"/>
      <c r="E364" s="42"/>
    </row>
    <row r="365" spans="2:5" ht="20" customHeight="1" x14ac:dyDescent="0.2">
      <c r="B365" s="23" t="s">
        <v>238</v>
      </c>
      <c r="C365" s="109" t="str">
        <f>CONCATENATE(this_instance,"02-m01-r01-esx16",".",sample_child_dns_zone)</f>
        <v>sfo02-m01-r01-esx16.sfo.rainpole.io</v>
      </c>
      <c r="D365" s="66"/>
      <c r="E365" s="42"/>
    </row>
    <row r="366" spans="2:5" ht="20" customHeight="1" x14ac:dyDescent="0.2">
      <c r="B366" s="23" t="s">
        <v>257</v>
      </c>
      <c r="C366" s="100" t="s">
        <v>258</v>
      </c>
      <c r="D366" s="8" t="s">
        <v>258</v>
      </c>
      <c r="E366" s="42"/>
    </row>
    <row r="367" spans="2:5" ht="20" customHeight="1" x14ac:dyDescent="0.2">
      <c r="B367" s="23" t="s">
        <v>1963</v>
      </c>
      <c r="C367" s="100" t="s">
        <v>260</v>
      </c>
      <c r="D367" s="66" t="s">
        <v>260</v>
      </c>
      <c r="E367" s="42"/>
    </row>
    <row r="368" spans="2:5" ht="20" customHeight="1" x14ac:dyDescent="0.2">
      <c r="B368" s="23" t="s">
        <v>261</v>
      </c>
      <c r="C368" s="100" t="s">
        <v>156</v>
      </c>
      <c r="D368" s="8" t="str">
        <f>IF(mgmt_principal_storage_chosen="vSAN-ESA","Selected","Unselected")</f>
        <v>Selected</v>
      </c>
      <c r="E368" s="42"/>
    </row>
    <row r="369" spans="2:5" ht="20" customHeight="1" x14ac:dyDescent="0.2">
      <c r="B369" s="23" t="s">
        <v>243</v>
      </c>
      <c r="C369" s="100" t="str">
        <f>sample_mgmt_az2_pool_name</f>
        <v>sfo02-m01-r01-network-pool-01</v>
      </c>
      <c r="D369" s="8" t="str">
        <f>mgmt_az2_pool_name</f>
        <v>Value Missing</v>
      </c>
      <c r="E369" s="42"/>
    </row>
    <row r="370" spans="2:5" ht="20" customHeight="1" x14ac:dyDescent="0.2">
      <c r="B370" s="23" t="s">
        <v>47</v>
      </c>
      <c r="C370" s="100" t="s">
        <v>262</v>
      </c>
      <c r="D370" s="66"/>
      <c r="E370" s="42"/>
    </row>
    <row r="371" spans="2:5" ht="20" customHeight="1" x14ac:dyDescent="0.2">
      <c r="B371" s="23" t="s">
        <v>30</v>
      </c>
      <c r="C371" s="100" t="s">
        <v>31</v>
      </c>
      <c r="D371" s="66"/>
      <c r="E371" s="42"/>
    </row>
    <row r="372" spans="2:5" ht="16" customHeight="1" x14ac:dyDescent="0.2"/>
    <row r="373" spans="2:5" ht="34" customHeight="1" x14ac:dyDescent="0.2">
      <c r="B373" s="569" t="s">
        <v>263</v>
      </c>
      <c r="C373" s="570"/>
      <c r="D373" s="570"/>
      <c r="E373" s="571"/>
    </row>
    <row r="374" spans="2:5" ht="20" customHeight="1" x14ac:dyDescent="0.2">
      <c r="B374" s="424" t="s">
        <v>264</v>
      </c>
      <c r="C374" s="425"/>
      <c r="D374" s="425"/>
      <c r="E374" s="426"/>
    </row>
    <row r="375" spans="2:5" ht="20" customHeight="1" x14ac:dyDescent="0.2">
      <c r="B375" s="62" t="s">
        <v>254</v>
      </c>
      <c r="C375" s="62" t="s">
        <v>255</v>
      </c>
      <c r="D375" s="161" t="s">
        <v>20</v>
      </c>
      <c r="E375" s="62" t="s">
        <v>256</v>
      </c>
    </row>
    <row r="376" spans="2:5" ht="20" customHeight="1" x14ac:dyDescent="0.2">
      <c r="B376" s="4" t="s">
        <v>85</v>
      </c>
      <c r="C376" s="103" t="str">
        <f>IF(mgmt_dpg_reuse_result="Included",CONCATENATE(prefix_mgmt_witness_vlan,"10"),CONCATENATE(prefix_mgmt_witness_vlan,"11"))</f>
        <v>2110</v>
      </c>
      <c r="D376" s="66"/>
      <c r="E376" s="42"/>
    </row>
    <row r="377" spans="2:5" ht="20" customHeight="1" x14ac:dyDescent="0.2">
      <c r="B377" s="4" t="s">
        <v>182</v>
      </c>
      <c r="C377" s="65" t="str">
        <f>IF(mgmt_dpg_reuse_result="Included",CONCATENATE(prefix_mgmt_witness_cidr,"10.1"),CONCATENATE(prefix_mgmt_witness_cidr,"11.1"))</f>
        <v>10.21.10.1</v>
      </c>
      <c r="D377" s="66"/>
      <c r="E377" s="42" t="str">
        <f>IF(AND(mgmt_stretched_cluster_result="Included",mgmt_dpg_reuse_result="Excluded"),"Stretched L2","")</f>
        <v/>
      </c>
    </row>
    <row r="378" spans="2:5" ht="20" customHeight="1" x14ac:dyDescent="0.2">
      <c r="B378" s="4" t="s">
        <v>183</v>
      </c>
      <c r="C378" s="65" t="str">
        <f>IF(mgmt_dpg_reuse_result="Included",CONCATENATE(prefix_mgmt_witness_cidr,"10.0/24"),CONCATENATE(prefix_mgmt_witness_cidr,"11.0/24"))</f>
        <v>10.21.10.0/24</v>
      </c>
      <c r="D378" s="66"/>
      <c r="E378" s="42"/>
    </row>
    <row r="379" spans="2:5" ht="20" customHeight="1" x14ac:dyDescent="0.2">
      <c r="B379" s="4" t="s">
        <v>157</v>
      </c>
      <c r="C379" s="103">
        <v>1500</v>
      </c>
      <c r="D379" s="66"/>
      <c r="E379" s="42"/>
    </row>
    <row r="380" spans="2:5" ht="20" customHeight="1" x14ac:dyDescent="0.2">
      <c r="B380" s="563" t="s">
        <v>265</v>
      </c>
      <c r="C380" s="564"/>
      <c r="D380" s="564"/>
      <c r="E380" s="565"/>
    </row>
    <row r="381" spans="2:5" ht="20" customHeight="1" x14ac:dyDescent="0.2">
      <c r="B381" s="4" t="s">
        <v>266</v>
      </c>
      <c r="C381" s="154" t="str">
        <f>CONCATENATE(other_instance,"-m01-vc01.",other_instance,".rainpole.io")</f>
        <v>lax-m01-vc01.lax.rainpole.io</v>
      </c>
      <c r="D381" s="157"/>
      <c r="E381" s="8" t="s">
        <v>267</v>
      </c>
    </row>
    <row r="382" spans="2:5" ht="20" customHeight="1" x14ac:dyDescent="0.2">
      <c r="B382" s="4" t="s">
        <v>268</v>
      </c>
      <c r="C382" s="215" t="str">
        <f>IF(mgmt_dpg_reuse_result="Included",CONCATENATE(prefix_other_region_az1_cidr,"10.70"),CONCATENATE(prefix_other_region_az1_cidr,"11.70"))</f>
        <v>10.21.10.70</v>
      </c>
      <c r="D382" s="417"/>
      <c r="E382" s="4"/>
    </row>
    <row r="383" spans="2:5" ht="20" customHeight="1" x14ac:dyDescent="0.2">
      <c r="B383" s="4" t="s">
        <v>269</v>
      </c>
      <c r="C383" s="154" t="str">
        <f>CONCATENATE(this_instance,"-m01-cl01-vsw01")</f>
        <v>sfo-m01-cl01-vsw01</v>
      </c>
      <c r="D383" s="157"/>
      <c r="E383" s="4"/>
    </row>
    <row r="384" spans="2:5" ht="20" customHeight="1" x14ac:dyDescent="0.2">
      <c r="B384" s="4" t="s">
        <v>270</v>
      </c>
      <c r="C384" s="65" t="str">
        <f>CONCATENATE(other_instance,"-m01-cl01")</f>
        <v>lax-m01-cl01</v>
      </c>
      <c r="D384" s="157"/>
      <c r="E384" s="4"/>
    </row>
    <row r="385" spans="2:7" ht="20" customHeight="1" x14ac:dyDescent="0.2">
      <c r="B385" s="4" t="s">
        <v>271</v>
      </c>
      <c r="C385" s="65" t="str">
        <f>CONCATENATE(other_instance,"-m01","-fd-mgmt")</f>
        <v>lax-m01-fd-mgmt</v>
      </c>
      <c r="D385" s="157"/>
      <c r="E385" s="4"/>
    </row>
    <row r="386" spans="2:7" ht="20" customHeight="1" x14ac:dyDescent="0.2">
      <c r="B386" s="4" t="s">
        <v>272</v>
      </c>
      <c r="C386" s="65" t="str">
        <f>CONCATENATE(other_instance,"-m01-cl01-ds-vsan01")</f>
        <v>lax-m01-cl01-ds-vsan01</v>
      </c>
      <c r="D386" s="157"/>
      <c r="E386" s="4"/>
    </row>
    <row r="387" spans="2:7" ht="20" customHeight="1" x14ac:dyDescent="0.2">
      <c r="B387" s="4" t="s">
        <v>273</v>
      </c>
      <c r="C387" s="65" t="str">
        <f>CONCATENATE(other_instance,"01-m01-cl01-vds01-pg-mgmt")</f>
        <v>lax01-m01-cl01-vds01-pg-mgmt</v>
      </c>
      <c r="D387" s="157"/>
      <c r="E387" s="4"/>
    </row>
    <row r="388" spans="2:7" ht="20" customHeight="1" x14ac:dyDescent="0.2">
      <c r="B388" s="4" t="s">
        <v>274</v>
      </c>
      <c r="C388" s="65" t="str">
        <f>sample_mgmt_witness_mgmt_pg</f>
        <v>lax01-m01-cl01-vds01-pg-mgmt</v>
      </c>
      <c r="D388" s="10" t="str">
        <f>mgmt_witness_mgmt_pg</f>
        <v>Value Missing</v>
      </c>
      <c r="E388" s="4"/>
    </row>
    <row r="389" spans="2:7" ht="20" customHeight="1" x14ac:dyDescent="0.2">
      <c r="B389" s="4" t="s">
        <v>275</v>
      </c>
      <c r="C389" s="65" t="s">
        <v>31</v>
      </c>
      <c r="D389" s="157"/>
      <c r="E389" s="4"/>
    </row>
    <row r="390" spans="2:7" ht="20" customHeight="1" x14ac:dyDescent="0.2">
      <c r="B390" s="4" t="s">
        <v>276</v>
      </c>
      <c r="C390" s="154" t="str">
        <f>IF(mgmt_dpg_reuse_result="Included",CONCATENATE(prefix_other_region_az1_cidr,"10.218"),CONCATENATE(prefix_other_region_az1_cidr,"11.219"))</f>
        <v>10.21.10.218</v>
      </c>
      <c r="D390" s="157"/>
      <c r="E390" s="8" t="s">
        <v>277</v>
      </c>
    </row>
    <row r="391" spans="2:7" ht="20" customHeight="1" x14ac:dyDescent="0.2">
      <c r="B391" s="4" t="s">
        <v>278</v>
      </c>
      <c r="C391" s="65" t="s">
        <v>126</v>
      </c>
      <c r="D391" s="10" t="str" cm="1">
        <f t="array" ref="D391">mgmt_witnessaz_mgmt_mask</f>
        <v>Value Missing</v>
      </c>
      <c r="E391" s="4"/>
    </row>
    <row r="392" spans="2:7" ht="20" customHeight="1" x14ac:dyDescent="0.2">
      <c r="B392" s="4" t="s">
        <v>182</v>
      </c>
      <c r="C392" s="65" t="str">
        <f>sample_mgmt_witnessaz_mgmt_gateway_ip</f>
        <v>10.21.10.1</v>
      </c>
      <c r="D392" s="10" t="str">
        <f>mgmt_witnessaz_mgmt_gateway_ip</f>
        <v>Value Missing</v>
      </c>
      <c r="E392" s="4"/>
    </row>
    <row r="393" spans="2:7" ht="20" customHeight="1" x14ac:dyDescent="0.2">
      <c r="B393" s="4" t="s">
        <v>279</v>
      </c>
      <c r="C393" s="65" t="str">
        <f>sample_child_dns_zone</f>
        <v>sfo.rainpole.io</v>
      </c>
      <c r="D393" s="10"/>
      <c r="E393" s="4"/>
    </row>
    <row r="394" spans="2:7" ht="20" customHeight="1" x14ac:dyDescent="0.2">
      <c r="B394" s="4" t="s">
        <v>280</v>
      </c>
      <c r="C394" s="65" t="str">
        <f>CONCATENATE(this_instance,"-m01-cl01-vsw01")</f>
        <v>sfo-m01-cl01-vsw01</v>
      </c>
      <c r="D394" s="10" t="str">
        <f>mgmt_witness_hostname</f>
        <v>Value Missing</v>
      </c>
      <c r="E394" s="4"/>
    </row>
    <row r="395" spans="2:7" ht="20" customHeight="1" x14ac:dyDescent="0.2">
      <c r="B395" s="4" t="s">
        <v>281</v>
      </c>
      <c r="C395" s="103" t="str">
        <f>IF(mgmt_dpg_reuse_result="Included",CONCATENATE(prefix_other_region_az1_cidr,"10.4"),CONCATENATE(prefix_other_region_az1_cidr,"11.4"))</f>
        <v>10.21.10.4</v>
      </c>
      <c r="D395" s="157"/>
      <c r="E395" s="8" t="s">
        <v>282</v>
      </c>
    </row>
    <row r="396" spans="2:7" ht="20" customHeight="1" x14ac:dyDescent="0.2">
      <c r="B396" s="4" t="s">
        <v>283</v>
      </c>
      <c r="C396" s="103" t="str">
        <f>IF(mgmt_dpg_reuse_result="Included",CONCATENATE(prefix_other_region_az1_cidr,"10.5"),CONCATENATE(prefix_other_region_az1_cidr,"11.5"))</f>
        <v>10.21.10.5</v>
      </c>
      <c r="D396" s="157"/>
      <c r="E396" s="8" t="s">
        <v>284</v>
      </c>
    </row>
    <row r="397" spans="2:7" ht="20" customHeight="1" x14ac:dyDescent="0.2">
      <c r="B397" s="4" t="s">
        <v>285</v>
      </c>
      <c r="C397" s="105" t="str">
        <f>CONCATENATE("ntp0.",this_instance,".rainpole.io")</f>
        <v>ntp0.sfo.rainpole.io</v>
      </c>
      <c r="D397" s="157"/>
      <c r="E397" s="8"/>
    </row>
    <row r="398" spans="2:7" ht="20" customHeight="1" x14ac:dyDescent="0.2">
      <c r="B398" s="4" t="s">
        <v>286</v>
      </c>
      <c r="C398" s="168" t="str">
        <f>CONCATENATE("ntp1.",this_instance,".rainpole.io")</f>
        <v>ntp1.sfo.rainpole.io</v>
      </c>
      <c r="D398" s="157"/>
      <c r="E398" s="4"/>
      <c r="G398" s="36"/>
    </row>
    <row r="399" spans="2:7" ht="20" customHeight="1" x14ac:dyDescent="0.2">
      <c r="B399" s="563" t="s">
        <v>287</v>
      </c>
      <c r="C399" s="564"/>
      <c r="D399" s="564"/>
      <c r="E399" s="565"/>
    </row>
    <row r="400" spans="2:7" ht="20" customHeight="1" x14ac:dyDescent="0.2">
      <c r="B400" s="4" t="s">
        <v>266</v>
      </c>
      <c r="C400" s="65" t="str">
        <f>sample_mgmt_vc_fqdn</f>
        <v>sfo-m01-vc01.sfo.rainpole.io</v>
      </c>
      <c r="D400" s="134" t="str">
        <f>mgmt_vc_fqdn</f>
        <v>Value Missing</v>
      </c>
      <c r="E400" s="4"/>
      <c r="G400" s="36"/>
    </row>
    <row r="401" spans="2:7" ht="20" customHeight="1" x14ac:dyDescent="0.2">
      <c r="B401" s="4" t="s">
        <v>288</v>
      </c>
      <c r="C401" s="65" t="str">
        <f>sample_mgmt_datacenter</f>
        <v>sfo-m01-dc01</v>
      </c>
      <c r="D401" s="134" t="str">
        <f>mgmt_datacenter</f>
        <v>Value Missing</v>
      </c>
      <c r="E401" s="4"/>
    </row>
    <row r="402" spans="2:7" ht="20" customHeight="1" x14ac:dyDescent="0.2">
      <c r="B402" s="4" t="s">
        <v>39</v>
      </c>
      <c r="C402" s="65" t="str">
        <f>sample_mgmt_witness_hostname</f>
        <v>sfo-m01-cl01-vsw01</v>
      </c>
      <c r="D402" s="134" t="str">
        <f>mgmt_witness_hostname</f>
        <v>Value Missing</v>
      </c>
      <c r="E402" s="4"/>
    </row>
    <row r="403" spans="2:7" ht="20" customHeight="1" x14ac:dyDescent="0.2">
      <c r="B403" s="4" t="s">
        <v>289</v>
      </c>
      <c r="C403" s="65" t="str">
        <f>sample_mgmt_witness_root_password</f>
        <v>VMw@re1!</v>
      </c>
      <c r="D403" s="134" t="str">
        <f>mgmt_witness_root_password</f>
        <v>Value Missing</v>
      </c>
      <c r="E403" s="4"/>
    </row>
    <row r="404" spans="2:7" ht="20" customHeight="1" x14ac:dyDescent="0.2">
      <c r="B404" s="563" t="s">
        <v>290</v>
      </c>
      <c r="C404" s="564"/>
      <c r="D404" s="564"/>
      <c r="E404" s="565"/>
    </row>
    <row r="405" spans="2:7" ht="20" customHeight="1" x14ac:dyDescent="0.2">
      <c r="B405" s="4" t="s">
        <v>266</v>
      </c>
      <c r="C405" s="65" t="str">
        <f>sample_mgmt_vc_fqdn</f>
        <v>sfo-m01-vc01.sfo.rainpole.io</v>
      </c>
      <c r="D405" s="134" t="str">
        <f>mgmt_vc_fqdn</f>
        <v>Value Missing</v>
      </c>
      <c r="E405" s="4"/>
    </row>
    <row r="406" spans="2:7" ht="20" customHeight="1" x14ac:dyDescent="0.2">
      <c r="B406" s="4" t="s">
        <v>291</v>
      </c>
      <c r="C406" s="65" t="str">
        <f>CONCATENATE(this_instance,"-m01-cl01-vsw01")</f>
        <v>sfo-m01-cl01-vsw01</v>
      </c>
      <c r="D406" s="134" t="str">
        <f>mgmt_witness_hostname</f>
        <v>Value Missing</v>
      </c>
      <c r="E406" s="4"/>
    </row>
    <row r="407" spans="2:7" ht="20" customHeight="1" x14ac:dyDescent="0.2">
      <c r="B407" s="4" t="s">
        <v>292</v>
      </c>
      <c r="C407" s="65" t="str">
        <f>CONCATENATE(sample_mgmt_witness_ntp1_server,",",sample_mgmt_witness_ntp2_server)</f>
        <v>ntp0.sfo.rainpole.io,ntp1.sfo.rainpole.io</v>
      </c>
      <c r="D407" s="134" t="str">
        <f>IF(AND((NOT(ISBLANK(witness_ntp2_server))),(witness_ntp2_server&lt;&gt;"n/a"),(witness_ntp2_server&lt;&gt;"")),CONCATENATE(witness_ntp1_server,",",witness_ntp2_server))</f>
        <v>Value Missing,Value Missing</v>
      </c>
      <c r="E407" s="42"/>
      <c r="G407" s="36"/>
    </row>
    <row r="408" spans="2:7" ht="20" customHeight="1" x14ac:dyDescent="0.2">
      <c r="B408" s="563" t="s">
        <v>293</v>
      </c>
      <c r="C408" s="564"/>
      <c r="D408" s="564"/>
      <c r="E408" s="565"/>
    </row>
    <row r="409" spans="2:7" ht="20" customHeight="1" x14ac:dyDescent="0.2">
      <c r="B409" s="4" t="s">
        <v>266</v>
      </c>
      <c r="C409" s="65" t="str">
        <f>sample_mgmt_vc_fqdn</f>
        <v>sfo-m01-vc01.sfo.rainpole.io</v>
      </c>
      <c r="D409" s="134" t="str">
        <f>mgmt_vc_fqdn</f>
        <v>Value Missing</v>
      </c>
      <c r="E409" s="4"/>
    </row>
    <row r="410" spans="2:7" ht="20" customHeight="1" x14ac:dyDescent="0.2">
      <c r="B410" s="4" t="s">
        <v>294</v>
      </c>
      <c r="C410" s="65" t="str">
        <f>sample_mgmt_datacenter</f>
        <v>sfo-m01-dc01</v>
      </c>
      <c r="D410" s="134" t="str">
        <f>mgmt_datacenter</f>
        <v>Value Missing</v>
      </c>
      <c r="E410" s="4"/>
    </row>
    <row r="411" spans="2:7" ht="20" customHeight="1" x14ac:dyDescent="0.2">
      <c r="B411" s="4" t="s">
        <v>295</v>
      </c>
      <c r="C411" s="65" t="str">
        <f>sample_mgmt_witness_hostname</f>
        <v>sfo-m01-cl01-vsw01</v>
      </c>
      <c r="D411" s="134" t="str">
        <f>mgmt_witness_hostname</f>
        <v>Value Missing</v>
      </c>
      <c r="E411" s="4"/>
    </row>
    <row r="412" spans="2:7" ht="16" customHeight="1" x14ac:dyDescent="0.2"/>
    <row r="413" spans="2:7" ht="34" customHeight="1" x14ac:dyDescent="0.2">
      <c r="B413" s="566" t="s">
        <v>3558</v>
      </c>
      <c r="C413" s="567"/>
      <c r="D413" s="567"/>
      <c r="E413" s="568"/>
    </row>
    <row r="414" spans="2:7" ht="20" customHeight="1" x14ac:dyDescent="0.2">
      <c r="B414" s="62" t="s">
        <v>254</v>
      </c>
      <c r="C414" s="62" t="s">
        <v>255</v>
      </c>
      <c r="D414" s="161" t="s">
        <v>20</v>
      </c>
      <c r="E414" s="62" t="s">
        <v>256</v>
      </c>
    </row>
    <row r="415" spans="2:7" ht="20" customHeight="1" x14ac:dyDescent="0.2">
      <c r="B415" s="563" t="s">
        <v>296</v>
      </c>
      <c r="C415" s="564"/>
      <c r="D415" s="564"/>
      <c r="E415" s="565"/>
    </row>
    <row r="416" spans="2:7" ht="20" customHeight="1" x14ac:dyDescent="0.2">
      <c r="B416" s="4" t="str">
        <f t="array" ref="B416:B431">mgmt_az2_host_fqdns</f>
        <v>Value Missing</v>
      </c>
      <c r="C416" s="65" t="s">
        <v>297</v>
      </c>
      <c r="D416" s="114"/>
      <c r="E416" s="364" t="s">
        <v>298</v>
      </c>
    </row>
    <row r="417" spans="2:7" ht="20" customHeight="1" x14ac:dyDescent="0.2">
      <c r="B417" s="4" t="str">
        <v>Value Missing</v>
      </c>
      <c r="C417" s="65" t="s">
        <v>299</v>
      </c>
      <c r="D417" s="114"/>
      <c r="E417" s="365" t="s">
        <v>300</v>
      </c>
    </row>
    <row r="418" spans="2:7" ht="20" customHeight="1" x14ac:dyDescent="0.2">
      <c r="B418" s="4" t="str">
        <v>Value Missing</v>
      </c>
      <c r="C418" s="65" t="s">
        <v>301</v>
      </c>
      <c r="D418" s="114"/>
      <c r="E418" s="365" t="s">
        <v>302</v>
      </c>
    </row>
    <row r="419" spans="2:7" ht="20" customHeight="1" x14ac:dyDescent="0.2">
      <c r="B419" s="4" t="str">
        <v>Value Missing</v>
      </c>
      <c r="C419" s="65" t="s">
        <v>303</v>
      </c>
      <c r="D419" s="114"/>
      <c r="E419" s="365" t="s">
        <v>304</v>
      </c>
    </row>
    <row r="420" spans="2:7" ht="20" customHeight="1" x14ac:dyDescent="0.2">
      <c r="B420" s="4" t="str">
        <v>Value Missing</v>
      </c>
      <c r="C420" s="169" t="s">
        <v>305</v>
      </c>
      <c r="D420" s="114"/>
      <c r="E420" s="365" t="s">
        <v>306</v>
      </c>
    </row>
    <row r="421" spans="2:7" ht="20" customHeight="1" x14ac:dyDescent="0.2">
      <c r="B421" s="4" t="str">
        <v>Value Missing</v>
      </c>
      <c r="C421" s="169" t="s">
        <v>307</v>
      </c>
      <c r="D421" s="114"/>
      <c r="E421" s="365" t="s">
        <v>308</v>
      </c>
    </row>
    <row r="422" spans="2:7" ht="20" customHeight="1" x14ac:dyDescent="0.2">
      <c r="B422" s="4" t="str">
        <v>Value Missing</v>
      </c>
      <c r="C422" s="169" t="s">
        <v>309</v>
      </c>
      <c r="D422" s="114"/>
      <c r="E422" s="365" t="s">
        <v>310</v>
      </c>
    </row>
    <row r="423" spans="2:7" ht="20" customHeight="1" x14ac:dyDescent="0.2">
      <c r="B423" s="4" t="str">
        <v>Value Missing</v>
      </c>
      <c r="C423" s="169" t="s">
        <v>311</v>
      </c>
      <c r="D423" s="114"/>
      <c r="E423" s="365" t="s">
        <v>312</v>
      </c>
    </row>
    <row r="424" spans="2:7" ht="20" customHeight="1" x14ac:dyDescent="0.2">
      <c r="B424" s="4" t="str">
        <v>Value Missing</v>
      </c>
      <c r="C424" s="169" t="s">
        <v>313</v>
      </c>
      <c r="D424" s="114"/>
      <c r="E424" s="365" t="s">
        <v>314</v>
      </c>
    </row>
    <row r="425" spans="2:7" ht="20" customHeight="1" x14ac:dyDescent="0.2">
      <c r="B425" s="4" t="str">
        <v>Value Missing</v>
      </c>
      <c r="C425" s="169" t="s">
        <v>315</v>
      </c>
      <c r="D425" s="114"/>
      <c r="E425" s="365" t="s">
        <v>316</v>
      </c>
    </row>
    <row r="426" spans="2:7" ht="20" customHeight="1" x14ac:dyDescent="0.2">
      <c r="B426" s="4" t="str">
        <v>Value Missing</v>
      </c>
      <c r="C426" s="169" t="s">
        <v>317</v>
      </c>
      <c r="D426" s="114"/>
      <c r="E426" s="365" t="s">
        <v>318</v>
      </c>
      <c r="G426" s="36"/>
    </row>
    <row r="427" spans="2:7" ht="20" customHeight="1" x14ac:dyDescent="0.2">
      <c r="B427" s="4" t="str">
        <v>Value Missing</v>
      </c>
      <c r="C427" s="169" t="s">
        <v>319</v>
      </c>
      <c r="D427" s="114"/>
      <c r="E427" s="365" t="s">
        <v>320</v>
      </c>
      <c r="G427" s="36"/>
    </row>
    <row r="428" spans="2:7" ht="20" customHeight="1" x14ac:dyDescent="0.2">
      <c r="B428" s="4" t="str">
        <v>Value Missing</v>
      </c>
      <c r="C428" s="169" t="s">
        <v>321</v>
      </c>
      <c r="D428" s="114"/>
      <c r="E428" s="365" t="s">
        <v>322</v>
      </c>
      <c r="G428" s="36"/>
    </row>
    <row r="429" spans="2:7" ht="20" customHeight="1" x14ac:dyDescent="0.2">
      <c r="B429" s="4" t="str">
        <v>Value Missing</v>
      </c>
      <c r="C429" s="169" t="s">
        <v>323</v>
      </c>
      <c r="D429" s="114"/>
      <c r="E429" s="365" t="s">
        <v>324</v>
      </c>
      <c r="G429" s="36"/>
    </row>
    <row r="430" spans="2:7" ht="20" customHeight="1" x14ac:dyDescent="0.2">
      <c r="B430" s="4" t="str">
        <v>Value Missing</v>
      </c>
      <c r="C430" s="169" t="s">
        <v>325</v>
      </c>
      <c r="D430" s="114"/>
      <c r="E430" s="365" t="s">
        <v>326</v>
      </c>
      <c r="G430" s="36"/>
    </row>
    <row r="431" spans="2:7" ht="20" customHeight="1" x14ac:dyDescent="0.2">
      <c r="B431" s="4" t="str">
        <v>Value Missing</v>
      </c>
      <c r="C431" s="169" t="s">
        <v>327</v>
      </c>
      <c r="D431" s="114"/>
      <c r="E431" s="365" t="s">
        <v>328</v>
      </c>
      <c r="G431" s="36"/>
    </row>
    <row r="432" spans="2:7" ht="20" customHeight="1" x14ac:dyDescent="0.2">
      <c r="B432" s="4" t="s">
        <v>329</v>
      </c>
      <c r="C432" s="170" t="str">
        <f>CONCATENATE(this_instance,"02-",sample_mgmt_cl01_cluster,"-r01-network-profile")</f>
        <v>sfo02-sfo-m01-cl01-r01-network-profile</v>
      </c>
      <c r="D432" s="165"/>
      <c r="E432" s="8"/>
      <c r="G432" s="36"/>
    </row>
    <row r="433" spans="2:7" ht="20" customHeight="1" x14ac:dyDescent="0.2">
      <c r="B433" s="4" t="s">
        <v>330</v>
      </c>
      <c r="C433" s="65" t="s">
        <v>331</v>
      </c>
      <c r="D433" s="165" t="s">
        <v>331</v>
      </c>
      <c r="E433" s="8" t="str">
        <f>IF(AND(wld_az1_host_overlay_new_pool_chosen="Re-use an existing Pool",wld_host_overlay_addressing_chosen="Static IP Pool"),"An exisitng Pool will be reused for Host TEP assignment",IF(AND(wld_az1_host_overlay_new_pool_chosen="Create New Static IP Pool",wld_host_overlay_addressing_chosen="Static IP Pool"),"A new Pool will be created for Host TEP assignment",""))</f>
        <v>A new Pool will be created for Host TEP assignment</v>
      </c>
    </row>
    <row r="434" spans="2:7" ht="20" customHeight="1" x14ac:dyDescent="0.2">
      <c r="B434" s="4" t="s">
        <v>332</v>
      </c>
      <c r="C434" s="170" t="str">
        <f>CONCATENATE(this_instance,"02-m01","-r01-ip-pool01-host")</f>
        <v>sfo02-m01-r01-ip-pool01-host</v>
      </c>
      <c r="D434" s="165"/>
      <c r="E434" s="4"/>
      <c r="G434" s="36"/>
    </row>
    <row r="435" spans="2:7" ht="20" customHeight="1" x14ac:dyDescent="0.2">
      <c r="B435" s="4" t="s">
        <v>333</v>
      </c>
      <c r="C435" s="170" t="str">
        <f>CONCATENATE(this_instance,"02-m01","-r01-uplink-profile01")</f>
        <v>sfo02-m01-r01-uplink-profile01</v>
      </c>
      <c r="D435" s="165"/>
      <c r="E435" s="4"/>
      <c r="G435" s="36"/>
    </row>
    <row r="436" spans="2:7" ht="20" customHeight="1" x14ac:dyDescent="0.2">
      <c r="B436" s="23" t="s">
        <v>334</v>
      </c>
      <c r="C436" s="103" t="str">
        <f>CONCATENATE(prefix_mgmt_az2_vlan,"14")</f>
        <v>1214</v>
      </c>
      <c r="D436" s="165"/>
      <c r="E436" s="23"/>
      <c r="G436" s="36"/>
    </row>
    <row r="437" spans="2:7" ht="20" customHeight="1" x14ac:dyDescent="0.2">
      <c r="B437" s="4" t="s">
        <v>335</v>
      </c>
      <c r="C437" s="103" t="str">
        <f>CONCATENATE(prefix_mgmt_az2_cidr,"14.1")</f>
        <v>10.12.14.1</v>
      </c>
      <c r="D437" s="165"/>
      <c r="E437" s="30"/>
      <c r="G437" s="36"/>
    </row>
    <row r="438" spans="2:7" ht="20" customHeight="1" x14ac:dyDescent="0.2">
      <c r="B438" s="4" t="s">
        <v>336</v>
      </c>
      <c r="C438" s="103" t="str">
        <f>CONCATENATE(prefix_mgmt_az2_cidr,"14.0/24")</f>
        <v>10.12.14.0/24</v>
      </c>
      <c r="D438" s="165"/>
      <c r="E438" s="30"/>
      <c r="G438" s="36"/>
    </row>
    <row r="439" spans="2:7" ht="20" customHeight="1" x14ac:dyDescent="0.2">
      <c r="B439" s="4" t="s">
        <v>337</v>
      </c>
      <c r="C439" s="103">
        <f>9000</f>
        <v>9000</v>
      </c>
      <c r="D439" s="165"/>
      <c r="E439" s="30"/>
      <c r="G439" s="36"/>
    </row>
    <row r="440" spans="2:7" ht="20" customHeight="1" x14ac:dyDescent="0.2">
      <c r="B440" s="23" t="s">
        <v>248</v>
      </c>
      <c r="C440" s="103" t="str">
        <f>CONCATENATE(prefix_mgmt_az2_cidr,"14.101")</f>
        <v>10.12.14.101</v>
      </c>
      <c r="D440" s="165"/>
      <c r="E440" s="30"/>
      <c r="G440" s="36"/>
    </row>
    <row r="441" spans="2:7" ht="20" customHeight="1" x14ac:dyDescent="0.2">
      <c r="B441" s="23" t="s">
        <v>249</v>
      </c>
      <c r="C441" s="103" t="str">
        <f>CONCATENATE(prefix_mgmt_az2_cidr,"14.132")</f>
        <v>10.12.14.132</v>
      </c>
      <c r="D441" s="165"/>
      <c r="E441" s="30"/>
      <c r="G441" s="36"/>
    </row>
    <row r="442" spans="2:7" ht="20" customHeight="1" x14ac:dyDescent="0.2">
      <c r="B442" s="4" t="s">
        <v>338</v>
      </c>
      <c r="C442" s="65" t="str">
        <f>CONCATENATE(this_instance,"-m01-cl01-vsw01.",sample_child_dns_zone)</f>
        <v>sfo-m01-cl01-vsw01.sfo.rainpole.io</v>
      </c>
      <c r="D442" s="165"/>
      <c r="E442" s="8"/>
      <c r="G442" s="36"/>
    </row>
    <row r="443" spans="2:7" ht="20" customHeight="1" x14ac:dyDescent="0.2">
      <c r="B443" s="4" t="s">
        <v>339</v>
      </c>
      <c r="C443" s="65" t="str">
        <f>sample_mgmt_witnessaz_mgmt_cidr</f>
        <v>10.21.10.0/24</v>
      </c>
      <c r="D443" s="328" t="str">
        <f>mgmt_witnessaz_mgmt_cidr</f>
        <v>Value Missing</v>
      </c>
      <c r="E443" s="8" t="s">
        <v>340</v>
      </c>
      <c r="G443" s="36"/>
    </row>
    <row r="444" spans="2:7" ht="20" customHeight="1" x14ac:dyDescent="0.2">
      <c r="B444" s="4" t="s">
        <v>341</v>
      </c>
      <c r="C444" s="109" t="str">
        <f>sample_mgmt_witness_ip</f>
        <v>10.21.10.218</v>
      </c>
      <c r="D444" s="328" t="str">
        <f>mgmt_witness_mgmt_ip</f>
        <v>Value Missing</v>
      </c>
      <c r="E444" s="8" t="s">
        <v>342</v>
      </c>
      <c r="G444" s="36"/>
    </row>
    <row r="445" spans="2:7" ht="20" customHeight="1" x14ac:dyDescent="0.2">
      <c r="B445" s="4" t="s">
        <v>343</v>
      </c>
      <c r="C445" s="65" t="s">
        <v>344</v>
      </c>
      <c r="D445" s="165"/>
      <c r="E445" s="8" t="s">
        <v>345</v>
      </c>
    </row>
    <row r="446" spans="2:7" ht="20" customHeight="1" x14ac:dyDescent="0.2">
      <c r="B446" s="572"/>
      <c r="C446" s="572"/>
      <c r="D446" s="572"/>
      <c r="E446" s="572"/>
    </row>
    <row r="447" spans="2:7" ht="34" customHeight="1" x14ac:dyDescent="0.2">
      <c r="B447" s="566" t="s">
        <v>3557</v>
      </c>
      <c r="C447" s="567"/>
      <c r="D447" s="567"/>
      <c r="E447" s="568"/>
    </row>
    <row r="448" spans="2:7" ht="20" customHeight="1" x14ac:dyDescent="0.2">
      <c r="B448" s="563" t="s">
        <v>346</v>
      </c>
      <c r="C448" s="564"/>
      <c r="D448" s="564"/>
      <c r="E448" s="565"/>
    </row>
    <row r="449" spans="2:5" ht="20" customHeight="1" x14ac:dyDescent="0.2">
      <c r="B449" s="4" t="s">
        <v>347</v>
      </c>
      <c r="C449" s="65" t="str">
        <f>sample_mgmt_nsxt_vip_fqdn</f>
        <v>sfo-m01-nsx01.sfo.rainpole.io</v>
      </c>
      <c r="D449" s="8" t="str">
        <f>mgmt_nsxt_vip_fqdn</f>
        <v>Value Missing</v>
      </c>
      <c r="E449" s="8" t="str">
        <f>IF(mgmt_vns_chosen&lt;&gt;"Centralized Connectivity", "These sections are masked out as NSX connectivity has not be configured or selected in Post-Deployment Options" )</f>
        <v>These sections are masked out as NSX connectivity has not be configured or selected in Post-Deployment Options</v>
      </c>
    </row>
    <row r="450" spans="2:5" ht="20" customHeight="1" x14ac:dyDescent="0.2">
      <c r="B450" s="563" t="s">
        <v>348</v>
      </c>
      <c r="C450" s="564"/>
      <c r="D450" s="564"/>
      <c r="E450" s="565"/>
    </row>
    <row r="451" spans="2:5" ht="20" customHeight="1" x14ac:dyDescent="0.2">
      <c r="B451" s="4" t="s">
        <v>347</v>
      </c>
      <c r="C451" s="65" t="str">
        <f>sample_mgmt_nsxt_vip_fqdn</f>
        <v>sfo-m01-nsx01.sfo.rainpole.io</v>
      </c>
      <c r="D451" s="134" t="str">
        <f>mgmt_nsxt_vip_fqdn</f>
        <v>Value Missing</v>
      </c>
      <c r="E451" s="4"/>
    </row>
    <row r="452" spans="2:5" ht="20" customHeight="1" x14ac:dyDescent="0.2">
      <c r="B452" s="4" t="s">
        <v>349</v>
      </c>
      <c r="C452" s="65" t="str">
        <f>sample_mgmt_en_asn</f>
        <v>65101</v>
      </c>
      <c r="D452" s="134" t="str">
        <f>mgmt_en_asn</f>
        <v>Value Missing</v>
      </c>
      <c r="E452" s="4"/>
    </row>
    <row r="453" spans="2:5" ht="20" customHeight="1" x14ac:dyDescent="0.2">
      <c r="B453" s="563" t="s">
        <v>350</v>
      </c>
      <c r="C453" s="564"/>
      <c r="D453" s="564"/>
      <c r="E453" s="565"/>
    </row>
    <row r="454" spans="2:5" ht="20" customHeight="1" x14ac:dyDescent="0.2">
      <c r="B454" s="4" t="s">
        <v>347</v>
      </c>
      <c r="C454" s="65" t="str">
        <f>sample_mgmt_nsxt_vip_fqdn</f>
        <v>sfo-m01-nsx01.sfo.rainpole.io</v>
      </c>
      <c r="D454" s="134" t="str">
        <f>mgmt_nsxt_vip_fqdn</f>
        <v>Value Missing</v>
      </c>
      <c r="E454" s="8"/>
    </row>
    <row r="455" spans="2:5" ht="20" customHeight="1" x14ac:dyDescent="0.2">
      <c r="B455" s="4" t="s">
        <v>351</v>
      </c>
      <c r="C455" s="65" t="str">
        <f>CONCATENATE(prefix_mgmt_az1_cidr,"17.11")</f>
        <v>10.11.17.11</v>
      </c>
      <c r="D455" s="66"/>
      <c r="E455" s="8" t="s">
        <v>165</v>
      </c>
    </row>
    <row r="456" spans="2:5" ht="20" customHeight="1" x14ac:dyDescent="0.2">
      <c r="B456" s="4" t="s">
        <v>352</v>
      </c>
      <c r="C456" s="65" t="str">
        <f>IF(wld_domain_chosen="First Domain",CONCATENATE(asn_start,asn_instance,asn_mgmt_az2,1),IF(wld_nsxt_federation_result="Included",CONCATENATE(asn_start,asn_instance,asn_mgmt_az2,1),CONCATENATE(asn_start,asn_instance,asn_mgmt_az2,1)))</f>
        <v>65121</v>
      </c>
      <c r="D456" s="66"/>
      <c r="E456" s="8" t="s">
        <v>166</v>
      </c>
    </row>
    <row r="457" spans="2:5" ht="20" customHeight="1" x14ac:dyDescent="0.2">
      <c r="B457" s="4" t="s">
        <v>353</v>
      </c>
      <c r="C457" s="65" t="str">
        <f>sample_mgmt_az1_en1_uplink01_interface_cidr</f>
        <v>10.11.17.2/24</v>
      </c>
      <c r="D457" s="134" t="str">
        <f>mgmt_az1_en1_uplink01_interface_cidr</f>
        <v>Value Missing</v>
      </c>
      <c r="E457" s="8"/>
    </row>
    <row r="458" spans="2:5" ht="20" customHeight="1" x14ac:dyDescent="0.2">
      <c r="B458" s="4" t="s">
        <v>354</v>
      </c>
      <c r="C458" s="65" t="str">
        <f>sample_mgmt_az1_en2_uplink01_interface_cidr</f>
        <v>10.11.17.3/24</v>
      </c>
      <c r="D458" s="134" t="str">
        <f>mgmt_az1_en2_uplink01_interface_cidr</f>
        <v>Value Missing</v>
      </c>
      <c r="E458" s="8"/>
    </row>
    <row r="459" spans="2:5" ht="20" customHeight="1" x14ac:dyDescent="0.2">
      <c r="B459" s="4" t="s">
        <v>355</v>
      </c>
      <c r="C459" s="65" t="s">
        <v>31</v>
      </c>
      <c r="D459" s="66"/>
      <c r="E459" s="8" t="s">
        <v>167</v>
      </c>
    </row>
    <row r="460" spans="2:5" ht="20" customHeight="1" x14ac:dyDescent="0.2">
      <c r="B460" s="4" t="s">
        <v>356</v>
      </c>
      <c r="C460" s="65" t="str">
        <f>CONCATENATE(prefix_mgmt_az1_cidr,"18.11")</f>
        <v>10.11.18.11</v>
      </c>
      <c r="D460" s="66"/>
      <c r="E460" s="8" t="s">
        <v>168</v>
      </c>
    </row>
    <row r="461" spans="2:5" ht="20" customHeight="1" x14ac:dyDescent="0.2">
      <c r="B461" s="4" t="s">
        <v>353</v>
      </c>
      <c r="C461" s="65" t="str">
        <f>sample_mgmt_az1_en1_uplink02_interface_cidr</f>
        <v>10.11.18.2/24</v>
      </c>
      <c r="D461" s="134" t="str">
        <f>mgmt_az1_en1_uplink02_interface_cidr</f>
        <v>Value Missing</v>
      </c>
      <c r="E461" s="8"/>
    </row>
    <row r="462" spans="2:5" ht="20" customHeight="1" x14ac:dyDescent="0.2">
      <c r="B462" s="4" t="s">
        <v>354</v>
      </c>
      <c r="C462" s="65" t="str">
        <f>sample_mgmt_az1_en2_uplink02_interface_cidr</f>
        <v>10.11.18.3/24</v>
      </c>
      <c r="D462" s="134" t="str">
        <f>mgmt_az1_en2_uplink02_interface_cidr</f>
        <v>Value Missing</v>
      </c>
      <c r="E462" s="8"/>
    </row>
    <row r="463" spans="2:5" ht="20" customHeight="1" x14ac:dyDescent="0.2">
      <c r="B463" s="4" t="s">
        <v>357</v>
      </c>
      <c r="C463" s="65" t="str">
        <f>IF(wld_domain_chosen="First Domain",CONCATENATE(asn_start,asn_instance,asn_mgmt_az2,1),IF(wld_nsxt_federation_result="Included",CONCATENATE(asn_start,asn_instance,asn_mgmt_az2,1),CONCATENATE(asn_start,asn_instance,asn_mgmt_az2,1)))</f>
        <v>65121</v>
      </c>
      <c r="D463" s="66"/>
      <c r="E463" s="8" t="s">
        <v>169</v>
      </c>
    </row>
    <row r="464" spans="2:5" ht="20" customHeight="1" x14ac:dyDescent="0.2">
      <c r="B464" s="4" t="s">
        <v>355</v>
      </c>
      <c r="C464" s="65" t="s">
        <v>31</v>
      </c>
      <c r="D464" s="66"/>
      <c r="E464" s="8" t="s">
        <v>170</v>
      </c>
    </row>
    <row r="465" spans="2:5" ht="16" customHeight="1" x14ac:dyDescent="0.2"/>
    <row r="466" spans="2:5" ht="34" customHeight="1" x14ac:dyDescent="0.2">
      <c r="B466" s="560" t="s">
        <v>7</v>
      </c>
      <c r="C466" s="561"/>
      <c r="D466" s="561"/>
      <c r="E466" s="562"/>
    </row>
    <row r="467" spans="2:5" ht="20" customHeight="1" x14ac:dyDescent="0.2">
      <c r="B467" s="563" t="s">
        <v>358</v>
      </c>
      <c r="C467" s="564"/>
      <c r="D467" s="564"/>
      <c r="E467" s="565"/>
    </row>
    <row r="468" spans="2:5" ht="20" customHeight="1" x14ac:dyDescent="0.2">
      <c r="B468" s="62" t="s">
        <v>254</v>
      </c>
      <c r="C468" s="62" t="s">
        <v>255</v>
      </c>
      <c r="D468" s="161" t="s">
        <v>20</v>
      </c>
      <c r="E468" s="62" t="s">
        <v>256</v>
      </c>
    </row>
    <row r="469" spans="2:5" ht="20" customHeight="1" x14ac:dyDescent="0.2">
      <c r="B469" s="4" t="s">
        <v>359</v>
      </c>
      <c r="C469" s="106" t="str">
        <f>sample_mgmt_vc_fqdn</f>
        <v>sfo-m01-vc01.sfo.rainpole.io</v>
      </c>
      <c r="D469" s="8" t="str">
        <f>mgmt_vc_fqdn</f>
        <v>Value Missing</v>
      </c>
      <c r="E469" s="4"/>
    </row>
    <row r="470" spans="2:5" ht="20" customHeight="1" x14ac:dyDescent="0.2">
      <c r="B470" s="563" t="s">
        <v>360</v>
      </c>
      <c r="C470" s="564"/>
      <c r="D470" s="564"/>
      <c r="E470" s="565"/>
    </row>
    <row r="471" spans="2:5" ht="20" customHeight="1" x14ac:dyDescent="0.2">
      <c r="B471" s="4" t="s">
        <v>361</v>
      </c>
      <c r="C471" s="172" t="str">
        <f>CONCATENATE(this_instance,"-m01-nsx-gm01a")</f>
        <v>sfo-m01-nsx-gm01a</v>
      </c>
      <c r="D471" s="157"/>
      <c r="E471" s="4"/>
    </row>
    <row r="472" spans="2:5" ht="20" customHeight="1" x14ac:dyDescent="0.2">
      <c r="B472" s="4" t="s">
        <v>362</v>
      </c>
      <c r="C472" s="106" t="str">
        <f>sample_mgmt_datacenter</f>
        <v>sfo-m01-dc01</v>
      </c>
      <c r="D472" s="8" t="str">
        <f>mgmt_datacenter</f>
        <v>Value Missing</v>
      </c>
      <c r="E472" s="4"/>
    </row>
    <row r="473" spans="2:5" ht="20" customHeight="1" x14ac:dyDescent="0.2">
      <c r="B473" s="4" t="s">
        <v>363</v>
      </c>
      <c r="C473" s="106" t="str">
        <f>sample_mgmt_cl01_cluster</f>
        <v>sfo-m01-cl01</v>
      </c>
      <c r="D473" s="8" t="str">
        <f>mgmt_cl01_cluster</f>
        <v>Value Missing</v>
      </c>
      <c r="E473" s="4"/>
    </row>
    <row r="474" spans="2:5" ht="20" customHeight="1" x14ac:dyDescent="0.2">
      <c r="B474" s="4" t="s">
        <v>364</v>
      </c>
      <c r="C474" s="106" t="s">
        <v>92</v>
      </c>
      <c r="D474" s="8" t="s">
        <v>92</v>
      </c>
      <c r="E474" s="4"/>
    </row>
    <row r="475" spans="2:5" ht="20" customHeight="1" x14ac:dyDescent="0.2">
      <c r="B475" s="4" t="s">
        <v>365</v>
      </c>
      <c r="C475" s="106" t="str">
        <f>sample_mgmt_cl01_vsan_datastore</f>
        <v>sfo-m01-cl01-ds-vsan01</v>
      </c>
      <c r="D475" s="8" t="str">
        <f>mgmt_cl01_vsan_datastore</f>
        <v>Value Missing</v>
      </c>
      <c r="E475" s="4"/>
    </row>
    <row r="476" spans="2:5" ht="20" customHeight="1" x14ac:dyDescent="0.2">
      <c r="B476" s="4" t="s">
        <v>366</v>
      </c>
      <c r="C476" s="173" t="str">
        <f>sample_mgmt_cl01_az1_mgmt_vm_pg</f>
        <v>sfo-m01-cl01-vds01-pg-vm-mgmt</v>
      </c>
      <c r="D476" s="8" t="str">
        <f>mgmt_cl01_az1_mgmt_vm_pg</f>
        <v>Value Missing</v>
      </c>
      <c r="E476" s="4"/>
    </row>
    <row r="477" spans="2:5" ht="20" customHeight="1" x14ac:dyDescent="0.2">
      <c r="B477" s="4" t="s">
        <v>367</v>
      </c>
      <c r="C477" s="106" t="s">
        <v>139</v>
      </c>
      <c r="D477" s="66"/>
      <c r="E477" s="4"/>
    </row>
    <row r="478" spans="2:5" ht="20" customHeight="1" x14ac:dyDescent="0.2">
      <c r="B478" s="4" t="s">
        <v>368</v>
      </c>
      <c r="C478" s="106" t="s">
        <v>139</v>
      </c>
      <c r="D478" s="66"/>
      <c r="E478" s="4"/>
    </row>
    <row r="479" spans="2:5" ht="20" customHeight="1" x14ac:dyDescent="0.2">
      <c r="B479" s="4" t="s">
        <v>369</v>
      </c>
      <c r="C479" s="106" t="s">
        <v>139</v>
      </c>
      <c r="D479" s="66"/>
      <c r="E479" s="4"/>
    </row>
    <row r="480" spans="2:5" ht="20" customHeight="1" x14ac:dyDescent="0.2">
      <c r="B480" s="4" t="s">
        <v>370</v>
      </c>
      <c r="C480" s="106" t="str">
        <f>CONCATENATE(sample_mgmt_nsxt_global_mgra_hostname,".",sample_child_dns_zone)</f>
        <v>sfo-m01-nsx-gm01a.sfo.rainpole.io</v>
      </c>
      <c r="D480" s="66"/>
      <c r="E480" s="8" t="s">
        <v>371</v>
      </c>
    </row>
    <row r="481" spans="2:7" ht="20" customHeight="1" x14ac:dyDescent="0.2">
      <c r="B481" s="4" t="s">
        <v>372</v>
      </c>
      <c r="C481" s="172" t="str">
        <f>IF(mgmt_dpg_reuse_result="Included",CONCATENATE(prefix_mgmt_az1_cidr,"10.82"),CONCATENATE(prefix_mgmt_az1_cidr,"11.82"))</f>
        <v>10.11.10.82</v>
      </c>
      <c r="D481" s="157"/>
      <c r="E481" s="4"/>
    </row>
    <row r="482" spans="2:7" ht="20" customHeight="1" x14ac:dyDescent="0.2">
      <c r="B482" s="4" t="s">
        <v>373</v>
      </c>
      <c r="C482" s="106" t="s">
        <v>126</v>
      </c>
      <c r="D482" s="8" t="str">
        <f>mgmt_az1_mgmt_vm_mask</f>
        <v>Value Missing</v>
      </c>
      <c r="E482" s="4"/>
    </row>
    <row r="483" spans="2:7" ht="20" customHeight="1" x14ac:dyDescent="0.2">
      <c r="B483" s="4" t="s">
        <v>374</v>
      </c>
      <c r="C483" s="106" t="str">
        <f>sample_mgmt_az1_mgmt_vm_gateway_cidr</f>
        <v>10.11.10.1/24</v>
      </c>
      <c r="D483" s="8" t="str">
        <f>mgmt_az1_mgmt_vm_gateway_ip</f>
        <v>Value Missing</v>
      </c>
      <c r="E483" s="4"/>
    </row>
    <row r="484" spans="2:7" ht="20" customHeight="1" x14ac:dyDescent="0.2">
      <c r="B484" s="4" t="s">
        <v>375</v>
      </c>
      <c r="C484" s="106" t="str">
        <f>CONCATENATE(sample_mgmt_witness_dns1_ip,",",sample_mgmt_witness_dns2_ip)</f>
        <v>10.21.10.4,10.21.10.5</v>
      </c>
      <c r="D484" s="8" t="str">
        <f>IF(ISBLANK(input_region_dns1_ip),"Value Missing",CONCATENATE(region_dns1_ip,",",IF(ISBLANK(input_region_dns2_ip),"Value Missing",region_dns2_ip)))</f>
        <v>Value Missing</v>
      </c>
      <c r="E484" s="4"/>
    </row>
    <row r="485" spans="2:7" ht="20" customHeight="1" x14ac:dyDescent="0.2">
      <c r="B485" s="4" t="s">
        <v>376</v>
      </c>
      <c r="C485" s="106" t="str">
        <f>CONCATENATE(sample_child_dns_zone,",",sample_parent_dns_zone)</f>
        <v>sfo.rainpole.io,rainpole.io</v>
      </c>
      <c r="D485" s="8"/>
      <c r="E485" s="4"/>
      <c r="G485" s="36"/>
    </row>
    <row r="486" spans="2:7" ht="20" customHeight="1" x14ac:dyDescent="0.2">
      <c r="B486" s="4" t="s">
        <v>377</v>
      </c>
      <c r="C486" s="106" t="str">
        <f>IF(AND((NOT(ISBLANK(sample_region_ntp2_server))),(sample_region_ntp2_server &lt;&gt; "n/a")),CONCATENATE(sample_region_ntp1_server,",",sample_region_ntp2_server),sample_region_ntp1_server)</f>
        <v>ntp0.sfo.rainpole.io,ntp1.sfo.rainpole.io</v>
      </c>
      <c r="D486" s="8" t="str">
        <f>IF(AND((NOT(ISBLANK(region_ntp2_server))),(region_ntp2_server&lt;&gt;"n/a"),(region_ntp2_server&lt;&gt;"")),CONCATENATE(region_ntp1_server,",",region_ntp2_server,region_ntp1_server))</f>
        <v>Value Missing,Value MissingValue Missing</v>
      </c>
      <c r="E486" s="4"/>
    </row>
    <row r="487" spans="2:7" ht="20" customHeight="1" x14ac:dyDescent="0.2">
      <c r="B487" s="563" t="s">
        <v>378</v>
      </c>
      <c r="C487" s="564"/>
      <c r="D487" s="564"/>
      <c r="E487" s="565"/>
    </row>
    <row r="488" spans="2:7" ht="20" customHeight="1" x14ac:dyDescent="0.2">
      <c r="B488" s="4" t="s">
        <v>379</v>
      </c>
      <c r="C488" s="172" t="str">
        <f>CONCATENATE(this_instance,"-m01-nsx-gm01b")</f>
        <v>sfo-m01-nsx-gm01b</v>
      </c>
      <c r="D488" s="157"/>
      <c r="E488" s="4"/>
    </row>
    <row r="489" spans="2:7" ht="20" customHeight="1" x14ac:dyDescent="0.2">
      <c r="B489" s="4" t="s">
        <v>380</v>
      </c>
      <c r="C489" s="106" t="str">
        <f>sample_mgmt_datacenter</f>
        <v>sfo-m01-dc01</v>
      </c>
      <c r="D489" s="8" t="str">
        <f>mgmt_datacenter</f>
        <v>Value Missing</v>
      </c>
      <c r="E489" s="4"/>
    </row>
    <row r="490" spans="2:7" ht="20" customHeight="1" x14ac:dyDescent="0.2">
      <c r="B490" s="4" t="s">
        <v>381</v>
      </c>
      <c r="C490" s="106" t="str">
        <f>sample_mgmt_cl01_cluster</f>
        <v>sfo-m01-cl01</v>
      </c>
      <c r="D490" s="8" t="str">
        <f>mgmt_cl01_cluster</f>
        <v>Value Missing</v>
      </c>
      <c r="E490" s="4"/>
    </row>
    <row r="491" spans="2:7" ht="20" customHeight="1" x14ac:dyDescent="0.2">
      <c r="B491" s="4" t="s">
        <v>382</v>
      </c>
      <c r="C491" s="106" t="s">
        <v>92</v>
      </c>
      <c r="D491" s="8" t="str">
        <f>D474</f>
        <v>Medium</v>
      </c>
      <c r="E491" s="4"/>
    </row>
    <row r="492" spans="2:7" ht="20" customHeight="1" x14ac:dyDescent="0.2">
      <c r="B492" s="4" t="s">
        <v>383</v>
      </c>
      <c r="C492" s="106" t="str">
        <f>sample_mgmt_cl01_vsan_datastore</f>
        <v>sfo-m01-cl01-ds-vsan01</v>
      </c>
      <c r="D492" s="8" t="str">
        <f>mgmt_cl01_vsan_datastore</f>
        <v>Value Missing</v>
      </c>
      <c r="E492" s="4"/>
    </row>
    <row r="493" spans="2:7" ht="20" customHeight="1" x14ac:dyDescent="0.2">
      <c r="B493" s="4" t="s">
        <v>384</v>
      </c>
      <c r="C493" s="173" t="str">
        <f>sample_mgmt_cl01_az1_mgmt_vm_pg</f>
        <v>sfo-m01-cl01-vds01-pg-vm-mgmt</v>
      </c>
      <c r="D493" s="8" t="str">
        <f>mgmt_cl01_az1_mgmt_vm_pg</f>
        <v>Value Missing</v>
      </c>
      <c r="E493" s="4"/>
    </row>
    <row r="494" spans="2:7" ht="20" customHeight="1" x14ac:dyDescent="0.2">
      <c r="B494" s="4" t="s">
        <v>385</v>
      </c>
      <c r="C494" s="106" t="str">
        <f>sample_nsxt_gm_root_password</f>
        <v>VMw@re1!VMw@re1!</v>
      </c>
      <c r="D494" s="8" t="str">
        <f>nsxt_gm_root_password</f>
        <v>Value Missing</v>
      </c>
      <c r="E494" s="4"/>
    </row>
    <row r="495" spans="2:7" ht="20" customHeight="1" x14ac:dyDescent="0.2">
      <c r="B495" s="4" t="s">
        <v>386</v>
      </c>
      <c r="C495" s="106" t="str">
        <f>sample_nsxt_gm_audit_password</f>
        <v>VMw@re1!VMw@re1!</v>
      </c>
      <c r="D495" s="8" t="str">
        <f>nsxt_gm_admin_password</f>
        <v>Value Missing</v>
      </c>
      <c r="E495" s="4"/>
    </row>
    <row r="496" spans="2:7" ht="20" customHeight="1" x14ac:dyDescent="0.2">
      <c r="B496" s="4" t="s">
        <v>387</v>
      </c>
      <c r="C496" s="106" t="str">
        <f>sample_nsxt_gm_audit_password</f>
        <v>VMw@re1!VMw@re1!</v>
      </c>
      <c r="D496" s="8" t="str">
        <f>nsxt_gm_audit_password</f>
        <v>Value Missing</v>
      </c>
      <c r="E496" s="4"/>
    </row>
    <row r="497" spans="2:7" ht="20" customHeight="1" x14ac:dyDescent="0.2">
      <c r="B497" s="4" t="s">
        <v>388</v>
      </c>
      <c r="C497" s="106" t="str">
        <f>CONCATENATE(sample_mgmt_nsxt_global_mgrb_hostname,".",sample_child_dns_zone)</f>
        <v>sfo-m01-nsx-gm01b.sfo.rainpole.io</v>
      </c>
      <c r="D497" s="66"/>
      <c r="E497" s="4"/>
    </row>
    <row r="498" spans="2:7" ht="20" customHeight="1" x14ac:dyDescent="0.2">
      <c r="B498" s="4" t="s">
        <v>389</v>
      </c>
      <c r="C498" s="172" t="str">
        <f>IF(mgmt_dpg_reuse_result="Included",CONCATENATE(prefix_mgmt_az1_cidr,"10.83"),CONCATENATE(prefix_mgmt_az1_cidr,"11.83"))</f>
        <v>10.11.10.83</v>
      </c>
      <c r="D498" s="157"/>
      <c r="E498" s="4"/>
    </row>
    <row r="499" spans="2:7" ht="20" customHeight="1" x14ac:dyDescent="0.2">
      <c r="B499" s="4" t="s">
        <v>390</v>
      </c>
      <c r="C499" s="106" t="s">
        <v>126</v>
      </c>
      <c r="D499" s="8" t="str">
        <f>mgmt_az1_mgmt_vm_mask</f>
        <v>Value Missing</v>
      </c>
      <c r="E499" s="4"/>
    </row>
    <row r="500" spans="2:7" ht="20" customHeight="1" x14ac:dyDescent="0.2">
      <c r="B500" s="4" t="s">
        <v>391</v>
      </c>
      <c r="C500" s="106" t="str">
        <f>sample_mgmt_az1_mgmt_vm_gateway_cidr</f>
        <v>10.11.10.1/24</v>
      </c>
      <c r="D500" s="8" t="str">
        <f>mgmt_az1_mgmt_vm_gateway_ip</f>
        <v>Value Missing</v>
      </c>
      <c r="E500" s="4"/>
    </row>
    <row r="501" spans="2:7" ht="20" customHeight="1" x14ac:dyDescent="0.2">
      <c r="B501" s="4" t="s">
        <v>392</v>
      </c>
      <c r="C501" s="106" t="str">
        <f>CONCATENATE(sample_mgmt_witness_dns1_ip,",",sample_mgmt_witness_dns2_ip)</f>
        <v>10.21.10.4,10.21.10.5</v>
      </c>
      <c r="D501" s="8" t="str">
        <f>IF(ISBLANK(input_region_dns1_ip),"Value Missing",CONCATENATE(region_dns1_ip,",",IF(ISBLANK(input_region_dns2_ip),"Value Missing",region_dns2_ip)))</f>
        <v>Value Missing</v>
      </c>
      <c r="E501" s="4"/>
    </row>
    <row r="502" spans="2:7" ht="20" customHeight="1" x14ac:dyDescent="0.2">
      <c r="B502" s="4" t="s">
        <v>393</v>
      </c>
      <c r="C502" s="106" t="str">
        <f>CONCATENATE(sample_child_dns_zone,",",sample_parent_dns_zone)</f>
        <v>sfo.rainpole.io,rainpole.io</v>
      </c>
      <c r="D502" s="8"/>
      <c r="E502" s="4"/>
    </row>
    <row r="503" spans="2:7" ht="20" customHeight="1" x14ac:dyDescent="0.2">
      <c r="B503" s="4" t="s">
        <v>394</v>
      </c>
      <c r="C503" s="106" t="str">
        <f>IF(AND((NOT(ISBLANK(sample_region_ntp2_server))),(sample_region_ntp2_server &lt;&gt; "n/a")),CONCATENATE(sample_region_ntp1_server,",",sample_region_ntp2_server),sample_region_ntp1_server)</f>
        <v>ntp0.sfo.rainpole.io,ntp1.sfo.rainpole.io</v>
      </c>
      <c r="D503" s="8" t="str">
        <f>IF(AND((NOT(ISBLANK(region_ntp2_server))),(region_ntp2_server &lt;&gt; "n/a")),CONCATENATE(region_ntp1_server,",",region_ntp2_server),region_ntp1_server)</f>
        <v>Value Missing,Value Missing</v>
      </c>
      <c r="E503" s="4"/>
    </row>
    <row r="504" spans="2:7" ht="20" customHeight="1" x14ac:dyDescent="0.2">
      <c r="B504" s="563" t="s">
        <v>395</v>
      </c>
      <c r="C504" s="564"/>
      <c r="D504" s="564"/>
      <c r="E504" s="565"/>
    </row>
    <row r="505" spans="2:7" ht="20" customHeight="1" x14ac:dyDescent="0.2">
      <c r="B505" s="4" t="s">
        <v>396</v>
      </c>
      <c r="C505" s="172" t="str">
        <f>CONCATENATE(this_instance,"-m01-nsx-gm01c")</f>
        <v>sfo-m01-nsx-gm01c</v>
      </c>
      <c r="D505" s="157"/>
      <c r="E505" s="4"/>
      <c r="G505" s="36"/>
    </row>
    <row r="506" spans="2:7" ht="20" customHeight="1" x14ac:dyDescent="0.2">
      <c r="B506" s="4" t="s">
        <v>397</v>
      </c>
      <c r="C506" s="106" t="str">
        <f>sample_mgmt_datacenter</f>
        <v>sfo-m01-dc01</v>
      </c>
      <c r="D506" s="8" t="str">
        <f>mgmt_datacenter</f>
        <v>Value Missing</v>
      </c>
      <c r="E506" s="4"/>
    </row>
    <row r="507" spans="2:7" ht="20" customHeight="1" x14ac:dyDescent="0.2">
      <c r="B507" s="4" t="s">
        <v>398</v>
      </c>
      <c r="C507" s="106" t="str">
        <f>sample_mgmt_cl01_cluster</f>
        <v>sfo-m01-cl01</v>
      </c>
      <c r="D507" s="8" t="str">
        <f>mgmt_cl01_cluster</f>
        <v>Value Missing</v>
      </c>
      <c r="E507" s="4"/>
    </row>
    <row r="508" spans="2:7" ht="20" customHeight="1" x14ac:dyDescent="0.2">
      <c r="B508" s="4" t="s">
        <v>399</v>
      </c>
      <c r="C508" s="106" t="s">
        <v>92</v>
      </c>
      <c r="D508" s="8" t="str">
        <f>D491</f>
        <v>Medium</v>
      </c>
      <c r="E508" s="4"/>
    </row>
    <row r="509" spans="2:7" ht="20" customHeight="1" x14ac:dyDescent="0.2">
      <c r="B509" s="4" t="s">
        <v>400</v>
      </c>
      <c r="C509" s="106" t="str">
        <f>sample_mgmt_cl01_vsan_datastore</f>
        <v>sfo-m01-cl01-ds-vsan01</v>
      </c>
      <c r="D509" s="8" t="str">
        <f>mgmt_cl01_vsan_datastore</f>
        <v>Value Missing</v>
      </c>
      <c r="E509" s="4"/>
    </row>
    <row r="510" spans="2:7" ht="20" customHeight="1" x14ac:dyDescent="0.2">
      <c r="B510" s="4" t="s">
        <v>401</v>
      </c>
      <c r="C510" s="173" t="str">
        <f>sample_mgmt_cl01_az1_mgmt_vm_pg</f>
        <v>sfo-m01-cl01-vds01-pg-vm-mgmt</v>
      </c>
      <c r="D510" s="8" t="str">
        <f>mgmt_cl01_az1_mgmt_vm_pg</f>
        <v>Value Missing</v>
      </c>
      <c r="E510" s="4"/>
    </row>
    <row r="511" spans="2:7" ht="20" customHeight="1" x14ac:dyDescent="0.2">
      <c r="B511" s="4" t="s">
        <v>402</v>
      </c>
      <c r="C511" s="106" t="str">
        <f>sample_nsxt_gm_root_password</f>
        <v>VMw@re1!VMw@re1!</v>
      </c>
      <c r="D511" s="8" t="str">
        <f>nsxt_gm_root_password</f>
        <v>Value Missing</v>
      </c>
      <c r="E511" s="4"/>
    </row>
    <row r="512" spans="2:7" ht="20" customHeight="1" x14ac:dyDescent="0.2">
      <c r="B512" s="4" t="s">
        <v>403</v>
      </c>
      <c r="C512" s="106" t="str">
        <f>sample_nsxt_gm_admin_password</f>
        <v>VMw@re1!VMw@re1!</v>
      </c>
      <c r="D512" s="8" t="str">
        <f>nsxt_gm_admin_password</f>
        <v>Value Missing</v>
      </c>
      <c r="E512" s="4"/>
    </row>
    <row r="513" spans="2:7" ht="20" customHeight="1" x14ac:dyDescent="0.2">
      <c r="B513" s="4" t="s">
        <v>404</v>
      </c>
      <c r="C513" s="106" t="str">
        <f>sample_nsxt_gm_audit_password</f>
        <v>VMw@re1!VMw@re1!</v>
      </c>
      <c r="D513" s="8" t="str">
        <f>nsxt_gm_audit_password</f>
        <v>Value Missing</v>
      </c>
      <c r="E513" s="4"/>
      <c r="G513" s="36"/>
    </row>
    <row r="514" spans="2:7" ht="20" customHeight="1" x14ac:dyDescent="0.2">
      <c r="B514" s="4" t="s">
        <v>405</v>
      </c>
      <c r="C514" s="106" t="str">
        <f>CONCATENATE(sample_mgmt_nsxt_global_mgrc_hostname,".",sample_child_dns_zone)</f>
        <v>sfo-m01-nsx-gm01c.sfo.rainpole.io</v>
      </c>
      <c r="D514" s="66"/>
      <c r="E514" s="4"/>
    </row>
    <row r="515" spans="2:7" ht="20" customHeight="1" x14ac:dyDescent="0.2">
      <c r="B515" s="4" t="s">
        <v>406</v>
      </c>
      <c r="C515" s="172" t="str">
        <f>IF(mgmt_dpg_reuse_result="Included",CONCATENATE(prefix_mgmt_az1_cidr,"10.84"),CONCATENATE(prefix_mgmt_az1_cidr,"11.84"))</f>
        <v>10.11.10.84</v>
      </c>
      <c r="D515" s="157"/>
      <c r="E515" s="4"/>
    </row>
    <row r="516" spans="2:7" ht="20" customHeight="1" x14ac:dyDescent="0.2">
      <c r="B516" s="4" t="s">
        <v>407</v>
      </c>
      <c r="C516" s="106" t="s">
        <v>126</v>
      </c>
      <c r="D516" s="8" t="str">
        <f>mgmt_az1_mgmt_vm_mask</f>
        <v>Value Missing</v>
      </c>
      <c r="E516" s="4"/>
    </row>
    <row r="517" spans="2:7" ht="20" customHeight="1" x14ac:dyDescent="0.2">
      <c r="B517" s="4" t="s">
        <v>408</v>
      </c>
      <c r="C517" s="106" t="str">
        <f>sample_mgmt_az1_mgmt_vm_gateway_cidr</f>
        <v>10.11.10.1/24</v>
      </c>
      <c r="D517" s="8" t="str">
        <f>mgmt_az1_mgmt_vm_gateway_ip</f>
        <v>Value Missing</v>
      </c>
      <c r="E517" s="4"/>
    </row>
    <row r="518" spans="2:7" ht="20" customHeight="1" x14ac:dyDescent="0.2">
      <c r="B518" s="4" t="s">
        <v>409</v>
      </c>
      <c r="C518" s="106" t="str">
        <f>CONCATENATE(sample_mgmt_witness_dns1_ip,",",sample_mgmt_witness_dns2_ip)</f>
        <v>10.21.10.4,10.21.10.5</v>
      </c>
      <c r="D518" s="8" t="str">
        <f>IF(ISBLANK(input_region_dns1_ip),"Value Missing",CONCATENATE(region_dns1_ip,",",IF(ISBLANK(input_region_dns2_ip),"Value Missing",region_dns2_ip)))</f>
        <v>Value Missing</v>
      </c>
      <c r="E518" s="4"/>
    </row>
    <row r="519" spans="2:7" ht="20" customHeight="1" x14ac:dyDescent="0.2">
      <c r="B519" s="4" t="s">
        <v>410</v>
      </c>
      <c r="C519" s="106" t="str">
        <f>CONCATENATE(sample_child_dns_zone,",",sample_parent_dns_zone)</f>
        <v>sfo.rainpole.io,rainpole.io</v>
      </c>
      <c r="D519" s="8" t="str">
        <f>CONCATENATE(child_dns_zone,",",parent_dns_zone)</f>
        <v>Value Missing,Value Missing</v>
      </c>
      <c r="E519" s="4"/>
      <c r="G519" s="36"/>
    </row>
    <row r="520" spans="2:7" ht="20" customHeight="1" x14ac:dyDescent="0.2">
      <c r="B520" s="4" t="s">
        <v>411</v>
      </c>
      <c r="C520" s="106" t="str">
        <f>IF(AND((NOT(ISBLANK(sample_region_ntp2_server))),(sample_region_ntp2_server &lt;&gt; "n/a")),CONCATENATE(sample_region_ntp1_server,",",sample_region_ntp2_server),sample_region_ntp1_server)</f>
        <v>ntp0.sfo.rainpole.io,ntp1.sfo.rainpole.io</v>
      </c>
      <c r="D520" s="8" t="str">
        <f>IF(AND((NOT(ISBLANK(region_ntp2_server))),(region_ntp2_server &lt;&gt; "n/a")),CONCATENATE(region_ntp1_server,",",region_ntp2_server),region_ntp1_server)</f>
        <v>Value Missing,Value Missing</v>
      </c>
      <c r="E520" s="4"/>
    </row>
    <row r="521" spans="2:7" ht="20" customHeight="1" x14ac:dyDescent="0.2">
      <c r="B521" s="4" t="s">
        <v>412</v>
      </c>
      <c r="C521" s="172" t="str">
        <f>CONCATENATE(this_instance,"-m01-nsx-gm01",".",sample_child_dns_zone)</f>
        <v>sfo-m01-nsx-gm01.sfo.rainpole.io</v>
      </c>
      <c r="D521" s="157"/>
      <c r="E521" s="4"/>
    </row>
    <row r="522" spans="2:7" ht="20" customHeight="1" x14ac:dyDescent="0.2">
      <c r="B522" s="563" t="s">
        <v>413</v>
      </c>
      <c r="C522" s="564"/>
      <c r="D522" s="564"/>
      <c r="E522" s="565"/>
      <c r="G522" s="36"/>
    </row>
    <row r="523" spans="2:7" ht="20" customHeight="1" x14ac:dyDescent="0.2">
      <c r="B523" s="23" t="s">
        <v>359</v>
      </c>
      <c r="C523" s="65" t="str">
        <f>sample_mgmt_vc_fqdn</f>
        <v>sfo-m01-vc01.sfo.rainpole.io</v>
      </c>
      <c r="D523" s="134" t="str">
        <f>mgmt_vc_fqdn</f>
        <v>Value Missing</v>
      </c>
      <c r="E523" s="4"/>
    </row>
    <row r="524" spans="2:7" ht="20" customHeight="1" x14ac:dyDescent="0.2">
      <c r="B524" s="23" t="s">
        <v>414</v>
      </c>
      <c r="C524" s="106" t="s">
        <v>415</v>
      </c>
      <c r="D524" s="66"/>
      <c r="E524" s="87"/>
    </row>
    <row r="525" spans="2:7" ht="20" customHeight="1" x14ac:dyDescent="0.2">
      <c r="B525" s="23" t="s">
        <v>416</v>
      </c>
      <c r="C525" s="106" t="s">
        <v>417</v>
      </c>
      <c r="D525" s="66"/>
      <c r="E525" s="87"/>
    </row>
    <row r="526" spans="2:7" ht="20" customHeight="1" x14ac:dyDescent="0.2">
      <c r="B526" s="23" t="s">
        <v>418</v>
      </c>
      <c r="C526" s="65" t="str">
        <f>sample_mgmt_nsxt_global_mgrb_hostname</f>
        <v>sfo-m01-nsx-gm01b</v>
      </c>
      <c r="D526" s="134" t="str">
        <f>mgmt_nsxt_global_mgrb_fqdn</f>
        <v>Value Missing</v>
      </c>
      <c r="E526" s="87"/>
    </row>
    <row r="527" spans="2:7" ht="20" customHeight="1" x14ac:dyDescent="0.2">
      <c r="B527" s="23" t="s">
        <v>419</v>
      </c>
      <c r="C527" s="65" t="str">
        <f>sample_mgmt_nsxt_global_mgra_ip</f>
        <v>10.11.10.82</v>
      </c>
      <c r="D527" s="134" t="str">
        <f>mgmt_nsxt_global_mgra_ip</f>
        <v>Value Missing</v>
      </c>
      <c r="E527" s="87"/>
    </row>
    <row r="528" spans="2:7" ht="20" customHeight="1" x14ac:dyDescent="0.2">
      <c r="B528" s="23" t="s">
        <v>420</v>
      </c>
      <c r="C528" s="65" t="str">
        <f>sample_mgmt_nsxt_global_mgr_cluster_id</f>
        <v>ca3bd7dc-aa06-4f2d-a9e1-0c4999354c9b</v>
      </c>
      <c r="D528" s="134" t="str">
        <f>mgmt_nsxt_global_mgr_cluster_id</f>
        <v>Value Missing</v>
      </c>
      <c r="E528" s="87"/>
      <c r="G528" s="36"/>
    </row>
    <row r="529" spans="2:7" ht="20" customHeight="1" x14ac:dyDescent="0.2">
      <c r="B529" s="23" t="s">
        <v>421</v>
      </c>
      <c r="C529" s="65" t="s">
        <v>422</v>
      </c>
      <c r="D529" s="114"/>
      <c r="E529" s="87"/>
    </row>
    <row r="530" spans="2:7" ht="20" customHeight="1" x14ac:dyDescent="0.2">
      <c r="B530" s="23" t="s">
        <v>423</v>
      </c>
      <c r="C530" s="65" t="str">
        <f>sample_nsxt_gm_admin_password</f>
        <v>VMw@re1!VMw@re1!</v>
      </c>
      <c r="D530" s="134" t="str">
        <f>nsxt_gm_admin_password</f>
        <v>Value Missing</v>
      </c>
      <c r="E530" s="87"/>
    </row>
    <row r="531" spans="2:7" ht="20" customHeight="1" x14ac:dyDescent="0.2">
      <c r="B531" s="23" t="s">
        <v>424</v>
      </c>
      <c r="C531" s="65" t="str">
        <f>sample_mgmt_nsxt_global_mgr_vmca_signed_thumbprint</f>
        <v>c7a6264cd8f74033e851944a205110afdeb046386af42ce47240939c417acb93</v>
      </c>
      <c r="D531" s="134" t="str">
        <f>mgmt_nsxt_global_mgr_vmca_signed_thumbprint</f>
        <v>Value Missing</v>
      </c>
      <c r="E531" s="87"/>
    </row>
    <row r="532" spans="2:7" ht="20" customHeight="1" x14ac:dyDescent="0.2">
      <c r="B532" s="23" t="s">
        <v>425</v>
      </c>
      <c r="C532" s="65" t="str">
        <f>sample_mgmt_nsxt_global_mgrc_hostname</f>
        <v>sfo-m01-nsx-gm01c</v>
      </c>
      <c r="D532" s="134" t="str">
        <f>mgmt_nsxt_global_mgrc_fqdn</f>
        <v>Value Missing</v>
      </c>
      <c r="E532" s="87"/>
    </row>
    <row r="533" spans="2:7" ht="20" customHeight="1" x14ac:dyDescent="0.2">
      <c r="B533" s="23" t="s">
        <v>426</v>
      </c>
      <c r="C533" s="65" t="str">
        <f>sample_mgmt_nsxt_global_mgra_ip</f>
        <v>10.11.10.82</v>
      </c>
      <c r="D533" s="134" t="str">
        <f>mgmt_nsxt_global_mgra_ip</f>
        <v>Value Missing</v>
      </c>
      <c r="E533" s="87"/>
    </row>
    <row r="534" spans="2:7" ht="20" customHeight="1" x14ac:dyDescent="0.2">
      <c r="B534" s="23" t="s">
        <v>427</v>
      </c>
      <c r="C534" s="65" t="str">
        <f>sample_mgmt_nsxt_global_mgr_cluster_id</f>
        <v>ca3bd7dc-aa06-4f2d-a9e1-0c4999354c9b</v>
      </c>
      <c r="D534" s="134" t="str">
        <f>mgmt_nsxt_global_mgr_cluster_id</f>
        <v>Value Missing</v>
      </c>
      <c r="E534" s="87"/>
    </row>
    <row r="535" spans="2:7" ht="20" customHeight="1" x14ac:dyDescent="0.2">
      <c r="B535" s="23" t="s">
        <v>428</v>
      </c>
      <c r="C535" s="65" t="s">
        <v>422</v>
      </c>
      <c r="D535" s="114"/>
      <c r="E535" s="87"/>
      <c r="G535" s="36"/>
    </row>
    <row r="536" spans="2:7" ht="20" customHeight="1" x14ac:dyDescent="0.2">
      <c r="B536" s="23" t="s">
        <v>429</v>
      </c>
      <c r="C536" s="65" t="str">
        <f>sample_nsxt_gm_admin_password</f>
        <v>VMw@re1!VMw@re1!</v>
      </c>
      <c r="D536" s="134" t="str">
        <f>nsxt_gm_admin_password</f>
        <v>Value Missing</v>
      </c>
      <c r="E536" s="87"/>
    </row>
    <row r="537" spans="2:7" ht="20" customHeight="1" x14ac:dyDescent="0.2">
      <c r="B537" s="23" t="s">
        <v>430</v>
      </c>
      <c r="C537" s="65" t="str">
        <f>sample_mgmt_nsxt_global_mgr_vmca_signed_thumbprint</f>
        <v>c7a6264cd8f74033e851944a205110afdeb046386af42ce47240939c417acb93</v>
      </c>
      <c r="D537" s="134" t="str">
        <f>mgmt_nsxt_global_mgr_vmca_signed_thumbprint</f>
        <v>Value Missing</v>
      </c>
      <c r="E537" s="87"/>
    </row>
    <row r="538" spans="2:7" ht="20" customHeight="1" x14ac:dyDescent="0.2">
      <c r="B538" s="563" t="s">
        <v>431</v>
      </c>
      <c r="C538" s="564"/>
      <c r="D538" s="564"/>
      <c r="E538" s="565"/>
    </row>
    <row r="539" spans="2:7" ht="20" customHeight="1" x14ac:dyDescent="0.2">
      <c r="B539" s="4" t="s">
        <v>359</v>
      </c>
      <c r="C539" s="65" t="str">
        <f>sample_mgmt_vc_fqdn</f>
        <v>sfo-m01-vc01.sfo.rainpole.io</v>
      </c>
      <c r="D539" s="8" t="str">
        <f>mgmt_vc_fqdn</f>
        <v>Value Missing</v>
      </c>
      <c r="E539" s="4"/>
    </row>
    <row r="540" spans="2:7" ht="20" customHeight="1" x14ac:dyDescent="0.2">
      <c r="B540" s="4" t="s">
        <v>254</v>
      </c>
      <c r="C540" s="65" t="str">
        <f>CONCATENATE(sample_mgmt_sddc_domain,"-anti-affinity-rule-nsx-global-managers")</f>
        <v>sfo-m01-anti-affinity-rule-nsx-global-managers</v>
      </c>
      <c r="D540" s="66"/>
      <c r="E540" s="4"/>
    </row>
    <row r="541" spans="2:7" ht="20" customHeight="1" x14ac:dyDescent="0.2">
      <c r="B541" s="4" t="s">
        <v>432</v>
      </c>
      <c r="C541" s="65" t="str">
        <f>sample_mgmt_nsxt_global_mgra_hostname</f>
        <v>sfo-m01-nsx-gm01a</v>
      </c>
      <c r="D541" s="8" t="str">
        <f>mgmt_nsxt_global_mgra_hostname</f>
        <v>Value Missing</v>
      </c>
      <c r="E541" s="4"/>
    </row>
    <row r="542" spans="2:7" ht="20" customHeight="1" x14ac:dyDescent="0.2">
      <c r="B542" s="4" t="s">
        <v>433</v>
      </c>
      <c r="C542" s="65" t="str">
        <f>sample_mgmt_nsxt_global_mgrb_hostname</f>
        <v>sfo-m01-nsx-gm01b</v>
      </c>
      <c r="D542" s="8" t="str">
        <f>mgmt_nsxt_global_mgrb_hostname</f>
        <v>Value Missing</v>
      </c>
      <c r="E542" s="4"/>
      <c r="G542" s="36"/>
    </row>
    <row r="543" spans="2:7" ht="20" customHeight="1" x14ac:dyDescent="0.2">
      <c r="B543" s="4" t="s">
        <v>434</v>
      </c>
      <c r="C543" s="65" t="str">
        <f>sample_mgmt_nsxt_global_mgrc_hostname</f>
        <v>sfo-m01-nsx-gm01c</v>
      </c>
      <c r="D543" s="8" t="str">
        <f>mgmt_nsxt_global_mgrc_hostname</f>
        <v>Value Missing</v>
      </c>
      <c r="E543" s="4"/>
    </row>
    <row r="544" spans="2:7" ht="20" customHeight="1" x14ac:dyDescent="0.2">
      <c r="B544" s="563" t="s">
        <v>435</v>
      </c>
      <c r="C544" s="564"/>
      <c r="D544" s="564"/>
      <c r="E544" s="565"/>
    </row>
    <row r="545" spans="2:7" ht="20" customHeight="1" x14ac:dyDescent="0.2">
      <c r="B545" s="4" t="s">
        <v>436</v>
      </c>
      <c r="C545" s="65" t="str">
        <f>sample_mgmt_nsxt_global_mgra_fqdn</f>
        <v>sfo-m01-nsx-gm01a.sfo.rainpole.io</v>
      </c>
      <c r="D545" s="134" t="str">
        <f>mgmt_nsxt_global_mgra_fqdn</f>
        <v>Value Missing</v>
      </c>
      <c r="E545" s="4"/>
      <c r="G545" s="36"/>
    </row>
    <row r="546" spans="2:7" ht="20" customHeight="1" x14ac:dyDescent="0.2">
      <c r="B546" s="4" t="s">
        <v>437</v>
      </c>
      <c r="C546" s="109" t="str">
        <f>IF(mgmt_dpg_reuse_result="Included",CONCATENATE(prefix_mgmt_az1_cidr,"10.81"),CONCATENATE(prefix_mgmt_az1_cidr,"11.81"))</f>
        <v>10.11.10.81</v>
      </c>
      <c r="D546" s="157"/>
      <c r="E546" s="4"/>
    </row>
    <row r="547" spans="2:7" ht="20" customHeight="1" x14ac:dyDescent="0.2">
      <c r="B547" s="4" t="s">
        <v>438</v>
      </c>
      <c r="C547" s="65" t="str">
        <f>sample_mgmt_nsxt_gm_vip_fqdn</f>
        <v>sfo-m01-nsx-gm01.sfo.rainpole.io</v>
      </c>
      <c r="D547" s="134" t="str">
        <f>mgmt_nsxt_gm_vip_fqdn</f>
        <v>Value Missing</v>
      </c>
      <c r="E547" s="87"/>
    </row>
    <row r="548" spans="2:7" ht="20" customHeight="1" x14ac:dyDescent="0.2">
      <c r="B548" s="563" t="s">
        <v>439</v>
      </c>
      <c r="C548" s="564"/>
      <c r="D548" s="564"/>
      <c r="E548" s="565"/>
    </row>
    <row r="549" spans="2:7" ht="20" customHeight="1" x14ac:dyDescent="0.2">
      <c r="B549" s="4" t="s">
        <v>438</v>
      </c>
      <c r="C549" s="65" t="str">
        <f>sample_mgmt_nsxt_gm_vip_fqdn</f>
        <v>sfo-m01-nsx-gm01.sfo.rainpole.io</v>
      </c>
      <c r="D549" s="134" t="str">
        <f>mgmt_nsxt_gm_vip_fqdn</f>
        <v>Value Missing</v>
      </c>
      <c r="E549" s="87"/>
    </row>
    <row r="550" spans="2:7" ht="20" customHeight="1" x14ac:dyDescent="0.2">
      <c r="B550" s="563" t="s">
        <v>440</v>
      </c>
      <c r="C550" s="564"/>
      <c r="D550" s="564"/>
      <c r="E550" s="565"/>
    </row>
    <row r="551" spans="2:7" ht="20" customHeight="1" x14ac:dyDescent="0.2">
      <c r="B551" s="4" t="s">
        <v>438</v>
      </c>
      <c r="C551" s="65" t="str">
        <f>sample_mgmt_nsxt_gm_vip_fqdn</f>
        <v>sfo-m01-nsx-gm01.sfo.rainpole.io</v>
      </c>
      <c r="D551" s="134" t="str">
        <f>mgmt_nsxt_gm_vip_fqdn</f>
        <v>Value Missing</v>
      </c>
      <c r="E551" s="87"/>
    </row>
    <row r="552" spans="2:7" ht="20" customHeight="1" x14ac:dyDescent="0.2">
      <c r="B552" s="4" t="s">
        <v>441</v>
      </c>
      <c r="C552" s="65" t="s">
        <v>442</v>
      </c>
      <c r="D552" s="114"/>
      <c r="E552" s="87"/>
      <c r="G552" s="36"/>
    </row>
    <row r="553" spans="2:7" ht="20" customHeight="1" x14ac:dyDescent="0.2">
      <c r="B553" s="4" t="s">
        <v>436</v>
      </c>
      <c r="C553" s="65" t="str">
        <f>sample_mgmt_nsxt_global_mgra_fqdn</f>
        <v>sfo-m01-nsx-gm01a.sfo.rainpole.io</v>
      </c>
      <c r="D553" s="134" t="str">
        <f>mgmt_nsxt_global_mgra_fqdn</f>
        <v>Value Missing</v>
      </c>
      <c r="E553" s="4"/>
    </row>
    <row r="554" spans="2:7" ht="20" customHeight="1" x14ac:dyDescent="0.2">
      <c r="B554" s="4" t="s">
        <v>443</v>
      </c>
      <c r="C554" s="65" t="str">
        <f>sample_mgmt_nsxt_global_mgr_certificate_id</f>
        <v>a900065b-aeb5-457e-aca6-4612b17d06d9</v>
      </c>
      <c r="D554" s="134" t="str">
        <f>mgmt_nsxt_global_mgr_certificate_id</f>
        <v>Value Missing</v>
      </c>
      <c r="E554" s="87"/>
    </row>
    <row r="555" spans="2:7" ht="20" customHeight="1" x14ac:dyDescent="0.2">
      <c r="B555" s="563" t="s">
        <v>444</v>
      </c>
      <c r="C555" s="564"/>
      <c r="D555" s="564"/>
      <c r="E555" s="565"/>
    </row>
    <row r="556" spans="2:7" ht="20" customHeight="1" x14ac:dyDescent="0.2">
      <c r="B556" s="4" t="s">
        <v>438</v>
      </c>
      <c r="C556" s="65" t="str">
        <f>sample_mgmt_nsxt_gm_vip_fqdn</f>
        <v>sfo-m01-nsx-gm01.sfo.rainpole.io</v>
      </c>
      <c r="D556" s="134" t="str">
        <f>mgmt_nsxt_gm_vip_fqdn</f>
        <v>Value Missing</v>
      </c>
      <c r="E556" s="87"/>
    </row>
    <row r="557" spans="2:7" ht="20" customHeight="1" x14ac:dyDescent="0.2">
      <c r="B557" s="4" t="s">
        <v>445</v>
      </c>
      <c r="C557" s="65" t="str">
        <f>sample_mgmt_nsxt_global_mgrb_hostname</f>
        <v>sfo-m01-nsx-gm01b</v>
      </c>
      <c r="D557" s="134" t="str">
        <f>mgmt_nsxt_global_mgrb_fqdn</f>
        <v>Value Missing</v>
      </c>
      <c r="E557" s="4"/>
    </row>
    <row r="558" spans="2:7" ht="20" customHeight="1" x14ac:dyDescent="0.2">
      <c r="B558" s="4" t="s">
        <v>446</v>
      </c>
      <c r="C558" s="65" t="str">
        <f>sample_mgmt_nsxt_global_mgrc_hostname</f>
        <v>sfo-m01-nsx-gm01c</v>
      </c>
      <c r="D558" s="134" t="str">
        <f>mgmt_nsxt_global_mgrc_fqdn</f>
        <v>Value Missing</v>
      </c>
      <c r="E558" s="4"/>
    </row>
    <row r="559" spans="2:7" ht="20" customHeight="1" x14ac:dyDescent="0.2">
      <c r="B559" s="4" t="s">
        <v>443</v>
      </c>
      <c r="C559" s="65" t="str">
        <f>sample_mgmt_nsxt_global_mgr_certificate_id</f>
        <v>a900065b-aeb5-457e-aca6-4612b17d06d9</v>
      </c>
      <c r="D559" s="134" t="str">
        <f>mgmt_nsxt_global_mgr_certificate_id</f>
        <v>Value Missing</v>
      </c>
      <c r="E559" s="87"/>
    </row>
    <row r="560" spans="2:7" ht="20" customHeight="1" x14ac:dyDescent="0.2">
      <c r="B560" s="563" t="s">
        <v>447</v>
      </c>
      <c r="C560" s="564"/>
      <c r="D560" s="564"/>
      <c r="E560" s="565"/>
    </row>
    <row r="561" spans="2:7" ht="20" customHeight="1" x14ac:dyDescent="0.2">
      <c r="B561" s="4" t="s">
        <v>448</v>
      </c>
      <c r="C561" s="65" t="str">
        <f>sample_mgmt_nsxt_vip_fqdn</f>
        <v>sfo-m01-nsx01.sfo.rainpole.io</v>
      </c>
      <c r="D561" s="134" t="str">
        <f>mgmt_nsxt_vip_fqdn</f>
        <v>Value Missing</v>
      </c>
      <c r="E561" s="4"/>
    </row>
    <row r="562" spans="2:7" ht="20" customHeight="1" x14ac:dyDescent="0.2">
      <c r="B562" s="4" t="s">
        <v>254</v>
      </c>
      <c r="C562" s="103" t="str">
        <f>CONCATENATE(this_instance,"-m01-r01-ip-pool-rtep")</f>
        <v>sfo-m01-r01-ip-pool-rtep</v>
      </c>
      <c r="D562" s="114"/>
      <c r="E562" s="4"/>
    </row>
    <row r="563" spans="2:7" ht="20" customHeight="1" x14ac:dyDescent="0.2">
      <c r="B563" s="4" t="s">
        <v>449</v>
      </c>
      <c r="C563" s="103" t="str">
        <f>CONCATENATE(prefix_mgmt_az1_cidr,"20.101")</f>
        <v>10.11.20.101</v>
      </c>
      <c r="D563" s="66"/>
      <c r="E563" s="4"/>
      <c r="G563" s="36"/>
    </row>
    <row r="564" spans="2:7" ht="20" customHeight="1" x14ac:dyDescent="0.2">
      <c r="B564" s="4" t="s">
        <v>450</v>
      </c>
      <c r="C564" s="103" t="str">
        <f>IF(mgmt_stretched_cluster_result="Excluded",CONCATENATE(prefix_mgmt_az1_cidr,"20.116"),CONCATENATE(prefix_mgmt_az1_cidr,"20.132"))</f>
        <v>10.11.20.116</v>
      </c>
      <c r="D564" s="66"/>
      <c r="E564" s="4"/>
      <c r="G564" s="36"/>
    </row>
    <row r="565" spans="2:7" ht="20" customHeight="1" x14ac:dyDescent="0.2">
      <c r="B565" s="4" t="s">
        <v>451</v>
      </c>
      <c r="C565" s="103" t="str">
        <f>CONCATENATE(prefix_mgmt_az1_cidr,"20.0/24")</f>
        <v>10.11.20.0/24</v>
      </c>
      <c r="D565" s="66"/>
      <c r="E565" s="4"/>
    </row>
    <row r="566" spans="2:7" ht="20" customHeight="1" x14ac:dyDescent="0.2">
      <c r="B566" s="4" t="s">
        <v>452</v>
      </c>
      <c r="C566" s="103" t="str">
        <f>CONCATENATE(prefix_mgmt_az1_cidr,"20.1")</f>
        <v>10.11.20.1</v>
      </c>
      <c r="D566" s="66"/>
      <c r="E566" s="4"/>
    </row>
    <row r="567" spans="2:7" ht="20" customHeight="1" x14ac:dyDescent="0.2">
      <c r="B567" s="563" t="s">
        <v>453</v>
      </c>
      <c r="C567" s="564"/>
      <c r="D567" s="564"/>
      <c r="E567" s="565"/>
    </row>
    <row r="568" spans="2:7" ht="20" customHeight="1" x14ac:dyDescent="0.2">
      <c r="B568" s="4" t="s">
        <v>454</v>
      </c>
      <c r="C568" s="65" t="str">
        <f>sample_mgmt_nsxt_gm_vip_fqdn</f>
        <v>sfo-m01-nsx-gm01.sfo.rainpole.io</v>
      </c>
      <c r="D568" s="134" t="str">
        <f>mgmt_nsxt_gm_vip_fqdn</f>
        <v>Value Missing</v>
      </c>
      <c r="E568" s="87"/>
    </row>
    <row r="569" spans="2:7" ht="20" customHeight="1" x14ac:dyDescent="0.2">
      <c r="B569" s="4" t="s">
        <v>455</v>
      </c>
      <c r="C569" s="106" t="str">
        <f>CONCATENATE(this_instance,"-m01-nsx-gm01")</f>
        <v>sfo-m01-nsx-gm01</v>
      </c>
      <c r="D569" s="66"/>
      <c r="E569" s="87"/>
      <c r="G569" s="36"/>
    </row>
    <row r="570" spans="2:7" ht="20" customHeight="1" x14ac:dyDescent="0.2">
      <c r="B570" s="563" t="s">
        <v>456</v>
      </c>
      <c r="C570" s="564"/>
      <c r="D570" s="564"/>
      <c r="E570" s="565"/>
    </row>
    <row r="571" spans="2:7" ht="20" customHeight="1" x14ac:dyDescent="0.2">
      <c r="B571" s="4" t="s">
        <v>457</v>
      </c>
      <c r="C571" s="65" t="str">
        <f>sample_mgmt_nsxt_gm_vip_fqdn</f>
        <v>sfo-m01-nsx-gm01.sfo.rainpole.io</v>
      </c>
      <c r="D571" s="134" t="str">
        <f>mgmt_nsxt_gm_vip_fqdn</f>
        <v>Value Missing</v>
      </c>
      <c r="E571" s="87"/>
    </row>
    <row r="572" spans="2:7" ht="20" customHeight="1" x14ac:dyDescent="0.2">
      <c r="B572" s="4" t="s">
        <v>458</v>
      </c>
      <c r="C572" s="65" t="s">
        <v>459</v>
      </c>
      <c r="D572" s="66"/>
      <c r="E572" s="87"/>
    </row>
    <row r="573" spans="2:7" ht="20" customHeight="1" x14ac:dyDescent="0.2">
      <c r="B573" s="4" t="s">
        <v>460</v>
      </c>
      <c r="C573" s="65" t="str">
        <f t="array" ref="C573">IF(mgmt_domain_chosen="First Instance",sample_mgmt_nsxt_gm_vip_fqdn,sample_mgmt_existing_active_nsx_gm)</f>
        <v>sfo-m01-nsx-gm01.sfo.rainpole.io</v>
      </c>
      <c r="D573" s="134" t="str">
        <f t="array" ref="D573">IF(mgmt_domain_chosen="First Instance",mgmt_nsxt_gm_vip_fqdn,mgmt_existing_active_nsx_gm)</f>
        <v>Value Missing</v>
      </c>
      <c r="E573" s="87"/>
      <c r="G573" s="36"/>
    </row>
    <row r="574" spans="2:7" ht="20" customHeight="1" x14ac:dyDescent="0.2">
      <c r="B574" s="4" t="s">
        <v>461</v>
      </c>
      <c r="C574" s="65" t="str">
        <f>sample_mgmt_nsxt_federation_global_manager_name</f>
        <v>sfo-m01-nsx-gm01</v>
      </c>
      <c r="D574" s="134" t="str">
        <f>mgmt_nsxt_federation_global_manager_name</f>
        <v>Value Missing</v>
      </c>
      <c r="E574" s="87"/>
    </row>
    <row r="575" spans="2:7" ht="20" customHeight="1" x14ac:dyDescent="0.2">
      <c r="B575" s="4" t="s">
        <v>462</v>
      </c>
      <c r="C575" s="65" t="str">
        <f>sample_mgmt_nsxt_gm_vip_fqdn</f>
        <v>sfo-m01-nsx-gm01.sfo.rainpole.io</v>
      </c>
      <c r="D575" s="134" t="str">
        <f>mgmt_nsxt_gm_vip_fqdn</f>
        <v>Value Missing</v>
      </c>
      <c r="E575" s="87"/>
    </row>
    <row r="576" spans="2:7" ht="20" customHeight="1" x14ac:dyDescent="0.2">
      <c r="B576" s="4" t="s">
        <v>28</v>
      </c>
      <c r="C576" s="65" t="s">
        <v>422</v>
      </c>
      <c r="D576" s="134"/>
      <c r="E576" s="87"/>
    </row>
    <row r="577" spans="2:5" ht="20" customHeight="1" x14ac:dyDescent="0.2">
      <c r="B577" s="4" t="s">
        <v>30</v>
      </c>
      <c r="C577" s="65" t="str">
        <f>sample_nsxt_gm_admin_password</f>
        <v>VMw@re1!VMw@re1!</v>
      </c>
      <c r="D577" s="134" t="str">
        <f>nsxt_gm_admin_password</f>
        <v>Value Missing</v>
      </c>
      <c r="E577" s="87"/>
    </row>
    <row r="578" spans="2:5" ht="20" customHeight="1" x14ac:dyDescent="0.2">
      <c r="B578" s="4" t="s">
        <v>458</v>
      </c>
      <c r="C578" s="65" t="str">
        <f>sample_mgmt_nsxt_gm_fingerprint</f>
        <v>0d472de0d92da89f2b469d4d10ab23505ad4edb90cd7e68f84497008f6c89ff1</v>
      </c>
      <c r="D578" s="134" t="str">
        <f>mgmt_nsxt_gm_fingerprint</f>
        <v>Value Missing</v>
      </c>
      <c r="E578" s="87"/>
    </row>
    <row r="579" spans="2:5" ht="20" customHeight="1" x14ac:dyDescent="0.2">
      <c r="B579" s="563" t="s">
        <v>463</v>
      </c>
      <c r="C579" s="564"/>
      <c r="D579" s="564"/>
      <c r="E579" s="565"/>
    </row>
    <row r="580" spans="2:5" ht="20" customHeight="1" x14ac:dyDescent="0.2">
      <c r="B580" s="4" t="s">
        <v>448</v>
      </c>
      <c r="C580" s="65" t="str">
        <f>sample_mgmt_nsxt_vip_fqdn</f>
        <v>sfo-m01-nsx01.sfo.rainpole.io</v>
      </c>
      <c r="D580" s="134" t="str">
        <f>mgmt_nsxt_vip_fqdn</f>
        <v>Value Missing</v>
      </c>
      <c r="E580" s="4"/>
    </row>
    <row r="581" spans="2:5" ht="20" customHeight="1" x14ac:dyDescent="0.2">
      <c r="B581" s="4" t="s">
        <v>458</v>
      </c>
      <c r="C581" s="65" t="s">
        <v>464</v>
      </c>
      <c r="D581" s="66"/>
      <c r="E581" s="87"/>
    </row>
    <row r="582" spans="2:5" ht="20" customHeight="1" x14ac:dyDescent="0.2">
      <c r="B582" s="4" t="s">
        <v>460</v>
      </c>
      <c r="C582" s="65" t="str">
        <f t="array" ref="C582">IF(mgmt_domain_chosen="First Instance",sample_mgmt_nsxt_gm_vip_fqdn,sample_mgmt_existing_active_nsx_gm)</f>
        <v>sfo-m01-nsx-gm01.sfo.rainpole.io</v>
      </c>
      <c r="D582" s="134" t="str">
        <f t="array" ref="D582">IF(mgmt_domain_chosen="First Instance",mgmt_nsxt_gm_vip_fqdn,mgmt_existing_active_nsx_gm)</f>
        <v>Value Missing</v>
      </c>
      <c r="E582" s="87"/>
    </row>
    <row r="583" spans="2:5" ht="20" customHeight="1" x14ac:dyDescent="0.2">
      <c r="B583" s="4" t="s">
        <v>465</v>
      </c>
      <c r="C583" s="65" t="str">
        <f>CONCATENATE(this_instance,"-m01")</f>
        <v>sfo-m01</v>
      </c>
      <c r="D583" s="66"/>
      <c r="E583" s="87"/>
    </row>
    <row r="584" spans="2:5" ht="20" customHeight="1" x14ac:dyDescent="0.2">
      <c r="B584" s="4" t="s">
        <v>462</v>
      </c>
      <c r="C584" s="65" t="str">
        <f>sample_mgmt_nsxt_vip_fqdn</f>
        <v>sfo-m01-nsx01.sfo.rainpole.io</v>
      </c>
      <c r="D584" s="134" t="str">
        <f>mgmt_nsxt_vip_fqdn</f>
        <v>Value Missing</v>
      </c>
      <c r="E584" s="87"/>
    </row>
    <row r="585" spans="2:5" ht="20" customHeight="1" x14ac:dyDescent="0.2">
      <c r="B585" s="4" t="s">
        <v>28</v>
      </c>
      <c r="C585" s="65" t="s">
        <v>422</v>
      </c>
      <c r="D585" s="114"/>
      <c r="E585" s="87"/>
    </row>
    <row r="586" spans="2:5" ht="20" customHeight="1" x14ac:dyDescent="0.2">
      <c r="B586" s="4" t="s">
        <v>30</v>
      </c>
      <c r="C586" s="65" t="str">
        <f>sample_nsxt_lm_admin_password</f>
        <v>VMw@re1!VMw@re1!</v>
      </c>
      <c r="D586" s="134" t="str">
        <f>nsxt_lm_admin_password</f>
        <v>Value Missing</v>
      </c>
      <c r="E586" s="87"/>
    </row>
    <row r="587" spans="2:5" ht="20" customHeight="1" x14ac:dyDescent="0.2">
      <c r="B587" s="4" t="s">
        <v>458</v>
      </c>
      <c r="C587" s="65" t="str">
        <f>sample_mgmt_nsxt_lm_fingerprint</f>
        <v>676edbc9b8c639d9311aaea32a357c7c81226856ad4f8c73a68dd760652d6b5d</v>
      </c>
      <c r="D587" s="134" t="str">
        <f>mgmt_nsxt_lm_fingerprint</f>
        <v>Value Missing</v>
      </c>
      <c r="E587" s="87"/>
    </row>
    <row r="588" spans="2:5" ht="20" customHeight="1" x14ac:dyDescent="0.2">
      <c r="B588" s="4" t="s">
        <v>466</v>
      </c>
      <c r="C588" s="65" t="s">
        <v>467</v>
      </c>
      <c r="D588" s="134" t="s">
        <v>467</v>
      </c>
      <c r="E588" s="174"/>
    </row>
    <row r="589" spans="2:5" ht="20" customHeight="1" x14ac:dyDescent="0.2">
      <c r="B589" s="4" t="s">
        <v>468</v>
      </c>
      <c r="C589" s="65" t="str">
        <f>CONCATENATE(prefix_mgmt_az1_vlan,"20")</f>
        <v>1120</v>
      </c>
      <c r="D589" s="66"/>
      <c r="E589" s="87"/>
    </row>
    <row r="590" spans="2:5" ht="20" customHeight="1" x14ac:dyDescent="0.2">
      <c r="B590" s="4" t="s">
        <v>469</v>
      </c>
      <c r="C590" s="65" t="str">
        <f>sample_mgmt_az1_rtep_ip_pool_name</f>
        <v>sfo-m01-r01-ip-pool-rtep</v>
      </c>
      <c r="D590" s="134" t="str">
        <f>mgmt_az1_rtep_ip_pool_name</f>
        <v>Value Missing</v>
      </c>
      <c r="E590" s="87"/>
    </row>
    <row r="591" spans="2:5" ht="20" customHeight="1" x14ac:dyDescent="0.2">
      <c r="B591" s="563" t="s">
        <v>470</v>
      </c>
      <c r="C591" s="564"/>
      <c r="D591" s="564"/>
      <c r="E591" s="565"/>
    </row>
    <row r="592" spans="2:5" ht="20" customHeight="1" x14ac:dyDescent="0.2">
      <c r="B592" s="4" t="s">
        <v>438</v>
      </c>
      <c r="C592" s="65" t="str">
        <f>sample_mgmt_nsxt_gm_vip_fqdn</f>
        <v>sfo-m01-nsx-gm01.sfo.rainpole.io</v>
      </c>
      <c r="D592" s="134" t="str">
        <f>mgmt_nsxt_gm_vip_fqdn</f>
        <v>Value Missing</v>
      </c>
      <c r="E592" s="87"/>
    </row>
    <row r="593" spans="2:7" ht="20" customHeight="1" x14ac:dyDescent="0.2">
      <c r="B593" s="4" t="s">
        <v>471</v>
      </c>
      <c r="C593" s="106" t="str">
        <f>CONCATENATE(prefix_portable_component,"-m01-ec01-t1-gw01")</f>
        <v>flt-m01-ec01-t1-gw01</v>
      </c>
      <c r="D593" s="66"/>
      <c r="E593" s="87"/>
    </row>
    <row r="594" spans="2:7" ht="20" customHeight="1" x14ac:dyDescent="0.2">
      <c r="B594" s="4" t="s">
        <v>472</v>
      </c>
      <c r="C594" s="100" t="str">
        <f>CONCATENATE(this_instance,"-m01-ec01-t0-gw01")</f>
        <v>sfo-m01-ec01-t0-gw01</v>
      </c>
      <c r="D594" s="134"/>
      <c r="E594" s="87"/>
    </row>
    <row r="595" spans="2:7" ht="20" customHeight="1" x14ac:dyDescent="0.2">
      <c r="B595" s="350" t="s">
        <v>473</v>
      </c>
      <c r="C595" s="65" t="str">
        <f>sample_mgmt_nsxt_federation_location_name</f>
        <v>sfo-m01</v>
      </c>
      <c r="D595" s="8" t="str">
        <f>mgmt_nsxt_federation_location_name</f>
        <v>Value Missing</v>
      </c>
      <c r="E595" s="34"/>
    </row>
    <row r="596" spans="2:7" ht="20" customHeight="1" x14ac:dyDescent="0.2">
      <c r="B596" s="4" t="s">
        <v>88</v>
      </c>
      <c r="C596" s="65" t="str">
        <f>sample_mgmt_ec_name</f>
        <v>sfo-m01-ec01</v>
      </c>
      <c r="D596" s="134" t="str">
        <f>mgmt_ec_name</f>
        <v>Value Missing</v>
      </c>
      <c r="E596" s="87"/>
    </row>
    <row r="597" spans="2:7" ht="20" customHeight="1" x14ac:dyDescent="0.2">
      <c r="B597" s="563" t="s">
        <v>474</v>
      </c>
      <c r="C597" s="564"/>
      <c r="D597" s="564"/>
      <c r="E597" s="565"/>
    </row>
    <row r="598" spans="2:7" ht="20" customHeight="1" x14ac:dyDescent="0.2">
      <c r="B598" s="4" t="s">
        <v>438</v>
      </c>
      <c r="C598" s="65" t="str">
        <f>sample_mgmt_nsxt_gm_vip_fqdn</f>
        <v>sfo-m01-nsx-gm01.sfo.rainpole.io</v>
      </c>
      <c r="D598" s="134" t="str">
        <f>mgmt_nsxt_gm_vip_fqdn</f>
        <v>Value Missing</v>
      </c>
      <c r="E598" s="87"/>
    </row>
    <row r="599" spans="2:7" ht="20" customHeight="1" x14ac:dyDescent="0.2">
      <c r="B599" s="4" t="s">
        <v>475</v>
      </c>
      <c r="C599" s="65"/>
      <c r="D599" s="8"/>
      <c r="E599" s="87"/>
    </row>
    <row r="600" spans="2:7" ht="20" customHeight="1" x14ac:dyDescent="0.2">
      <c r="B600" s="4" t="s">
        <v>476</v>
      </c>
      <c r="C600" s="65" t="str">
        <f>sample_mgmt_nsxt_xreg_t1_name</f>
        <v>flt-m01-ec01-t1-gw01</v>
      </c>
      <c r="D600" s="134" t="str">
        <f>mgmt_nsxt_xreg_t1_name</f>
        <v>Value Missing</v>
      </c>
      <c r="E600" s="87"/>
    </row>
    <row r="601" spans="2:7" ht="20" customHeight="1" x14ac:dyDescent="0.2">
      <c r="B601" s="563" t="s">
        <v>477</v>
      </c>
      <c r="C601" s="564"/>
      <c r="D601" s="564"/>
      <c r="E601" s="565"/>
    </row>
    <row r="602" spans="2:7" ht="20" customHeight="1" x14ac:dyDescent="0.2">
      <c r="B602" s="4" t="s">
        <v>460</v>
      </c>
      <c r="C602" s="65" t="str">
        <f>IF(mgmt_domain_chosen="First Instance",CONCATENATE(this_instance,"-m01-nsx-gm01.",this_instance,".",sample_parent_dns_zone),CONCATENATE(other_instance,"-m01-nsx-gm01.",other_instance,".",sample_parent_dns_zone))</f>
        <v>sfo-m01-nsx-gm01.sfo.rainpole.io</v>
      </c>
      <c r="D602" s="134"/>
      <c r="E602" s="87"/>
    </row>
    <row r="603" spans="2:7" ht="20" customHeight="1" x14ac:dyDescent="0.2">
      <c r="B603" s="4" t="s">
        <v>478</v>
      </c>
      <c r="C603" s="100" t="str">
        <f>CONCATENATE(this_instance,"-m01-ec01-t0-gw01")</f>
        <v>sfo-m01-ec01-t0-gw01</v>
      </c>
      <c r="D603" s="114"/>
      <c r="E603" s="87"/>
    </row>
    <row r="604" spans="2:7" ht="20" customHeight="1" x14ac:dyDescent="0.2">
      <c r="B604" s="4" t="s">
        <v>473</v>
      </c>
      <c r="C604" s="100" t="str">
        <f>sample_mgmt_nsxt_federation_location_name</f>
        <v>sfo-m01</v>
      </c>
      <c r="D604" s="134" t="str">
        <f>mgmt_nsxt_federation_location_name</f>
        <v>Value Missing</v>
      </c>
      <c r="E604" s="34"/>
    </row>
    <row r="605" spans="2:7" ht="20" customHeight="1" x14ac:dyDescent="0.2">
      <c r="B605" s="4" t="s">
        <v>88</v>
      </c>
      <c r="C605" s="100" t="s">
        <v>479</v>
      </c>
      <c r="D605" s="134" t="str">
        <f>mgmt_ec_name</f>
        <v>Value Missing</v>
      </c>
      <c r="E605" s="87"/>
    </row>
    <row r="606" spans="2:7" ht="20" customHeight="1" x14ac:dyDescent="0.2">
      <c r="B606" s="4" t="s">
        <v>480</v>
      </c>
      <c r="C606" s="65" t="str">
        <f>CONCATENATE(sample_mgmt_az1_en1_hostname,"_VCF-edge_",sample_mgmt_ec_name,"_segment_",sample_mgmt_az1_uplink01_vlan,"_",sample_mgmt_az1_en1_uplink01_interface_cidr)</f>
        <v>sfo-m01-en1_VCF-edge_sfo-m01-ec01_segment_1117_10.11.17.2/24</v>
      </c>
      <c r="D606" s="134" t="str">
        <f>CONCATENATE(mgmt_az1_en1_hostname,"_VCF-edge_",mgmt_ec_name,"_segment_",mgmt_az1_uplink01_vlan,"_",mgmt_az1_en1_uplink01_interface_cidr)</f>
        <v>Value Missing_VCF-edge_Value Missing_segment_Value Missing_Value Missing</v>
      </c>
      <c r="E606" s="87"/>
    </row>
    <row r="607" spans="2:7" ht="20" customHeight="1" x14ac:dyDescent="0.2">
      <c r="B607" s="4" t="s">
        <v>481</v>
      </c>
      <c r="C607" s="65" t="str">
        <f>sample_mgmt_nsxt_federation_location_name</f>
        <v>sfo-m01</v>
      </c>
      <c r="D607" s="134" t="str">
        <f>mgmt_nsxt_federation_location_name</f>
        <v>Value Missing</v>
      </c>
      <c r="E607" s="87"/>
      <c r="G607" s="36"/>
    </row>
    <row r="608" spans="2:7" ht="20" customHeight="1" x14ac:dyDescent="0.2">
      <c r="B608" s="4" t="s">
        <v>482</v>
      </c>
      <c r="C608" s="65" t="str">
        <f>sample_mgmt_az1_en1_uplink01_interface_cidr</f>
        <v>10.11.17.2/24</v>
      </c>
      <c r="D608" s="134" t="str">
        <f>mgmt_az1_en1_uplink01_interface_cidr</f>
        <v>Value Missing</v>
      </c>
      <c r="E608" s="87"/>
    </row>
    <row r="609" spans="2:7" ht="20" customHeight="1" x14ac:dyDescent="0.2">
      <c r="B609" s="4" t="s">
        <v>483</v>
      </c>
      <c r="C609" s="65" t="str">
        <f>CONCATENATE("VCF-edge_",sample_mgmt_ec_name,"_segment_uplink1_",sample_mgmt_az1_uplink01_vlan)</f>
        <v>VCF-edge_sfo-m01-ec01_segment_uplink1_1117</v>
      </c>
      <c r="D609" s="134" t="str">
        <f>CONCATENATE("VCF-edge_",mgmt_ec_name,"_segment_uplink1_",mgmt_az1_uplink01_vlan)</f>
        <v>VCF-edge_Value Missing_segment_uplink1_Value Missing</v>
      </c>
      <c r="E609" s="87"/>
    </row>
    <row r="610" spans="2:7" ht="20" customHeight="1" x14ac:dyDescent="0.2">
      <c r="B610" s="4" t="s">
        <v>484</v>
      </c>
      <c r="C610" s="65" t="s">
        <v>485</v>
      </c>
      <c r="D610" s="134" t="str">
        <f>mgmt_az1_en1_hostname</f>
        <v>Value Missing</v>
      </c>
      <c r="E610" s="87"/>
    </row>
    <row r="611" spans="2:7" ht="20" customHeight="1" x14ac:dyDescent="0.2">
      <c r="B611" s="4" t="s">
        <v>486</v>
      </c>
      <c r="C611" s="65">
        <f>sample_mgmt_az1_uplink01_mtu</f>
        <v>9000</v>
      </c>
      <c r="D611" s="134" t="str">
        <f>mgmt_az1_uplink01_mtu</f>
        <v>Value Missing</v>
      </c>
      <c r="E611" s="87"/>
    </row>
    <row r="612" spans="2:7" ht="20" customHeight="1" x14ac:dyDescent="0.2">
      <c r="B612" s="4" t="s">
        <v>487</v>
      </c>
      <c r="C612" s="65" t="str">
        <f>CONCATENATE(sample_mgmt_az1_en1_hostname,"_VCF-edge_",sample_mgmt_ec_name,"_segment_",sample_mgmt_az1_uplink02_vlan,"_",sample_mgmt_az1_en1_uplink02_interface_cidr)</f>
        <v>sfo-m01-en1_VCF-edge_sfo-m01-ec01_segment_1118_10.11.18.2/24</v>
      </c>
      <c r="D612" s="134" t="str">
        <f>CONCATENATE(mgmt_az1_en1_hostname,"_VCF-edge_",mgmt_ec_name,"_segment_",mgmt_az1_uplink02_vlan,"_",mgmt_az1_en1_uplink02_interface_cidr)</f>
        <v>Value Missing_VCF-edge_Value Missing_segment_Value Missing_Value Missing</v>
      </c>
      <c r="E612" s="87"/>
    </row>
    <row r="613" spans="2:7" ht="20" customHeight="1" x14ac:dyDescent="0.2">
      <c r="B613" s="4" t="s">
        <v>488</v>
      </c>
      <c r="C613" s="100" t="str">
        <f>sample_mgmt_nsxt_federation_location_name</f>
        <v>sfo-m01</v>
      </c>
      <c r="D613" s="134" t="str">
        <f>mgmt_nsxt_federation_location_name</f>
        <v>Value Missing</v>
      </c>
      <c r="E613" s="87"/>
      <c r="G613" s="36"/>
    </row>
    <row r="614" spans="2:7" ht="20" customHeight="1" x14ac:dyDescent="0.2">
      <c r="B614" s="4" t="s">
        <v>489</v>
      </c>
      <c r="C614" s="65" t="str">
        <f>sample_mgmt_az1_en1_uplink02_interface_cidr</f>
        <v>10.11.18.2/24</v>
      </c>
      <c r="D614" s="134" t="str">
        <f>mgmt_az1_en1_uplink02_interface_cidr</f>
        <v>Value Missing</v>
      </c>
      <c r="E614" s="87"/>
    </row>
    <row r="615" spans="2:7" ht="20" customHeight="1" x14ac:dyDescent="0.2">
      <c r="B615" s="23" t="s">
        <v>490</v>
      </c>
      <c r="C615" s="65" t="str">
        <f>CONCATENATE("VCF-edge_",sample_mgmt_ec_name,"_segment_uplink2_",sample_mgmt_az1_uplink02_vlan)</f>
        <v>VCF-edge_sfo-m01-ec01_segment_uplink2_1118</v>
      </c>
      <c r="D615" s="134" t="str">
        <f>CONCATENATE("VCF-edge_",mgmt_ec_name,"_segment_uplink2_",mgmt_az1_uplink02_vlan)</f>
        <v>VCF-edge_Value Missing_segment_uplink2_Value Missing</v>
      </c>
      <c r="E615" s="87"/>
    </row>
    <row r="616" spans="2:7" ht="20" customHeight="1" x14ac:dyDescent="0.2">
      <c r="B616" s="4" t="s">
        <v>491</v>
      </c>
      <c r="C616" s="65" t="s">
        <v>492</v>
      </c>
      <c r="D616" s="134" t="str">
        <f>mgmt_az1_en1_hostname</f>
        <v>Value Missing</v>
      </c>
      <c r="E616" s="87"/>
    </row>
    <row r="617" spans="2:7" ht="20" customHeight="1" x14ac:dyDescent="0.2">
      <c r="B617" s="4" t="s">
        <v>493</v>
      </c>
      <c r="C617" s="65">
        <f>sample_mgmt_az1_uplink02_mtu</f>
        <v>9000</v>
      </c>
      <c r="D617" s="134" t="str">
        <f>mgmt_az1_uplink02_mtu</f>
        <v>Value Missing</v>
      </c>
      <c r="E617" s="87"/>
    </row>
    <row r="618" spans="2:7" ht="20" customHeight="1" x14ac:dyDescent="0.2">
      <c r="B618" s="4" t="s">
        <v>494</v>
      </c>
      <c r="C618" s="65" t="str">
        <f>CONCATENATE(sample_mgmt_az1_en2_hostname,"_VCF-edge_",sample_mgmt_ec_name,"_segment_",sample_mgmt_az1_uplink01_vlan,"_",sample_mgmt_az1_en2_uplink01_interface_cidr)</f>
        <v>sfo-m01-en2_VCF-edge_sfo-m01-ec01_segment_1117_10.11.17.3/24</v>
      </c>
      <c r="D618" s="134" t="str">
        <f>CONCATENATE(mgmt_az1_en2_hostname,"_VCF-edge_",mgmt_ec_name,"_segment_",mgmt_az1_uplink01_vlan,"_",mgmt_az1_en2_uplink01_interface_cidr)</f>
        <v>Value Missing_VCF-edge_Value Missing_segment_Value Missing_Value Missing</v>
      </c>
      <c r="E618" s="87"/>
    </row>
    <row r="619" spans="2:7" ht="20" customHeight="1" x14ac:dyDescent="0.2">
      <c r="B619" s="4" t="s">
        <v>495</v>
      </c>
      <c r="C619" s="65" t="str">
        <f>sample_mgmt_nsxt_federation_location_name</f>
        <v>sfo-m01</v>
      </c>
      <c r="D619" s="134" t="str">
        <f>mgmt_nsxt_federation_location_name</f>
        <v>Value Missing</v>
      </c>
      <c r="E619" s="87"/>
    </row>
    <row r="620" spans="2:7" ht="20" customHeight="1" x14ac:dyDescent="0.2">
      <c r="B620" s="4" t="s">
        <v>496</v>
      </c>
      <c r="C620" s="65" t="str">
        <f>sample_mgmt_az1_en2_uplink01_interface_cidr</f>
        <v>10.11.17.3/24</v>
      </c>
      <c r="D620" s="134" t="str">
        <f>mgmt_az1_en2_uplink01_interface_cidr</f>
        <v>Value Missing</v>
      </c>
      <c r="E620" s="87"/>
    </row>
    <row r="621" spans="2:7" ht="20" customHeight="1" x14ac:dyDescent="0.2">
      <c r="B621" s="23" t="s">
        <v>497</v>
      </c>
      <c r="C621" s="65" t="str">
        <f>CONCATENATE("VCF-edge_",sample_mgmt_ec_name,"_segment_uplink1_",sample_mgmt_az1_uplink01_vlan)</f>
        <v>VCF-edge_sfo-m01-ec01_segment_uplink1_1117</v>
      </c>
      <c r="D621" s="134" t="str">
        <f>CONCATENATE("VCF-edge_",mgmt_ec_name,"_segment_uplink1_",mgmt_az1_uplink01_vlan)</f>
        <v>VCF-edge_Value Missing_segment_uplink1_Value Missing</v>
      </c>
      <c r="E621" s="87"/>
    </row>
    <row r="622" spans="2:7" ht="20" customHeight="1" x14ac:dyDescent="0.2">
      <c r="B622" s="4" t="s">
        <v>498</v>
      </c>
      <c r="C622" s="65" t="str">
        <f>sample_mgmt_az1_en1_hostname</f>
        <v>sfo-m01-en1</v>
      </c>
      <c r="D622" s="134" t="str">
        <f>mgmt_az1_en2_hostname</f>
        <v>Value Missing</v>
      </c>
      <c r="E622" s="87"/>
    </row>
    <row r="623" spans="2:7" ht="20" customHeight="1" x14ac:dyDescent="0.2">
      <c r="B623" s="4" t="s">
        <v>499</v>
      </c>
      <c r="C623" s="65">
        <f>sample_mgmt_az1_uplink01_mtu</f>
        <v>9000</v>
      </c>
      <c r="D623" s="134" t="str">
        <f>mgmt_az1_uplink01_mtu</f>
        <v>Value Missing</v>
      </c>
      <c r="E623" s="87"/>
    </row>
    <row r="624" spans="2:7" ht="20" customHeight="1" x14ac:dyDescent="0.2">
      <c r="B624" s="4" t="s">
        <v>500</v>
      </c>
      <c r="C624" s="65" t="str">
        <f>CONCATENATE(sample_mgmt_az1_en2_hostname,"_VCF-edge_",sample_mgmt_ec_name,"_segment_",sample_mgmt_az1_uplink02_vlan,"_",sample_mgmt_az1_en2_uplink02_interface_cidr)</f>
        <v>sfo-m01-en2_VCF-edge_sfo-m01-ec01_segment_1118_10.11.18.3/24</v>
      </c>
      <c r="D624" s="134" t="str">
        <f>CONCATENATE(mgmt_az1_en2_hostname,"_VCF-edge_",mgmt_ec_name,"_segment_",mgmt_az1_uplink02_vlan,"_",mgmt_az1_en2_uplink02_interface_cidr)</f>
        <v>Value Missing_VCF-edge_Value Missing_segment_Value Missing_Value Missing</v>
      </c>
      <c r="E624" s="87"/>
    </row>
    <row r="625" spans="2:5" ht="20" customHeight="1" x14ac:dyDescent="0.2">
      <c r="B625" s="4" t="s">
        <v>501</v>
      </c>
      <c r="C625" s="65" t="str">
        <f>sample_mgmt_nsxt_federation_location_name</f>
        <v>sfo-m01</v>
      </c>
      <c r="D625" s="134" t="str">
        <f>mgmt_nsxt_federation_location_name</f>
        <v>Value Missing</v>
      </c>
      <c r="E625" s="87"/>
    </row>
    <row r="626" spans="2:5" ht="20" customHeight="1" x14ac:dyDescent="0.2">
      <c r="B626" s="4" t="s">
        <v>502</v>
      </c>
      <c r="C626" s="65" t="str">
        <f>sample_mgmt_az1_en2_uplink02_interface_cidr</f>
        <v>10.11.18.3/24</v>
      </c>
      <c r="D626" s="134" t="str">
        <f>mgmt_az1_en2_uplink02_interface_cidr</f>
        <v>Value Missing</v>
      </c>
      <c r="E626" s="87"/>
    </row>
    <row r="627" spans="2:5" ht="20" customHeight="1" x14ac:dyDescent="0.2">
      <c r="B627" s="23" t="s">
        <v>503</v>
      </c>
      <c r="C627" s="65" t="str">
        <f>CONCATENATE("VCF-edge_",sample_mgmt_ec_name,"_segment_uplink2_",sample_mgmt_az1_uplink02_vlan)</f>
        <v>VCF-edge_sfo-m01-ec01_segment_uplink2_1118</v>
      </c>
      <c r="D627" s="134" t="str">
        <f>CONCATENATE("VCF-edge_",mgmt_ec_name,"_segment_uplink2_",mgmt_az1_uplink02_vlan)</f>
        <v>VCF-edge_Value Missing_segment_uplink2_Value Missing</v>
      </c>
      <c r="E627" s="87"/>
    </row>
    <row r="628" spans="2:5" ht="20" customHeight="1" x14ac:dyDescent="0.2">
      <c r="B628" s="4" t="s">
        <v>504</v>
      </c>
      <c r="C628" s="65" t="str">
        <f t="array" ref="C628">sample_mgmt_az1_en2_hostname</f>
        <v>sfo-m01-en2</v>
      </c>
      <c r="D628" s="134" t="str">
        <f>mgmt_az1_en2_hostname</f>
        <v>Value Missing</v>
      </c>
      <c r="E628" s="87"/>
    </row>
    <row r="629" spans="2:5" ht="20" customHeight="1" x14ac:dyDescent="0.2">
      <c r="B629" s="4" t="s">
        <v>505</v>
      </c>
      <c r="C629" s="65">
        <f>sample_mgmt_az1_uplink02_mtu</f>
        <v>9000</v>
      </c>
      <c r="D629" s="134" t="str">
        <f>mgmt_az1_uplink02_mtu</f>
        <v>Value Missing</v>
      </c>
      <c r="E629" s="87"/>
    </row>
    <row r="630" spans="2:5" ht="20" customHeight="1" x14ac:dyDescent="0.2">
      <c r="B630" s="4" t="s">
        <v>506</v>
      </c>
      <c r="C630" s="65" t="str">
        <f>sample_mgmt_az1_tor1_peer_ip</f>
        <v>10.11.17.10</v>
      </c>
      <c r="D630" s="134" t="str">
        <f>mgmt_az1_tor1_peer_ip</f>
        <v>Value Missing</v>
      </c>
      <c r="E630" s="87"/>
    </row>
    <row r="631" spans="2:5" ht="20" customHeight="1" x14ac:dyDescent="0.2">
      <c r="B631" s="4" t="s">
        <v>507</v>
      </c>
      <c r="C631" s="65" t="str">
        <f>sample_mgmt_nsxt_federation_location_name</f>
        <v>sfo-m01</v>
      </c>
      <c r="D631" s="134" t="str">
        <f>mgmt_nsxt_federation_location_name</f>
        <v>Value Missing</v>
      </c>
      <c r="E631" s="87"/>
    </row>
    <row r="632" spans="2:5" ht="20" customHeight="1" x14ac:dyDescent="0.2">
      <c r="B632" s="4" t="s">
        <v>508</v>
      </c>
      <c r="C632" s="65" t="str">
        <f>sample_mgmt_az1_tor1_peer_asn</f>
        <v>65111</v>
      </c>
      <c r="D632" s="134" t="str">
        <f>mgmt_az1_tor1_peer_asn</f>
        <v>Value Missing</v>
      </c>
      <c r="E632" s="87"/>
    </row>
    <row r="633" spans="2:5" ht="20" customHeight="1" x14ac:dyDescent="0.2">
      <c r="B633" s="4" t="s">
        <v>509</v>
      </c>
      <c r="C633" s="65" t="str">
        <f>sample_mgmt_az1_en1_uplink01_interface_cidr</f>
        <v>10.11.17.2/24</v>
      </c>
      <c r="D633" s="134" t="str">
        <f>mgmt_az1_en1_uplink01_interface_cidr</f>
        <v>Value Missing</v>
      </c>
      <c r="E633" s="87"/>
    </row>
    <row r="634" spans="2:5" ht="20" customHeight="1" x14ac:dyDescent="0.2">
      <c r="B634" s="4" t="s">
        <v>510</v>
      </c>
      <c r="C634" s="65" t="str">
        <f>sample_mgmt_az1_en2_uplink01_interface_cidr</f>
        <v>10.11.17.3/24</v>
      </c>
      <c r="D634" s="134" t="str">
        <f>mgmt_az1_en2_uplink01_interface_cidr</f>
        <v>Value Missing</v>
      </c>
      <c r="E634" s="87"/>
    </row>
    <row r="635" spans="2:5" ht="20" customHeight="1" x14ac:dyDescent="0.2">
      <c r="B635" s="4" t="s">
        <v>511</v>
      </c>
      <c r="C635" s="65" t="str">
        <f>sample_mgmt_az1_tor1_peer_bgp_password</f>
        <v>VMw@re1!</v>
      </c>
      <c r="D635" s="134" t="str">
        <f>mgmt_az1_tor1_peer_bgp_password</f>
        <v>Value Missing</v>
      </c>
      <c r="E635" s="87"/>
    </row>
    <row r="636" spans="2:5" ht="20" customHeight="1" x14ac:dyDescent="0.2">
      <c r="B636" s="4" t="s">
        <v>512</v>
      </c>
      <c r="C636" s="65" t="str">
        <f>sample_mgmt_az1_tor2_peer_ip</f>
        <v>10.11.18.10</v>
      </c>
      <c r="D636" s="134" t="str">
        <f>mgmt_az1_tor2_peer_ip</f>
        <v>Value Missing</v>
      </c>
      <c r="E636" s="87"/>
    </row>
    <row r="637" spans="2:5" ht="20" customHeight="1" x14ac:dyDescent="0.2">
      <c r="B637" s="4" t="s">
        <v>513</v>
      </c>
      <c r="C637" s="65" t="str">
        <f>sample_mgmt_nsxt_federation_location_name</f>
        <v>sfo-m01</v>
      </c>
      <c r="D637" s="134" t="str">
        <f>mgmt_nsxt_federation_location_name</f>
        <v>Value Missing</v>
      </c>
      <c r="E637" s="87"/>
    </row>
    <row r="638" spans="2:5" ht="20" customHeight="1" x14ac:dyDescent="0.2">
      <c r="B638" s="4" t="s">
        <v>514</v>
      </c>
      <c r="C638" s="65" t="str">
        <f>sample_mgmt_az1_tor1_peer_asn</f>
        <v>65111</v>
      </c>
      <c r="D638" s="134" t="str">
        <f>mgmt_az1_tor1_peer_asn</f>
        <v>Value Missing</v>
      </c>
      <c r="E638" s="87"/>
    </row>
    <row r="639" spans="2:5" ht="20" customHeight="1" x14ac:dyDescent="0.2">
      <c r="B639" s="4" t="s">
        <v>515</v>
      </c>
      <c r="C639" s="65" t="str">
        <f>sample_mgmt_az1_en1_uplink02_interface_cidr</f>
        <v>10.11.18.2/24</v>
      </c>
      <c r="D639" s="134" t="str">
        <f>mgmt_az1_en1_uplink02_interface_cidr</f>
        <v>Value Missing</v>
      </c>
      <c r="E639" s="87"/>
    </row>
    <row r="640" spans="2:5" ht="20" customHeight="1" x14ac:dyDescent="0.2">
      <c r="B640" s="4" t="s">
        <v>516</v>
      </c>
      <c r="C640" s="65" t="str">
        <f>sample_mgmt_az1_en2_uplink02_interface_cidr</f>
        <v>10.11.18.3/24</v>
      </c>
      <c r="D640" s="134" t="str">
        <f>mgmt_az1_en2_uplink02_interface_cidr</f>
        <v>Value Missing</v>
      </c>
      <c r="E640" s="87"/>
    </row>
    <row r="641" spans="2:5" ht="20" customHeight="1" x14ac:dyDescent="0.2">
      <c r="B641" s="4" t="s">
        <v>517</v>
      </c>
      <c r="C641" s="65" t="str">
        <f>sample_mgmt_az1_tor2_peer_bgp_password</f>
        <v>VMw@re1!</v>
      </c>
      <c r="D641" s="134" t="str">
        <f>mgmt_az1_tor2_peer_bgp_password</f>
        <v>Value Missing</v>
      </c>
      <c r="E641" s="87"/>
    </row>
    <row r="642" spans="2:5" ht="20" customHeight="1" x14ac:dyDescent="0.2">
      <c r="B642" s="563" t="s">
        <v>518</v>
      </c>
      <c r="C642" s="564"/>
      <c r="D642" s="564"/>
      <c r="E642" s="565"/>
    </row>
    <row r="643" spans="2:5" ht="20" customHeight="1" x14ac:dyDescent="0.2">
      <c r="B643" s="4" t="s">
        <v>460</v>
      </c>
      <c r="C643" s="65" t="str">
        <f t="array" ref="C643">IF(mgmt_domain_chosen="First Instance",sample_mgmt_nsxt_gm_vip_fqdn,sample_mgmt_existing_active_nsx_gm)</f>
        <v>sfo-m01-nsx-gm01.sfo.rainpole.io</v>
      </c>
      <c r="D643" s="134" t="str">
        <f>IF(mgmt_domain_chosen="First Instance",mgmt_nsxt_gm_vip_fqdn,mgmt_existing_active_nsx_gm)</f>
        <v>Value Missing</v>
      </c>
      <c r="E643" s="87"/>
    </row>
    <row r="644" spans="2:5" ht="20" customHeight="1" x14ac:dyDescent="0.2">
      <c r="B644" s="4" t="s">
        <v>476</v>
      </c>
      <c r="C644" s="65" t="str">
        <f>sample_mgmt_nsxt_xreg_t1_name</f>
        <v>flt-m01-ec01-t1-gw01</v>
      </c>
      <c r="D644" s="134" t="str">
        <f>mgmt_nsxt_xreg_t1_name</f>
        <v>Value Missing</v>
      </c>
      <c r="E644" s="87"/>
    </row>
    <row r="645" spans="2:5" ht="20" customHeight="1" x14ac:dyDescent="0.2">
      <c r="B645" s="4" t="s">
        <v>473</v>
      </c>
      <c r="C645" s="65" t="str">
        <f>sample_mgmt_nsxt_federation_location_name</f>
        <v>sfo-m01</v>
      </c>
      <c r="D645" s="134" t="str">
        <f>mgmt_nsxt_federation_location_name</f>
        <v>Value Missing</v>
      </c>
      <c r="E645" s="34"/>
    </row>
    <row r="646" spans="2:5" ht="20" customHeight="1" x14ac:dyDescent="0.2">
      <c r="B646" s="4" t="s">
        <v>88</v>
      </c>
      <c r="C646" s="65" t="str">
        <f>sample_mgmt_ec_name</f>
        <v>sfo-m01-ec01</v>
      </c>
      <c r="D646" s="134" t="str">
        <f>mgmt_ec_name</f>
        <v>Value Missing</v>
      </c>
      <c r="E646" s="87"/>
    </row>
  </sheetData>
  <sheetProtection algorithmName="SHA-512" hashValue="5y0OxhG95UJpBeda8ZGcUYLwhjW3tuJm7hcR1QRvsnmAkA4g/dMTBytC6NyQ+sDP+QnE4uhYyhJd+LkzfDBeKw==" saltValue="YYSFvtouKD3LzvYsPfl2hQ==" spinCount="100000" sheet="1" selectLockedCells="1"/>
  <dataConsolidate/>
  <mergeCells count="89">
    <mergeCell ref="B249:E249"/>
    <mergeCell ref="B243:E243"/>
    <mergeCell ref="B253:E253"/>
    <mergeCell ref="B262:E262"/>
    <mergeCell ref="B271:E271"/>
    <mergeCell ref="B204:E204"/>
    <mergeCell ref="B217:E217"/>
    <mergeCell ref="B207:E207"/>
    <mergeCell ref="B240:E240"/>
    <mergeCell ref="B241:E241"/>
    <mergeCell ref="B151:E151"/>
    <mergeCell ref="B601:E601"/>
    <mergeCell ref="B642:E642"/>
    <mergeCell ref="B560:E560"/>
    <mergeCell ref="B597:E597"/>
    <mergeCell ref="B579:E579"/>
    <mergeCell ref="B570:E570"/>
    <mergeCell ref="B567:E567"/>
    <mergeCell ref="B591:E591"/>
    <mergeCell ref="B555:E555"/>
    <mergeCell ref="B544:E544"/>
    <mergeCell ref="B467:E467"/>
    <mergeCell ref="B548:E548"/>
    <mergeCell ref="B470:E470"/>
    <mergeCell ref="B522:E522"/>
    <mergeCell ref="B487:E487"/>
    <mergeCell ref="B504:E504"/>
    <mergeCell ref="B550:E550"/>
    <mergeCell ref="B538:E538"/>
    <mergeCell ref="B37:E37"/>
    <mergeCell ref="B19:E19"/>
    <mergeCell ref="B32:E32"/>
    <mergeCell ref="B155:E155"/>
    <mergeCell ref="B94:E94"/>
    <mergeCell ref="B87:E87"/>
    <mergeCell ref="B92:E92"/>
    <mergeCell ref="B139:E139"/>
    <mergeCell ref="B88:E88"/>
    <mergeCell ref="B98:E98"/>
    <mergeCell ref="B190:E190"/>
    <mergeCell ref="B111:E111"/>
    <mergeCell ref="B42:E42"/>
    <mergeCell ref="B75:E75"/>
    <mergeCell ref="B58:E58"/>
    <mergeCell ref="B90:E90"/>
    <mergeCell ref="B2:E2"/>
    <mergeCell ref="B408:E408"/>
    <mergeCell ref="B20:E20"/>
    <mergeCell ref="B295:E295"/>
    <mergeCell ref="B322:E322"/>
    <mergeCell ref="B193:E193"/>
    <mergeCell ref="B330:E330"/>
    <mergeCell ref="B67:E67"/>
    <mergeCell ref="B47:E47"/>
    <mergeCell ref="B127:E127"/>
    <mergeCell ref="B3:E3"/>
    <mergeCell ref="B31:E31"/>
    <mergeCell ref="B160:E160"/>
    <mergeCell ref="B175:E175"/>
    <mergeCell ref="B227:E227"/>
    <mergeCell ref="B52:E52"/>
    <mergeCell ref="B380:E380"/>
    <mergeCell ref="B347:E347"/>
    <mergeCell ref="B374:E374"/>
    <mergeCell ref="B280:E280"/>
    <mergeCell ref="B229:E229"/>
    <mergeCell ref="B233:E233"/>
    <mergeCell ref="B237:E237"/>
    <mergeCell ref="B338:E338"/>
    <mergeCell ref="B278:E278"/>
    <mergeCell ref="B291:E291"/>
    <mergeCell ref="B275:E275"/>
    <mergeCell ref="B318:E318"/>
    <mergeCell ref="B293:E293"/>
    <mergeCell ref="B300:E300"/>
    <mergeCell ref="B282:E282"/>
    <mergeCell ref="B276:E276"/>
    <mergeCell ref="B466:E466"/>
    <mergeCell ref="B450:E450"/>
    <mergeCell ref="B415:E415"/>
    <mergeCell ref="B399:E399"/>
    <mergeCell ref="B453:E453"/>
    <mergeCell ref="B413:E413"/>
    <mergeCell ref="B404:E404"/>
    <mergeCell ref="B448:E448"/>
    <mergeCell ref="B348:E348"/>
    <mergeCell ref="B373:E373"/>
    <mergeCell ref="B446:E446"/>
    <mergeCell ref="B447:E447"/>
  </mergeCells>
  <conditionalFormatting sqref="B12">
    <cfRule type="expression" dxfId="2193" priority="961">
      <formula>(mgmt_signed_certs_result="Excluded")</formula>
    </cfRule>
    <cfRule type="expression" dxfId="2192" priority="962">
      <formula>(mgmt_signed_certs_result="Included")</formula>
    </cfRule>
  </conditionalFormatting>
  <conditionalFormatting sqref="B13 D13:E13">
    <cfRule type="expression" dxfId="2191" priority="283">
      <formula>AND((mgmt_vns_chosen&lt;&gt;"Exclude"),(mgmt_vns_result="Excluded"))</formula>
    </cfRule>
  </conditionalFormatting>
  <conditionalFormatting sqref="B13">
    <cfRule type="expression" dxfId="2190" priority="966">
      <formula>(mgmt_vns_result="Excluded")</formula>
    </cfRule>
    <cfRule type="expression" dxfId="2189" priority="967">
      <formula>(mgmt_vns_chosen&lt;&gt;"Include")</formula>
    </cfRule>
  </conditionalFormatting>
  <conditionalFormatting sqref="B14 D14:E14">
    <cfRule type="expression" dxfId="2188" priority="7">
      <formula>AND((mgmt_supervisor_chosen&lt;&gt;"Exclude"),(mgmt_vns_chosen="Exclude"))</formula>
    </cfRule>
    <cfRule type="expression" dxfId="2187" priority="9">
      <formula>(mgmt_supervisor_result="Excluded")</formula>
    </cfRule>
    <cfRule type="expression" dxfId="2186" priority="10">
      <formula>AND((mgmt_supervisor_chosen&lt;&gt;"Exclude"),(mgmt_supervisor_result="Included"))</formula>
    </cfRule>
  </conditionalFormatting>
  <conditionalFormatting sqref="B15 D15:E15">
    <cfRule type="expression" dxfId="2185" priority="950">
      <formula>AND((mgmt_avi_loadbalancer_chosen ="Exclude"),(mgmt_avi_loadbalancer_result="Excluded"))</formula>
    </cfRule>
    <cfRule type="expression" dxfId="2184" priority="951">
      <formula>AND((mgmt_avi_loadbalancer_chosen="Include"),(mgmt_avi_loadbalancer_result="Included"))</formula>
    </cfRule>
    <cfRule type="expression" dxfId="2183" priority="952">
      <formula>AND((mgmt_avi_loadbalancer_chosen="Include"),(mgmt_avi_loadbalancer_result="Excluded"))</formula>
    </cfRule>
  </conditionalFormatting>
  <conditionalFormatting sqref="B16 D16:E16">
    <cfRule type="expression" dxfId="2182" priority="968">
      <formula>AND((mgmt_stretched_cluster_chosen="Include"),(mgmt_stretched_cluster_result="Excluded"))</formula>
    </cfRule>
  </conditionalFormatting>
  <conditionalFormatting sqref="B16">
    <cfRule type="expression" dxfId="2181" priority="970">
      <formula>(mgmt_stretched_cluster_chosen="Exclude")</formula>
    </cfRule>
    <cfRule type="expression" dxfId="2180" priority="972">
      <formula>AND((mgmt_stretched_cluster_chosen="Include"),(mgmt_stretched_cluster_result="Included"))</formula>
    </cfRule>
  </conditionalFormatting>
  <conditionalFormatting sqref="B17 D17:E17">
    <cfRule type="expression" dxfId="2179" priority="948">
      <formula>AND((mgmt_nsxt_federation_chosen&lt;&gt;"Exclude"),(mgmt_nsxt_federation_result="Excluded"))</formula>
    </cfRule>
    <cfRule type="expression" dxfId="2178" priority="953" stopIfTrue="1">
      <formula>AND((mgmt_nsxt_federation_chosen&lt;&gt;"Exclude"),(mgmt_nsxt_federation_result="Included"))</formula>
    </cfRule>
  </conditionalFormatting>
  <conditionalFormatting sqref="B17">
    <cfRule type="expression" dxfId="2177" priority="963">
      <formula>(mgmt_nsxt_federation_chosen="Exclude")</formula>
    </cfRule>
  </conditionalFormatting>
  <conditionalFormatting sqref="C278:D278 C280:D280 C282:D282">
    <cfRule type="expression" dxfId="2176" priority="983">
      <formula>mgmt_avi_loadbalancer_result="Excluded"</formula>
    </cfRule>
  </conditionalFormatting>
  <conditionalFormatting sqref="D22:D29">
    <cfRule type="expression" dxfId="2175" priority="695">
      <formula>mgmt_domain_result="Excluded"</formula>
    </cfRule>
    <cfRule type="containsBlanks" dxfId="2174" priority="696">
      <formula>LEN(TRIM(D22))=0</formula>
    </cfRule>
    <cfRule type="notContainsBlanks" dxfId="2173" priority="697">
      <formula>LEN(TRIM(D22))&gt;0</formula>
    </cfRule>
  </conditionalFormatting>
  <conditionalFormatting sqref="D34:D36 D38:D41 D43:D46 D48:D51 D53:D57 D59:D66 D68:D74 D76:D85 D93 D95:D97 D99:D110 D112:D126 D128:D138 D140:D150 D152:D154 D156:D159 D161:D174 D176:D192 D194:D203 D205:D206 D208:D216 D218:D226 D228 D230:D232 D234:D236 D238 D279 D281 D283:D289 D296:D299 D301:D316 D320:D321 D323:D329 D331:D337 D339:D345 D350:D371 D376:D379 D381:D398 D400:D403 D405:D407 D409:D411 D416:D445 D449 D451:D452 D454:D464 D469 D471:D486 D488:D503 D505:D521 D523:D537 D539:D543 D545:D547 D549 D551:D554 D556:D559 D561:D566 D568:D569 D571:D578 D580:D590 D592:D596 D598:D600 D602:D641 D643:D646">
    <cfRule type="containsBlanks" dxfId="2171" priority="937">
      <formula>LEN(TRIM(D34))=0</formula>
    </cfRule>
    <cfRule type="notContainsBlanks" dxfId="2170" priority="999">
      <formula>LEN(TRIM(D34))&gt;0</formula>
    </cfRule>
  </conditionalFormatting>
  <conditionalFormatting sqref="D34:D36 D38:D41 D43:D46 D48:D51 D53:D57 D59:D66">
    <cfRule type="expression" dxfId="2169" priority="843" stopIfTrue="1">
      <formula>OR((mgmt_signed_certs_result="Excluded"),(mgmt_signed_certs_chosen&lt;&gt;"Microsoft CA"))</formula>
    </cfRule>
  </conditionalFormatting>
  <conditionalFormatting sqref="D46 D51 D59:D66">
    <cfRule type="expression" dxfId="2168" priority="919">
      <formula>mgmt_domain_result="Excluded"</formula>
    </cfRule>
  </conditionalFormatting>
  <conditionalFormatting sqref="D46 D59:D66 C31:D31">
    <cfRule type="expression" dxfId="2167" priority="927">
      <formula>mgmt_signed_certs_result="Excluded"</formula>
    </cfRule>
  </conditionalFormatting>
  <conditionalFormatting sqref="D57">
    <cfRule type="expression" dxfId="2166" priority="848">
      <formula>OR((mgmt_signed_certs_result="Excluded"),(mgmt_signed_certs_chosen&lt;&gt;"Microsoft CA"))</formula>
    </cfRule>
  </conditionalFormatting>
  <conditionalFormatting sqref="D68:D74 D76:D85">
    <cfRule type="expression" dxfId="2165" priority="527">
      <formula>OR((mgmt_signed_certs_result="Excluded"),(mgmt_signed_certs_chosen&lt;&gt;"OpenSSL CA"))</formula>
    </cfRule>
  </conditionalFormatting>
  <conditionalFormatting sqref="D91">
    <cfRule type="expression" dxfId="2164" priority="40">
      <formula>mgmt_vns_result="Excluded"</formula>
    </cfRule>
    <cfRule type="containsBlanks" dxfId="2162" priority="43">
      <formula>LEN(TRIM(D91))=0</formula>
    </cfRule>
    <cfRule type="notContainsBlanks" dxfId="2161" priority="44">
      <formula>LEN(TRIM(D91))&gt;0</formula>
    </cfRule>
  </conditionalFormatting>
  <conditionalFormatting sqref="D103 D132">
    <cfRule type="expression" dxfId="2160" priority="516">
      <formula>mgmt_ec01_host_group_affinity_rule_chosen="No"</formula>
    </cfRule>
  </conditionalFormatting>
  <conditionalFormatting sqref="D106">
    <cfRule type="expression" dxfId="2159" priority="3">
      <formula>mgmt_ec_ip_assignment_chosen&lt;&gt;"IPv4 Only"</formula>
    </cfRule>
  </conditionalFormatting>
  <conditionalFormatting sqref="D107:D109 D135:D137">
    <cfRule type="expression" dxfId="2158" priority="517">
      <formula>mgmt_az1_en1_ip_allocation_chosen="DHCP"</formula>
    </cfRule>
  </conditionalFormatting>
  <conditionalFormatting sqref="D109 D134:D135 D137 D122:D124 D147:D148 D105:D106 D177 D184 D99 D128 D169">
    <cfRule type="expression" dxfId="2157" priority="841">
      <formula>mgmt_vns_result="Excluded"</formula>
    </cfRule>
  </conditionalFormatting>
  <conditionalFormatting sqref="D116:D126 D105 D144:D150">
    <cfRule type="expression" dxfId="2156" priority="453">
      <formula>mgmt_ec01_use_host_overlay_chosen="Selected"</formula>
    </cfRule>
  </conditionalFormatting>
  <conditionalFormatting sqref="D119:D121">
    <cfRule type="expression" dxfId="2155" priority="518">
      <formula>mgmt_az1_en1_edge_overlay_network_ip_allocation_chosen&lt;&gt;"IP Pool"</formula>
    </cfRule>
  </conditionalFormatting>
  <conditionalFormatting sqref="D122:D123 D126">
    <cfRule type="expression" dxfId="2154" priority="515">
      <formula>mgmt_az1_en1_edge_overlay_network_ip_allocation_chosen&lt;&gt;"Static IP List"</formula>
    </cfRule>
  </conditionalFormatting>
  <conditionalFormatting sqref="D124">
    <cfRule type="expression" dxfId="2153" priority="2">
      <formula>mgmt_az1_en1_edge_overlay_network_ip_allocation_chosen&lt;&gt;"IP Pool"</formula>
    </cfRule>
  </conditionalFormatting>
  <conditionalFormatting sqref="D125">
    <cfRule type="expression" dxfId="2152" priority="277">
      <formula>input_mgmt_az1_edge_overlay_gateway_ip="DHCP"</formula>
    </cfRule>
  </conditionalFormatting>
  <conditionalFormatting sqref="D128:D138 D99:D110 D112:D126 D95:D97 D140:D150 D152:D154 D156:D159 D161:D174 D176:D189">
    <cfRule type="expression" dxfId="2151" priority="243">
      <formula>mgmt_vns_chosen="Distributed Connectivity"</formula>
    </cfRule>
  </conditionalFormatting>
  <conditionalFormatting sqref="D130">
    <cfRule type="expression" dxfId="2150" priority="47">
      <formula>$D$130="Value Missing"</formula>
    </cfRule>
  </conditionalFormatting>
  <conditionalFormatting sqref="D132">
    <cfRule type="expression" dxfId="2149" priority="523">
      <formula>input_mgmt_ec01_host_group_affinity_rule_chosen="No"</formula>
    </cfRule>
  </conditionalFormatting>
  <conditionalFormatting sqref="D146">
    <cfRule type="expression" dxfId="2148" priority="522">
      <formula>mgmt_az1_en1_edge_overlay_network_ip_allocation_chosen&lt;&gt;"IP Pool"</formula>
    </cfRule>
  </conditionalFormatting>
  <conditionalFormatting sqref="D147:D150">
    <cfRule type="expression" dxfId="2147" priority="489">
      <formula>mgmt_az1_en1_edge_overlay_network_ip_allocation_chosen&lt;&gt;"Static IP List"</formula>
    </cfRule>
  </conditionalFormatting>
  <conditionalFormatting sqref="D153:D154">
    <cfRule type="expression" dxfId="2146" priority="455">
      <formula>mgmt_az1_ec01_password_creation_chosen="Selected"</formula>
    </cfRule>
  </conditionalFormatting>
  <conditionalFormatting sqref="D156:D159">
    <cfRule type="expression" dxfId="2145" priority="80">
      <formula>OR((mgmt_nsxt_federation_chosen="Standby Global Manager"),(mgmt_nsxt_federation_chosen="Connect Instance"))</formula>
    </cfRule>
  </conditionalFormatting>
  <conditionalFormatting sqref="D159 D163:D167 D170:D174 D178:D183 D186:D189">
    <cfRule type="expression" dxfId="2144" priority="279">
      <formula>mgmt_gateway_routing_type_chosen="STATIC"</formula>
    </cfRule>
  </conditionalFormatting>
  <conditionalFormatting sqref="D176:D192">
    <cfRule type="expression" dxfId="2143" priority="289">
      <formula>OR((mgmt_domain_result="Excluded"),(mgmt_vns_result="Excluded"))</formula>
    </cfRule>
  </conditionalFormatting>
  <conditionalFormatting sqref="D191:D192">
    <cfRule type="expression" dxfId="2142" priority="1">
      <formula>mgmt_vns_chosen="Centralized Connectivity"</formula>
    </cfRule>
  </conditionalFormatting>
  <conditionalFormatting sqref="D208:D216 D218:D226 D205:D206">
    <cfRule type="expression" dxfId="2141" priority="278">
      <formula>mgmt_vns_chosen="Centralized Connectivity"</formula>
    </cfRule>
  </conditionalFormatting>
  <conditionalFormatting sqref="D208:D216 D218:D226 D228 D99:D110 D112:D126 D176:D192 D93 D95:D97 D128:D138 D140:D150 D152:D154 D156:D159 D161:D174 D194:D203 D205:D206">
    <cfRule type="expression" dxfId="2140" priority="46">
      <formula>mgmt_vns_result="Excluded"</formula>
    </cfRule>
  </conditionalFormatting>
  <conditionalFormatting sqref="D213 D223">
    <cfRule type="expression" dxfId="2139" priority="5">
      <formula>mgmt_vna_ip_assignment_address_type_chosen&lt;&gt;"IPv4"</formula>
    </cfRule>
  </conditionalFormatting>
  <conditionalFormatting sqref="D228 D230 D234">
    <cfRule type="expression" dxfId="2138" priority="48">
      <formula>mgmt_ec_api_chosen="Exclude"</formula>
    </cfRule>
  </conditionalFormatting>
  <conditionalFormatting sqref="D228">
    <cfRule type="expression" dxfId="2137" priority="4">
      <formula>mgmt_vns_chosen&lt;&gt;"Centralized Connectivity"</formula>
    </cfRule>
    <cfRule type="expression" dxfId="2136" priority="50">
      <formula>mgmt_ec_api_chosen="Include"</formula>
    </cfRule>
  </conditionalFormatting>
  <conditionalFormatting sqref="D230:D232 D238">
    <cfRule type="expression" dxfId="2135" priority="71">
      <formula>mgmt_vns_result="Excluded"</formula>
    </cfRule>
    <cfRule type="expression" dxfId="2134" priority="72">
      <formula>AND((mgmt_tier0_skip_chosen="Selected"),OR((gmt_nsxt_federation_chosen="Standby Global Manager"),(mgmt_nsxt_federation_chosen="Connect Instance")))</formula>
    </cfRule>
    <cfRule type="expression" dxfId="2133" priority="73">
      <formula>mgmt_vns_chosen="Distributed Connectivity"</formula>
    </cfRule>
    <cfRule type="expression" dxfId="2132" priority="78">
      <formula>mgmt_gateway_routing_type_chosen="STATIC"</formula>
    </cfRule>
    <cfRule type="expression" dxfId="2131" priority="79">
      <formula>OR((mgmt_domain_result="Excluded"),(mgmt_vns_result="Excluded"))</formula>
    </cfRule>
  </conditionalFormatting>
  <conditionalFormatting sqref="D234:D236">
    <cfRule type="expression" dxfId="2130" priority="62">
      <formula>mgmt_vns_result="Excluded"</formula>
    </cfRule>
    <cfRule type="expression" dxfId="2129" priority="63">
      <formula>AND((mgmt_tier0_skip_chosen="Selected"),OR((gmt_nsxt_federation_chosen="Standby Global Manager"),(mgmt_nsxt_federation_chosen="Connect Instance")))</formula>
    </cfRule>
    <cfRule type="expression" dxfId="2128" priority="64">
      <formula>mgmt_vns_chosen="Distributed Connectivity"</formula>
    </cfRule>
    <cfRule type="expression" dxfId="2127" priority="69">
      <formula>mgmt_gateway_routing_type_chosen="STATIC"</formula>
    </cfRule>
    <cfRule type="expression" dxfId="2126" priority="70">
      <formula>OR((mgmt_domain_result="Excluded"),(mgmt_vns_result="Excluded"))</formula>
    </cfRule>
  </conditionalFormatting>
  <conditionalFormatting sqref="D237">
    <cfRule type="expression" dxfId="2125" priority="260">
      <formula>input_mgmt_principal_storage_chosen="VMFS on Fibre Channel (FC)"</formula>
    </cfRule>
    <cfRule type="expression" dxfId="2124" priority="261">
      <formula>mgmt_domain_existing_vcenter_chosen="Selected"</formula>
    </cfRule>
    <cfRule type="notContainsBlanks" dxfId="2122" priority="263">
      <formula>LEN(TRIM(D237))&gt;0</formula>
    </cfRule>
    <cfRule type="containsBlanks" dxfId="2121" priority="264">
      <formula>LEN(TRIM(D237))=0</formula>
    </cfRule>
  </conditionalFormatting>
  <conditionalFormatting sqref="D242 D244:D248 D250:D252 D254:D261 D263:D270 D272:D273">
    <cfRule type="expression" dxfId="2120" priority="6">
      <formula>mgmt_supervisor_result="Excluded"</formula>
    </cfRule>
  </conditionalFormatting>
  <conditionalFormatting sqref="D242">
    <cfRule type="containsBlanks" dxfId="2118" priority="30">
      <formula>LEN(TRIM(D242))=0</formula>
    </cfRule>
    <cfRule type="notContainsBlanks" dxfId="2117" priority="31">
      <formula>LEN(TRIM(D242))&gt;0</formula>
    </cfRule>
  </conditionalFormatting>
  <conditionalFormatting sqref="D244:D248">
    <cfRule type="containsBlanks" dxfId="2115" priority="24">
      <formula>LEN(TRIM(D244))=0</formula>
    </cfRule>
    <cfRule type="notContainsBlanks" dxfId="2114" priority="25">
      <formula>LEN(TRIM(D244))&gt;0</formula>
    </cfRule>
  </conditionalFormatting>
  <conditionalFormatting sqref="D250:D252">
    <cfRule type="containsBlanks" dxfId="2112" priority="21">
      <formula>LEN(TRIM(D250))=0</formula>
    </cfRule>
    <cfRule type="notContainsBlanks" dxfId="2111" priority="22">
      <formula>LEN(TRIM(D250))&gt;0</formula>
    </cfRule>
  </conditionalFormatting>
  <conditionalFormatting sqref="D254:D261">
    <cfRule type="containsBlanks" dxfId="2109" priority="18">
      <formula>LEN(TRIM(D254))=0</formula>
    </cfRule>
    <cfRule type="notContainsBlanks" dxfId="2108" priority="19">
      <formula>LEN(TRIM(D254))&gt;0</formula>
    </cfRule>
  </conditionalFormatting>
  <conditionalFormatting sqref="D263:D270">
    <cfRule type="containsBlanks" dxfId="2106" priority="15">
      <formula>LEN(TRIM(D263))=0</formula>
    </cfRule>
    <cfRule type="notContainsBlanks" dxfId="2105" priority="16">
      <formula>LEN(TRIM(D263))&gt;0</formula>
    </cfRule>
  </conditionalFormatting>
  <conditionalFormatting sqref="D272:D273">
    <cfRule type="containsBlanks" dxfId="2103" priority="12">
      <formula>LEN(TRIM(D272))=0</formula>
    </cfRule>
    <cfRule type="notContainsBlanks" dxfId="2102" priority="13">
      <formula>LEN(TRIM(D272))&gt;0</formula>
    </cfRule>
  </conditionalFormatting>
  <conditionalFormatting sqref="D279">
    <cfRule type="expression" dxfId="2101" priority="751">
      <formula>mgmt_avi_loadbalancer_result="Excluded"</formula>
    </cfRule>
    <cfRule type="expression" dxfId="2100" priority="754">
      <formula>mgmt_domain_result="Excluded"</formula>
    </cfRule>
  </conditionalFormatting>
  <conditionalFormatting sqref="D281">
    <cfRule type="expression" dxfId="2099" priority="526">
      <formula>mgmt_avi_loadbalancer_result="Excluded"</formula>
    </cfRule>
  </conditionalFormatting>
  <conditionalFormatting sqref="D283:D289">
    <cfRule type="expression" dxfId="2098" priority="755">
      <formula>mgmt_avi_loadbalancer_result="Excluded"</formula>
    </cfRule>
  </conditionalFormatting>
  <conditionalFormatting sqref="D296:D299">
    <cfRule type="expression" dxfId="2097" priority="365">
      <formula>mgmt_stretched_cluster_result="Excluded"</formula>
    </cfRule>
  </conditionalFormatting>
  <conditionalFormatting sqref="D301:D316">
    <cfRule type="expression" dxfId="2096" priority="364">
      <formula>mgmt_stretched_cluster_result="Excluded"</formula>
    </cfRule>
  </conditionalFormatting>
  <conditionalFormatting sqref="D320">
    <cfRule type="expression" dxfId="2095" priority="107">
      <formula>OR((mgmt_domain_result="Excluded"),(mgmt_stretched_cluster_result="Excluded"))</formula>
    </cfRule>
  </conditionalFormatting>
  <conditionalFormatting sqref="D321">
    <cfRule type="expression" dxfId="2094" priority="404">
      <formula>OR((mgmt_domain_result="Excluded"),(mgmt_stretched_cluster_result="Excluded"))</formula>
    </cfRule>
  </conditionalFormatting>
  <conditionalFormatting sqref="D323:D329 D331:D337 D339:D345">
    <cfRule type="expression" dxfId="2093" priority="104">
      <formula>mgmt_az2_reuse_vcf_networkpool_chosen="Re-use an existing VCF Network Pool"</formula>
    </cfRule>
  </conditionalFormatting>
  <conditionalFormatting sqref="D330">
    <cfRule type="expression" dxfId="2092" priority="507">
      <formula>input_mgmt_principal_storage_chosen="VMFS on Fibre Channel (FC)"</formula>
    </cfRule>
    <cfRule type="expression" dxfId="2091" priority="508">
      <formula>mgmt_domain_existing_vcenter_chosen="Selected"</formula>
    </cfRule>
    <cfRule type="containsBlanks" dxfId="2089" priority="510">
      <formula>LEN(TRIM(D330))=0</formula>
    </cfRule>
    <cfRule type="notContainsBlanks" dxfId="2088" priority="511">
      <formula>LEN(TRIM(D330))&gt;0</formula>
    </cfRule>
  </conditionalFormatting>
  <conditionalFormatting sqref="D339:D345 D323:D329 D331:D337">
    <cfRule type="expression" dxfId="2087" priority="290">
      <formula>mgmt_stretched_cluster_result="Excluded"</formula>
    </cfRule>
  </conditionalFormatting>
  <conditionalFormatting sqref="D339:D345">
    <cfRule type="expression" dxfId="2086" priority="230">
      <formula>mgmt_principal_storage_chosen&lt;&gt;"NFSv3"</formula>
    </cfRule>
  </conditionalFormatting>
  <conditionalFormatting sqref="D343">
    <cfRule type="expression" dxfId="2085" priority="445">
      <formula>AND((wld_host_overlay_addressing_result="Included"),(ISBLANK(input_wld_az1_host_overlay_gateway_ip)))</formula>
    </cfRule>
  </conditionalFormatting>
  <conditionalFormatting sqref="D350:D371">
    <cfRule type="expression" dxfId="2084" priority="417">
      <formula>mgmt_stretched_cluster_result="Excluded"</formula>
    </cfRule>
  </conditionalFormatting>
  <conditionalFormatting sqref="D374">
    <cfRule type="expression" dxfId="2083" priority="410">
      <formula>mgmt_domain_existing_vcenter_chosen="Selected"</formula>
    </cfRule>
  </conditionalFormatting>
  <conditionalFormatting sqref="D376:D379">
    <cfRule type="expression" dxfId="2082" priority="353">
      <formula>mgmt_stretched_cluster_result="Excluded"</formula>
    </cfRule>
  </conditionalFormatting>
  <conditionalFormatting sqref="D381:D398 D416:D445">
    <cfRule type="expression" dxfId="2081" priority="108" stopIfTrue="1">
      <formula>mgmt_stretched_cluster_result="Excluded"</formula>
    </cfRule>
  </conditionalFormatting>
  <conditionalFormatting sqref="D398">
    <cfRule type="expression" dxfId="2080" priority="524">
      <formula>AND((mgmt_stretched_cluster_result="Excluded"),(wld_stretched_cluster_result="Excluded"))</formula>
    </cfRule>
  </conditionalFormatting>
  <conditionalFormatting sqref="D400:D403 D405:D407 D409:D411 D449 D451:D452 D454:D464">
    <cfRule type="expression" dxfId="2079" priority="291" stopIfTrue="1">
      <formula>mgmt_stretched_cluster_result="Excluded"</formula>
    </cfRule>
  </conditionalFormatting>
  <conditionalFormatting sqref="D449 D451:D452 D454:D464">
    <cfRule type="expression" dxfId="2078" priority="438">
      <formula>OR((mgmt_stretched_cluster_result="Excluded"),(mgmt_vns_chosen&lt;&gt;"Centralized Connectivity"))</formula>
    </cfRule>
  </conditionalFormatting>
  <conditionalFormatting sqref="D469 D471:D486 D488:D503 D505:D521 D523:D537 D545:D547">
    <cfRule type="expression" dxfId="2077" priority="81">
      <formula>OR((mgmt_nsxt_federation_result="Excluded"),(mgmt_nsxt_federation_chosen="Connect Instance"))</formula>
    </cfRule>
  </conditionalFormatting>
  <conditionalFormatting sqref="D524:D525">
    <cfRule type="expression" dxfId="2076" priority="749">
      <formula>OR((mgmt_domain_result="Excluded"),(mgmt_nsxt_federation_result="Excluded"))</formula>
    </cfRule>
    <cfRule type="expression" dxfId="2075" priority="750">
      <formula>mgmt_domain_result="Excluded"</formula>
    </cfRule>
  </conditionalFormatting>
  <conditionalFormatting sqref="D539:D543">
    <cfRule type="expression" dxfId="2074" priority="746">
      <formula>OR((mgmt_nsxt_federation_result="Excluded"),(mgmt_nsxt_federation_chosen="Connect Instance"))</formula>
    </cfRule>
  </conditionalFormatting>
  <conditionalFormatting sqref="D540">
    <cfRule type="expression" dxfId="2073" priority="745">
      <formula>mgmt_domain_result="Excluded"</formula>
    </cfRule>
  </conditionalFormatting>
  <conditionalFormatting sqref="D546">
    <cfRule type="expression" dxfId="2072" priority="736">
      <formula>mgmt_nsxt_federation_result="Excluded"</formula>
    </cfRule>
  </conditionalFormatting>
  <conditionalFormatting sqref="D549">
    <cfRule type="expression" dxfId="2071" priority="103">
      <formula>OR((mgmt_nsxt_federation_result="Excluded"),(mgmt_nsxt_federation_chosen="Connect Instance"),(mgmt_signed_certs_result="Excluded"))</formula>
    </cfRule>
  </conditionalFormatting>
  <conditionalFormatting sqref="D551:D554">
    <cfRule type="expression" dxfId="2070" priority="102">
      <formula>OR((mgmt_nsxt_federation_result="Excluded"),(mgmt_nsxt_federation_chosen="Connect Instance"),(mgmt_signed_certs_result="Excluded"))</formula>
    </cfRule>
  </conditionalFormatting>
  <conditionalFormatting sqref="D552">
    <cfRule type="expression" dxfId="2069" priority="720">
      <formula>mgmt_domain_result="Excluded"</formula>
    </cfRule>
    <cfRule type="expression" dxfId="2068" priority="727">
      <formula>OR((mgmt_nsxt_federation_result="Excluded"),(mgmt_nsxt_federation_chosen="Connect Instance"))</formula>
    </cfRule>
  </conditionalFormatting>
  <conditionalFormatting sqref="D556:D559">
    <cfRule type="expression" dxfId="2067" priority="90">
      <formula>OR((mgmt_nsxt_federation_result="Excluded"),(mgmt_nsxt_federation_chosen="Connect Instance"),(mgmt_signed_certs_result="Excluded"))</formula>
    </cfRule>
  </conditionalFormatting>
  <conditionalFormatting sqref="D557">
    <cfRule type="expression" dxfId="2066" priority="98">
      <formula>mgmt_domain_result="Excluded"</formula>
    </cfRule>
    <cfRule type="expression" dxfId="2065" priority="101">
      <formula>OR((mgmt_nsxt_federation_result="Excluded"),(mgmt_nsxt_federation_chosen="Connect Instance"))</formula>
    </cfRule>
  </conditionalFormatting>
  <conditionalFormatting sqref="D561:D562 D580:D590">
    <cfRule type="expression" dxfId="2064" priority="551">
      <formula>mgmt_nsxt_federation_result="Excluded"</formula>
    </cfRule>
  </conditionalFormatting>
  <conditionalFormatting sqref="D563:D564">
    <cfRule type="expression" dxfId="2063" priority="716">
      <formula>mgmt_nsxt_federation_result="Excluded"</formula>
    </cfRule>
  </conditionalFormatting>
  <conditionalFormatting sqref="D565:D566">
    <cfRule type="expression" dxfId="2062" priority="719" stopIfTrue="1">
      <formula>mgmt_nsxt_federation_result="Excluded"</formula>
    </cfRule>
  </conditionalFormatting>
  <conditionalFormatting sqref="D568:D569">
    <cfRule type="expression" dxfId="2061" priority="89">
      <formula>OR((mgmt_nsxt_federation_result="Excluded"),(mgmt_nsxt_federation_chosen&lt;&gt;"Active Global Manager"))</formula>
    </cfRule>
  </conditionalFormatting>
  <conditionalFormatting sqref="D571 D573:D578">
    <cfRule type="expression" dxfId="2060" priority="929">
      <formula>OR((mgmt_nsxt_federation_result="Excluded"),(mgmt_nsxt_federation_chosen&lt;&gt;"Standby Global Manager"))</formula>
    </cfRule>
  </conditionalFormatting>
  <conditionalFormatting sqref="D572">
    <cfRule type="expression" dxfId="2058" priority="705">
      <formula>OR((mgmt_nsxt_federation_result="Excluded"),(mgmt_nsxt_federation_chosen="Active Global Manager"),(mgmt_nsxt_federation_chosen="Connect Instance"))</formula>
    </cfRule>
    <cfRule type="expression" dxfId="2057" priority="715">
      <formula>mgmt_domain_result="Excluded"</formula>
    </cfRule>
  </conditionalFormatting>
  <conditionalFormatting sqref="D581">
    <cfRule type="expression" dxfId="2056" priority="578">
      <formula>OR((mgmt_domain_result="Excluded"),(mgmt_nsxt_federation_result="Excluded"))</formula>
    </cfRule>
    <cfRule type="expression" dxfId="2055" priority="700">
      <formula>mgmt_domain_result="Excluded"</formula>
    </cfRule>
  </conditionalFormatting>
  <conditionalFormatting sqref="D592:D596">
    <cfRule type="expression" dxfId="2054" priority="87">
      <formula>OR((mgmt_nsxt_federation_result="Excluded"),(mgmt_nsxt_federation_chosen&lt;&gt;"Active Global Manager"))</formula>
    </cfRule>
  </conditionalFormatting>
  <conditionalFormatting sqref="D594 D602:D641 D643:D646">
    <cfRule type="expression" dxfId="2053" priority="414">
      <formula>OR((mgmt_nsxt_federation_result="Excluded"),(mgmt_nsxt_federation_chosen="Active Global Manager"))</formula>
    </cfRule>
  </conditionalFormatting>
  <conditionalFormatting sqref="D598:D600">
    <cfRule type="expression" dxfId="2052" priority="82">
      <formula>OR((mgmt_nsxt_federation_result="Excluded"),(mgmt_nsxt_federation_chosen&lt;&gt;"Active Global Manager"))</formula>
    </cfRule>
  </conditionalFormatting>
  <conditionalFormatting sqref="D12:E12 B12">
    <cfRule type="expression" dxfId="2051" priority="282">
      <formula>AND((mgmt_signed_certs_chosen&lt;&gt;"Exclude"),(mgmt_signed_certs_result="Excluded"))</formula>
    </cfRule>
  </conditionalFormatting>
  <conditionalFormatting sqref="D12:E12">
    <cfRule type="expression" dxfId="2050" priority="956">
      <formula>(mgmt_signed_certs_result="Excluded")</formula>
    </cfRule>
    <cfRule type="expression" dxfId="2049" priority="957">
      <formula>(mgmt_signed_certs_chosen&lt;&gt;"Exclude")</formula>
    </cfRule>
  </conditionalFormatting>
  <conditionalFormatting sqref="D13:E13">
    <cfRule type="expression" dxfId="2048" priority="958">
      <formula>(mgmt_vns_result="Excluded")</formula>
    </cfRule>
    <cfRule type="expression" dxfId="2047" priority="959">
      <formula>(mgmt_vns_result="Included")</formula>
    </cfRule>
  </conditionalFormatting>
  <conditionalFormatting sqref="D16:E16">
    <cfRule type="expression" dxfId="2046" priority="969">
      <formula>(mgmt_stretched_cluster_result="Excluded")</formula>
    </cfRule>
    <cfRule type="expression" dxfId="2045" priority="971">
      <formula>AND((mgmt_stretched_cluster_chosen="Include"),(mgmt_stretched_cluster_result="Included"))</formula>
    </cfRule>
  </conditionalFormatting>
  <conditionalFormatting sqref="D17:E17">
    <cfRule type="expression" dxfId="2044" priority="954">
      <formula>AND((vcf_granular_option_chosen&lt;&gt;"Deploy a VCF Instance in an existing VCF fleet"),(vcf_granular_option_chosen&lt;&gt;"Deploy a new VCF fleet"),(vcf_granular_option_chosen&lt;&gt;"Cluster"),(vcf_granular_option_chosen&lt;&gt;"One or More VVDs"))</formula>
    </cfRule>
    <cfRule type="expression" dxfId="2043" priority="955">
      <formula>(mgmt_nsxt_federation_chosen="Exclude")</formula>
    </cfRule>
    <cfRule type="expression" dxfId="2042" priority="965">
      <formula>AND((mgmt_nsxt_federation_chosen&lt;&gt;"Exclude"),(mgmt_nsxt_federation_result="Excluded"))</formula>
    </cfRule>
  </conditionalFormatting>
  <conditionalFormatting sqref="E16">
    <cfRule type="containsText" dxfId="2040" priority="960" operator="containsText" text="Note:">
      <formula>NOT(ISERROR(SEARCH("Note:",E16)))</formula>
    </cfRule>
  </conditionalFormatting>
  <conditionalFormatting sqref="E350:E365">
    <cfRule type="expression" dxfId="2039" priority="514">
      <formula>OR((wld_vlcm_model_result="Excluded"),(wld_vlcm_model_chosen="Baselines"))</formula>
    </cfRule>
  </conditionalFormatting>
  <dataValidations count="26">
    <dataValidation type="list" allowBlank="1" showInputMessage="1" showErrorMessage="1" sqref="B17" xr:uid="{4C87AA03-6454-D94F-9467-431FFA208D54}">
      <formula1>"Exclude, Active Global Manager, Standby Global Manager, Connect Instance"</formula1>
    </dataValidation>
    <dataValidation type="list" allowBlank="1" showInputMessage="1" showErrorMessage="1" sqref="B12" xr:uid="{9C44D66D-A6AE-BB4C-A959-2695BEEC9467}">
      <formula1>"Exclude,Microsoft CA,OpenSSL CA"</formula1>
    </dataValidation>
    <dataValidation type="list" allowBlank="1" showInputMessage="1" showErrorMessage="1" sqref="B13" xr:uid="{2D9695D8-0E1C-EF44-AAB1-95F146F1964E}">
      <formula1>"Exclude,Centralized Connectivity,Distributed Connectivity"</formula1>
    </dataValidation>
    <dataValidation type="list" allowBlank="1" showInputMessage="1" showErrorMessage="1" sqref="D281 D97" xr:uid="{8510D5E3-76F3-4F48-A320-4202661526C0}">
      <formula1>"Small,Medium,Large"</formula1>
    </dataValidation>
    <dataValidation type="list" allowBlank="1" showInputMessage="1" showErrorMessage="1" sqref="B14:B16 D228" xr:uid="{C69FA742-5038-9D45-BD6D-BB0D8DB6294F}">
      <formula1>"Include,Exclude"</formula1>
    </dataValidation>
    <dataValidation type="list" allowBlank="1" showInputMessage="1" showErrorMessage="1" sqref="D106" xr:uid="{E838950C-5824-1048-9170-FDEAC523C764}">
      <formula1>"DHCP,Static"</formula1>
    </dataValidation>
    <dataValidation type="list" allowBlank="1" showInputMessage="1" showErrorMessage="1" sqref="D102" xr:uid="{0F03A693-4659-0642-B5C1-56827D3A287D}">
      <formula1>"Yes,No"</formula1>
    </dataValidation>
    <dataValidation type="list" allowBlank="1" showInputMessage="1" showErrorMessage="1" sqref="D152 D110 D246" xr:uid="{EB1D5431-E355-8349-92B7-98699093D262}">
      <formula1>"Selected,Unselected"</formula1>
    </dataValidation>
    <dataValidation type="list" allowBlank="1" showInputMessage="1" showErrorMessage="1" sqref="D158" xr:uid="{B5F4A4EE-17C2-E74F-8366-A5915E1CDDA9}">
      <formula1>"BGP,STATIC"</formula1>
    </dataValidation>
    <dataValidation type="list" allowBlank="1" showInputMessage="1" showErrorMessage="1" sqref="D165 D179" xr:uid="{445EF43D-0D75-3D4A-A2ED-D8E3CC33620C}">
      <formula1>"Unselected,Selected"</formula1>
    </dataValidation>
    <dataValidation type="list" allowBlank="1" showInputMessage="1" showErrorMessage="1" sqref="D157" xr:uid="{B7DAA969-9775-E54D-8FB3-20D65C5FE37E}">
      <formula1>"Active Active,Active Standby"</formula1>
    </dataValidation>
    <dataValidation type="list" allowBlank="1" showInputMessage="1" showErrorMessage="1" sqref="D320" xr:uid="{3A8139DA-5760-284F-92B4-C643E6BDFED4}">
      <formula1>"Re-use an existing VCF Network Pool,Create a new VCF Network Pool"</formula1>
    </dataValidation>
    <dataValidation type="list" allowBlank="1" showInputMessage="1" showErrorMessage="1" sqref="D433" xr:uid="{87787DC0-6963-C243-9CE6-A77E9D967B7A}">
      <formula1>"Re-use an existing Pool,Create New Static IP Pool"</formula1>
    </dataValidation>
    <dataValidation type="list" allowBlank="1" showInputMessage="1" showErrorMessage="1" sqref="D126 D326 D334 D342" xr:uid="{951D9857-4EE1-9C47-88BC-3A61688F0E59}">
      <formula1>table_masks</formula1>
    </dataValidation>
    <dataValidation type="list" allowBlank="1" showInputMessage="1" showErrorMessage="1" sqref="D474" xr:uid="{7E60ABCF-9E78-D341-A124-AF768C695917}">
      <formula1>"Small,Medium,Large,X-Large"</formula1>
    </dataValidation>
    <dataValidation type="list" allowBlank="1" showInputMessage="1" showErrorMessage="1" sqref="D118" xr:uid="{E9886013-30A8-D142-BF14-FD432DB2FF83}">
      <formula1>"Static IP List,DHCP,IP Pool"</formula1>
    </dataValidation>
    <dataValidation type="list" allowBlank="1" showInputMessage="1" showErrorMessage="1" sqref="D105" xr:uid="{649584F4-E205-7F49-BB2E-A6F907287C89}">
      <formula1>"IPv4 Only,IPv6 Only, IPv4 &amp; IPv6"</formula1>
    </dataValidation>
    <dataValidation type="list" allowBlank="1" showInputMessage="1" showErrorMessage="1" sqref="D117" xr:uid="{460942FC-888E-AD4E-979E-155CF16B3AA5}">
      <formula1>"IPv4,IPv6,"</formula1>
    </dataValidation>
    <dataValidation type="list" allowBlank="1" showInputMessage="1" showErrorMessage="1" sqref="D206" xr:uid="{0ECF90B9-E87C-374F-A15E-2BE7EFCB0D0A}">
      <formula1>"Small,Medium,Large,Extra Large"</formula1>
    </dataValidation>
    <dataValidation type="list" allowBlank="1" showInputMessage="1" showErrorMessage="1" sqref="D212" xr:uid="{623CC3AA-C5EF-0445-A0F1-A3290C048E27}">
      <formula1>"IPv4,IPv4 &amp; IPv6, IPv6"</formula1>
    </dataValidation>
    <dataValidation type="list" allowBlank="1" showInputMessage="1" showErrorMessage="1" sqref="D254" xr:uid="{408F1FF8-94B5-AC4C-A8B1-382C56F20775}">
      <formula1>"Static,DHCP"</formula1>
    </dataValidation>
    <dataValidation type="list" allowBlank="1" showInputMessage="1" showErrorMessage="1" sqref="D272" xr:uid="{FDF3D66B-F285-1841-A6E1-54AF70F6DD8F}">
      <formula1>"Tiny,Small,Medium,Large,XLarge"</formula1>
    </dataValidation>
    <dataValidation type="list" allowBlank="1" showInputMessage="1" showErrorMessage="1" sqref="D242" xr:uid="{B6F987F0-DD9E-6947-827A-68C430CD78EC}">
      <formula1>"VCF Networking with VPC,vSphere Distributed Switch"</formula1>
    </dataValidation>
    <dataValidation type="list" allowBlank="1" showInputMessage="1" showErrorMessage="1" sqref="D244" xr:uid="{BD54A65E-DC0B-3C42-B29C-9E79ABC9C4B1}">
      <formula1>"vSphere Zone Deployment,Cluster Deployment"</formula1>
    </dataValidation>
    <dataValidation type="list" allowBlank="1" showInputMessage="1" showErrorMessage="1" sqref="D66" xr:uid="{51874A3A-9F18-934C-813C-7D21FCB612B7}">
      <formula1>"2048,3072,4096"</formula1>
    </dataValidation>
    <dataValidation type="list" allowBlank="1" showInputMessage="1" showErrorMessage="1" sqref="D77" xr:uid="{713834F4-D143-6E41-9482-6233188B8CCD}">
      <formula1>"rsa_key_size_chosen"</formula1>
    </dataValidation>
  </dataValidations>
  <hyperlinks>
    <hyperlink ref="B5" location="'Configure Management Domain'!navigation_configure_sftp_mgmt_domain" display="Configure SFTP Backups for SDDC Manager and NSX" xr:uid="{00000000-0004-0000-0400-000000000000}"/>
    <hyperlink ref="C5" location="'Configure Management Domain'!navigation_apply_signed_certs_mgmt_domain" display="Apply Signed Certificates" xr:uid="{00000000-0004-0000-0400-000001000000}"/>
    <hyperlink ref="D5" location="'Configure Management Domain'!navigation_nsx_routing_mgmt_domain" display="NSX Network Connectivity for the MGMT Workload Domain" xr:uid="{00000000-0004-0000-0400-000002000000}"/>
    <hyperlink ref="D7" location="'Configure Management Domain'!navigation_avi_lb_mgmt_domain" display="Deploy AVI Loadbalancer " xr:uid="{00000000-0004-0000-0400-000003000000}"/>
    <hyperlink ref="B7" location="'Configure Management Domain'!navigation_stretched_cluster_mgmt_domain" display="Stretched Cluster" xr:uid="{00000000-0004-0000-0400-000004000000}"/>
    <hyperlink ref="C7" location="'Configure Management Domain'!navigation_nsx_federation_for_management_domain" display="NSX Federation for Management Domain" xr:uid="{00000000-0004-0000-0400-000005000000}"/>
    <hyperlink ref="E100" location="'Deploy Management Domain'!L94" display="Values are set based on vSphere Cluster configuration in the Deploy Management Domain Tab" xr:uid="{00000000-0004-0000-0400-000006000000}"/>
    <hyperlink ref="E104" location="'Deploy Management Domain'!L115" display="Values are set based on Datastoreconfiguration in the Deploy Management Domain Tab" xr:uid="{00000000-0004-0000-0400-000007000000}"/>
    <hyperlink ref="E109" location="'Deploy Management Domain'!L199" display="Values are set based on VM Management Network configuration in the Deploy Management Domain Tab" xr:uid="{00000000-0004-0000-0400-000008000000}"/>
    <hyperlink ref="E108" location="'Deploy Management Domain'!L155" display="'Deploy Management Domain'!L155" xr:uid="{00000000-0004-0000-0400-000009000000}"/>
    <hyperlink ref="E129" location="'Deploy Management Domain'!L94" display="Values are set based on vSphere Cluster configuration in the Deploy Management Domain Tab" xr:uid="{00000000-0004-0000-0400-00000A000000}"/>
    <hyperlink ref="E133" location="'Deploy Management Domain'!L115" display="Values are set based on Datastoreconfiguration in the Deploy Management Domain Tab" xr:uid="{00000000-0004-0000-0400-00000B000000}"/>
    <hyperlink ref="E137" location="'Deploy Management Domain'!L199" display="Values are set based on VM Management Network configuration in the Deploy Management Domain Tab" xr:uid="{00000000-0004-0000-0400-00000C000000}"/>
    <hyperlink ref="E136" location="'Deploy Management Domain'!L155" display="'Deploy Management Domain'!L155" xr:uid="{00000000-0004-0000-0400-00000D000000}"/>
    <hyperlink ref="E209" location="'Deploy Management Domain'!L94" display="Values are set based on vSphere Cluster configuration in the Deploy Management Domain Tab" xr:uid="{A99815FD-3CB0-AC46-9E67-51ECE141AE2F}"/>
    <hyperlink ref="E219" location="'Deploy Management Domain'!L94" display="Values are set based on vSphere Cluster configuration in the Deploy Management Domain Tab" xr:uid="{E1800D78-7E83-F24F-B4A6-8D2711356451}"/>
    <hyperlink ref="E211" location="'Deploy Management Domain'!L115" display="Values are set based on Datastoreconfiguration in the Deploy Management Domain Tab" xr:uid="{76EEAD1F-F669-4446-9EE6-054C40A1A095}"/>
    <hyperlink ref="E221" location="'Deploy Management Domain'!L115" display="Values are set based on Datastoreconfiguration in the Deploy Management Domain Tab" xr:uid="{C8FBC361-72B1-0843-9F99-0A9D56E4A478}"/>
    <hyperlink ref="E216" location="'Deploy Management Domain'!L199" display="Values are set based on VM Management Network configuration in the Deploy Management Domain Tab" xr:uid="{7286ED91-E614-9549-98B8-B4215F114A75}"/>
    <hyperlink ref="E226" location="'Deploy Management Domain'!L199" display="Values are set based on VM Management Network configuration in the Deploy Management Domain Tab" xr:uid="{866504E5-6E68-474F-BE7A-ABFDEA8CDD11}"/>
    <hyperlink ref="E225" location="'Deploy Management Domain'!L155" display="'Deploy Management Domain'!L155" xr:uid="{BF646BCE-EC5C-2B47-A886-ECEC1117ED51}"/>
    <hyperlink ref="E215" location="'Deploy Management Domain'!L155" display="'Deploy Management Domain'!L155" xr:uid="{B9481EA6-871B-C84A-BA96-9289E9322077}"/>
    <hyperlink ref="E5" location="navigation_mgmt_supervisor" display="Enable vSphere Supervisor" xr:uid="{55FE6F2C-894D-E643-BCAB-359F92FEB996}"/>
  </hyperlinks>
  <pageMargins left="0.7" right="0.7" top="0.75" bottom="0.75" header="0.3" footer="0.3"/>
  <pageSetup paperSize="9" orientation="portrait" horizontalDpi="0" verticalDpi="0"/>
  <ignoredErrors>
    <ignoredError sqref="C121" formula="1"/>
    <ignoredError sqref="E136" unlockedFormula="1"/>
  </ignoredErrors>
  <drawing r:id="rId1"/>
  <extLst>
    <ext xmlns:x14="http://schemas.microsoft.com/office/spreadsheetml/2009/9/main" uri="{78C0D931-6437-407d-A8EE-F0AAD7539E65}">
      <x14:conditionalFormattings>
        <x14:conditionalFormatting xmlns:xm="http://schemas.microsoft.com/office/excel/2006/main">
          <x14:cfRule type="containsText" priority="698" operator="containsText" id="{584294CF-2D97-274B-9221-49162D0606ED}">
            <xm:f>NOT(ISERROR(SEARCH("Missing Value",D22)))</xm:f>
            <xm:f>"Missing Value"</xm:f>
            <x14:dxf>
              <font>
                <color theme="1"/>
              </font>
              <fill>
                <patternFill>
                  <bgColor rgb="FFFFBE29"/>
                </patternFill>
              </fill>
            </x14:dxf>
          </x14:cfRule>
          <xm:sqref>D22:D29</xm:sqref>
        </x14:conditionalFormatting>
        <x14:conditionalFormatting xmlns:xm="http://schemas.microsoft.com/office/excel/2006/main">
          <x14:cfRule type="containsText" priority="42" operator="containsText" id="{7D48929F-A954-4D46-86EB-0ABD5B8150BE}">
            <xm:f>NOT(ISERROR(SEARCH("Value Missing",D91)))</xm:f>
            <xm:f>"Value Missing"</xm:f>
            <x14:dxf>
              <font>
                <color rgb="FF0E223A"/>
              </font>
              <fill>
                <patternFill>
                  <bgColor rgb="FFFFBE29"/>
                </patternFill>
              </fill>
            </x14:dxf>
          </x14:cfRule>
          <xm:sqref>D91</xm:sqref>
        </x14:conditionalFormatting>
        <x14:conditionalFormatting xmlns:xm="http://schemas.microsoft.com/office/excel/2006/main">
          <x14:cfRule type="containsText" priority="262" stopIfTrue="1" operator="containsText" id="{3C06E0A5-FDD6-DE41-81F7-DD786C1C7398}">
            <xm:f>NOT(ISERROR(SEARCH("Value Missing",D237)))</xm:f>
            <xm:f>"Value Missing"</xm:f>
            <x14:dxf>
              <font>
                <color rgb="FF0E223A"/>
              </font>
              <fill>
                <patternFill>
                  <bgColor rgb="FFFFBE29"/>
                </patternFill>
              </fill>
            </x14:dxf>
          </x14:cfRule>
          <xm:sqref>D237</xm:sqref>
        </x14:conditionalFormatting>
        <x14:conditionalFormatting xmlns:xm="http://schemas.microsoft.com/office/excel/2006/main">
          <x14:cfRule type="containsText" priority="29" operator="containsText" id="{C7D4F8B3-8A3D-C34E-919F-97D11AF2B8DE}">
            <xm:f>NOT(ISERROR(SEARCH("Value Missing",D242)))</xm:f>
            <xm:f>"Value Missing"</xm:f>
            <x14:dxf>
              <font>
                <color rgb="FF0E223A"/>
              </font>
              <fill>
                <patternFill>
                  <bgColor rgb="FFFFBE29"/>
                </patternFill>
              </fill>
            </x14:dxf>
          </x14:cfRule>
          <xm:sqref>D242</xm:sqref>
        </x14:conditionalFormatting>
        <x14:conditionalFormatting xmlns:xm="http://schemas.microsoft.com/office/excel/2006/main">
          <x14:cfRule type="containsText" priority="23" operator="containsText" id="{2B39CAC9-D62C-B746-AA43-B7CD93903EE8}">
            <xm:f>NOT(ISERROR(SEARCH("Value Missing",D244)))</xm:f>
            <xm:f>"Value Missing"</xm:f>
            <x14:dxf>
              <font>
                <color rgb="FF0E223A"/>
              </font>
              <fill>
                <patternFill>
                  <bgColor rgb="FFFFBE29"/>
                </patternFill>
              </fill>
            </x14:dxf>
          </x14:cfRule>
          <xm:sqref>D244:D248</xm:sqref>
        </x14:conditionalFormatting>
        <x14:conditionalFormatting xmlns:xm="http://schemas.microsoft.com/office/excel/2006/main">
          <x14:cfRule type="containsText" priority="20" operator="containsText" id="{4F558507-9DB3-6640-97B6-C6648A1E6BF1}">
            <xm:f>NOT(ISERROR(SEARCH("Value Missing",D250)))</xm:f>
            <xm:f>"Value Missing"</xm:f>
            <x14:dxf>
              <font>
                <color rgb="FF0E223A"/>
              </font>
              <fill>
                <patternFill>
                  <bgColor rgb="FFFFBE29"/>
                </patternFill>
              </fill>
            </x14:dxf>
          </x14:cfRule>
          <xm:sqref>D250:D252</xm:sqref>
        </x14:conditionalFormatting>
        <x14:conditionalFormatting xmlns:xm="http://schemas.microsoft.com/office/excel/2006/main">
          <x14:cfRule type="containsText" priority="17" operator="containsText" id="{E539B77D-EA1D-4B4B-B097-A92FAC8B70B8}">
            <xm:f>NOT(ISERROR(SEARCH("Value Missing",D254)))</xm:f>
            <xm:f>"Value Missing"</xm:f>
            <x14:dxf>
              <font>
                <color rgb="FF0E223A"/>
              </font>
              <fill>
                <patternFill>
                  <bgColor rgb="FFFFBE29"/>
                </patternFill>
              </fill>
            </x14:dxf>
          </x14:cfRule>
          <xm:sqref>D254:D261</xm:sqref>
        </x14:conditionalFormatting>
        <x14:conditionalFormatting xmlns:xm="http://schemas.microsoft.com/office/excel/2006/main">
          <x14:cfRule type="containsText" priority="14" operator="containsText" id="{44F4E9F2-849B-234B-9CB2-774FEF0C663C}">
            <xm:f>NOT(ISERROR(SEARCH("Value Missing",D263)))</xm:f>
            <xm:f>"Value Missing"</xm:f>
            <x14:dxf>
              <font>
                <color rgb="FF0E223A"/>
              </font>
              <fill>
                <patternFill>
                  <bgColor rgb="FFFFBE29"/>
                </patternFill>
              </fill>
            </x14:dxf>
          </x14:cfRule>
          <xm:sqref>D263:D270</xm:sqref>
        </x14:conditionalFormatting>
        <x14:conditionalFormatting xmlns:xm="http://schemas.microsoft.com/office/excel/2006/main">
          <x14:cfRule type="containsText" priority="11" operator="containsText" id="{AFB3B8CE-2415-DF43-9BA8-AE4482C4B31E}">
            <xm:f>NOT(ISERROR(SEARCH("Value Missing",D272)))</xm:f>
            <xm:f>"Value Missing"</xm:f>
            <x14:dxf>
              <font>
                <color rgb="FF0E223A"/>
              </font>
              <fill>
                <patternFill>
                  <bgColor rgb="FFFFBE29"/>
                </patternFill>
              </fill>
            </x14:dxf>
          </x14:cfRule>
          <xm:sqref>D272:D273</xm:sqref>
        </x14:conditionalFormatting>
        <x14:conditionalFormatting xmlns:xm="http://schemas.microsoft.com/office/excel/2006/main">
          <x14:cfRule type="containsText" priority="509" stopIfTrue="1" operator="containsText" id="{A05D282B-402D-8641-81EE-7253E8565A90}">
            <xm:f>NOT(ISERROR(SEARCH("Value Missing",D330)))</xm:f>
            <xm:f>"Value Missing"</xm:f>
            <x14:dxf>
              <font>
                <color rgb="FF0E223A"/>
              </font>
              <fill>
                <patternFill>
                  <bgColor rgb="FFFFBE29"/>
                </patternFill>
              </fill>
            </x14:dxf>
          </x14:cfRule>
          <xm:sqref>D330</xm:sqref>
        </x14:conditionalFormatting>
        <x14:conditionalFormatting xmlns:xm="http://schemas.microsoft.com/office/excel/2006/main">
          <x14:cfRule type="containsText" priority="931" operator="containsText" id="{F97B184A-B8B2-B345-9B5B-582787CFAD3C}">
            <xm:f>NOT(ISERROR(SEARCH("Value Missing",D34)))</xm:f>
            <xm:f>"Value Missing"</xm:f>
            <x14:dxf>
              <font>
                <color rgb="FF0E223A"/>
              </font>
              <fill>
                <patternFill>
                  <bgColor rgb="FFFFBE29"/>
                </patternFill>
              </fill>
            </x14:dxf>
          </x14:cfRule>
          <xm:sqref>D571:D578 D43:D46 D59:D66 D48:D51 D53:D57 D34:D36 D38:D41 D99:D110 D112:D126 D128:D138 D140:D150 D161:D174 D176:D192 D283:D289 D279 D523:D537 D539:D543 D545:D547 D551:D554 D561:D566 D580:D590 D68:D74 D76:D85 D281 D381:D398 D152:D154 D339:D345 D449 D451:D452 D454:D464 D350:D371 D592:D596 D602:D641 D643:D646 D320:D321 D296:D299 D301:D316 D376:D379 D400:D403 D405:D407 D409:D411 D323:D329 D331:D337 D156:D159 D205:D206 D208:D216 D218:D226 D95:D97 D416:D445 D549 D556:D559 D568:D569 D598:D600 D469 D471:D486 D488:D503 D505:D521 D230:D232 D238 D234:D236 D228 D93 D194:D203</xm:sqref>
        </x14:conditionalFormatting>
        <x14:conditionalFormatting xmlns:xm="http://schemas.microsoft.com/office/excel/2006/main">
          <x14:cfRule type="containsText" priority="45" operator="containsText" id="{4C7EF2D2-C058-AE40-A8AF-A9CB5DCD3F64}">
            <xm:f>NOT(ISERROR(SEARCH("Deploy a new VCF fleet or Deploy a VCF Instance in an existing VCF fleet not selected on VCF &amp; VVF Planning Tab",E12)))</xm:f>
            <xm:f>"Deploy a new VCF fleet or Deploy a VCF Instance in an existing VCF fleet not selected on VCF &amp; VVF Planning Tab"</xm:f>
            <x14:dxf>
              <font>
                <color theme="1"/>
              </font>
              <fill>
                <patternFill>
                  <bgColor rgb="FFFFBE29"/>
                </patternFill>
              </fill>
            </x14:dxf>
          </x14:cfRule>
          <xm:sqref>E12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14CB1-6354-3945-8DA1-87C118349E58}">
  <sheetPr codeName="Sheet3">
    <tabColor theme="9" tint="0.39997558519241921"/>
  </sheetPr>
  <dimension ref="A1:I162"/>
  <sheetViews>
    <sheetView showGridLines="0" workbookViewId="0">
      <pane ySplit="4" topLeftCell="A5" activePane="bottomLeft" state="frozen"/>
      <selection pane="bottomLeft"/>
    </sheetView>
  </sheetViews>
  <sheetFormatPr baseColWidth="10" defaultRowHeight="16" x14ac:dyDescent="0.2"/>
  <cols>
    <col min="1" max="1" width="2.83203125" customWidth="1"/>
    <col min="2" max="3" width="75.83203125" customWidth="1"/>
    <col min="4" max="4" width="75.83203125" style="353" customWidth="1"/>
    <col min="5" max="5" width="128.6640625" style="353" customWidth="1"/>
  </cols>
  <sheetData>
    <row r="1" spans="1:7" s="9" customFormat="1" x14ac:dyDescent="0.2">
      <c r="A1" s="146"/>
      <c r="D1" s="2"/>
      <c r="E1" s="2"/>
    </row>
    <row r="2" spans="1:7" s="9" customFormat="1" ht="54" customHeight="1" x14ac:dyDescent="0.2">
      <c r="A2" s="149"/>
      <c r="B2" s="582" t="s">
        <v>519</v>
      </c>
      <c r="C2" s="582"/>
      <c r="D2" s="582"/>
      <c r="E2" s="582"/>
    </row>
    <row r="3" spans="1:7" s="25" customFormat="1" ht="20" customHeight="1" x14ac:dyDescent="0.2">
      <c r="A3" s="61"/>
      <c r="B3" s="583" t="s">
        <v>1</v>
      </c>
      <c r="C3" s="583"/>
      <c r="D3" s="583"/>
      <c r="E3" s="583"/>
    </row>
    <row r="4" spans="1:7" s="9" customFormat="1" x14ac:dyDescent="0.2">
      <c r="D4" s="2"/>
      <c r="E4" s="2"/>
    </row>
    <row r="5" spans="1:7" s="9" customFormat="1" ht="34" customHeight="1" x14ac:dyDescent="0.2">
      <c r="B5" s="54" t="s">
        <v>520</v>
      </c>
      <c r="C5" s="55"/>
      <c r="D5" s="55"/>
      <c r="E5" s="359"/>
    </row>
    <row r="6" spans="1:7" s="9" customFormat="1" ht="20" customHeight="1" x14ac:dyDescent="0.2">
      <c r="B6" s="63" t="s">
        <v>9</v>
      </c>
      <c r="C6" s="63" t="s">
        <v>10</v>
      </c>
      <c r="D6" s="63" t="s">
        <v>11</v>
      </c>
      <c r="E6" s="360" t="s">
        <v>12</v>
      </c>
    </row>
    <row r="7" spans="1:7" s="9" customFormat="1" ht="20" customHeight="1" x14ac:dyDescent="0.2">
      <c r="A7" s="148"/>
      <c r="B7" s="331" t="s">
        <v>4179</v>
      </c>
      <c r="C7" s="303" t="s">
        <v>521</v>
      </c>
      <c r="D7" s="332" t="str">
        <f>IF(flt_custom_network_chosen="Exclude","Excluded",
IF(AND(flt_custom_network_chosen="NSX Overlay Segment",mgmt_vns_chosen&lt;&gt;"Centralized Connectivity"),"Excluded","Included"))</f>
        <v>Included</v>
      </c>
      <c r="E7" s="332" t="str">
        <f>IF(flt_custom_network_chosen="Shared Management Network","Components will be deployed using the VM Management Network",
IF(AND(flt_custom_network_chosen="NSX Overlay Segment",mgmt_vns_chosen&lt;&gt;"Centralized Connectivity"),"NSX Centralized Connectivity is required to configure the Fleet appliance on NSX Overlay Segment",
IF(flt_custom_network_chosen="NSX Overlay Segment","Components will be deployed on NSX Overlay which will need to be created manually in advanced of deployment",
IF(flt_custom_network_chosen="Dedicated Management Network","Components will be deployed on a new Distrubted Port Group which will need to be created manually in advanced of deployment","Components will be deployed on a NSX VLAN Segment which will need to be created manually in advanced of deployment"))))</f>
        <v>Components will be deployed using the VM Management Network</v>
      </c>
      <c r="F7" s="148"/>
      <c r="G7" s="148"/>
    </row>
    <row r="8" spans="1:7" s="9" customFormat="1" ht="20" customHeight="1" x14ac:dyDescent="0.2">
      <c r="A8" s="148"/>
      <c r="B8" s="331" t="s">
        <v>13</v>
      </c>
      <c r="C8" s="303" t="s">
        <v>522</v>
      </c>
      <c r="D8" s="332" t="str">
        <f>IF(AND(mgmt_domain_ops_automation_later_chosen="Selected",flt_custom_network_vcf_ops_automation_chosen="Deploy VCF Operations and Automation"),"Included",
IF(AND(mgmt_domain_ops_automation_later_chosen="Selected",flt_custom_network_vcf_ops_automation_chosen="Deploy VCF Automation"),"Excluded",
IF(AND(mgmt_domain_vcf_automation_later_chosen="Selected",flt_custom_network_vcf_ops_automation_chosen="Deploy VCF Automation"),"Included","Excluded")))</f>
        <v>Excluded</v>
      </c>
      <c r="E8" s="332" t="str">
        <f>IF(vcf_granular_option_chosen="None Chosen","No Deployment Type Chosen",
IF(mgmt_domain_deployment_type_chosen="VMware vSphere Foundation","Cannot be performed on a VMware vSphere Foundation deployment",
IF(AND(mgmt_domain_ops_automation_later_chosen="Selected",flt_custom_network_vcf_ops_automation_chosen="Deploy VCF Automation"),"Cause: VCF Operations is required to Deploy VCF Automation. Deploy VCF Operations during MGMT Domain Deploy or Day-N",
IF(AND(mgmt_domain_ops_automation_later_chosen="Selected",flt_custom_network_vcf_ops_automation_chosen="Deploy VCF Operations and Automation"),"VCF Operations and Automation will be deployed using SDDC manager API",
IF(AND(mgmt_domain_vcf_automation_later_chosen="Selected",flt_custom_network_vcf_ops_automation_chosen="Deploy VCF Automation"),"VCF Automation will be deployed using VCF Operations",
IF(AND(mgmt_domain_vcf_automation_later_chosen="Unselected",flt_custom_network_vcf_ops_automation_chosen="Deploy VCF Automation"),"Cause: I want to connect a VCF Automation instance later option not selected in Deploy Management Domain Tab",
IF(mgmt_domain_ops_automation_later_chosen="Selected","VCF Ops and Automation will be skipped during MGMT Domain deployment. Ensure they are planned as part of fleet Management Day-N",
IF(AND(mgmt_domain_ops_automation_later_chosen&lt;&gt;"Selected",flt_custom_network_vcf_ops_automation_chosen="Deploy VCF Operations and Automation"),"Cause: Custom networking for VCF Operations and VCF Automation not selected in Deploy Management Domain Tab",
IF(flt_custom_network_vcf_ops_automation_chosen="Exclude","Cause: Not Selected. VCF Operations and Automation will not be configured as part of Day-2 Fleet management",
"Cause: VCF Operations and Automation will be deployed during Managment Domain Deployment")))))))))</f>
        <v>Cause: Not Selected. VCF Operations and Automation will not be configured as part of Day-2 Fleet management</v>
      </c>
      <c r="F8" s="148"/>
      <c r="G8" s="148"/>
    </row>
    <row r="9" spans="1:7" s="9" customFormat="1" ht="20" customHeight="1" x14ac:dyDescent="0.2">
      <c r="B9" s="116" t="s">
        <v>13</v>
      </c>
      <c r="C9" s="65" t="s">
        <v>3962</v>
      </c>
      <c r="D9" s="140" t="str">
        <f>IF(mgmt_domain_deployment_type_chosen="VMware vSphere Foundation","Excluded",IF(flt_vidb_chosen&lt;&gt;"Exclude","Included","Excluded"))</f>
        <v>Excluded</v>
      </c>
      <c r="E9" s="140" t="str">
        <f>IF(vcf_granular_option_chosen="None Chosen","No Deployment Type Chosen",
IF(mgmt_domain_deployment_type_chosen="VMware vSphere Foundation","Cannot be performed on a VMware vSphere Foundation deployment",IF(flt_vidb_chosen="Exclude","Cause: Not Selected. VCF Authentication will not be configured",IF(AND(flt_vidb_chosen="Include",mgmt_domain_chosen="Additional Instance"),"Identity Broker will be will be deployed within the VCFMS Cluster ","Identity Broker is already deployed within the VCFMS Cluster, Configuration steps are detailed below"))))</f>
        <v>Cause: Not Selected. VCF Authentication will not be configured</v>
      </c>
    </row>
    <row r="10" spans="1:7" s="9" customFormat="1" ht="20" customHeight="1" x14ac:dyDescent="0.2">
      <c r="A10" s="148"/>
      <c r="B10" s="331" t="s">
        <v>13</v>
      </c>
      <c r="C10" s="105" t="s">
        <v>4007</v>
      </c>
      <c r="D10" s="332" t="str">
        <f>IF(mgmt_domain_deployment_type_chosen="VMware vSphere Foundation","Excluded",IF(flt_logs_chosen&lt;&gt;"Exclude","Included","Excluded"))</f>
        <v>Excluded</v>
      </c>
      <c r="E10" s="332" t="str">
        <f>IF(vcf_granular_option_chosen="None Chosen","No Deployment Type Chosen",
IF(mgmt_domain_deployment_type_chosen="VMware vSphere Foundation","Cannot be performed on a VMware vSphere Foundation deployment",IF(flt_logs_chosen="Exclude","Cause: Not Selected. VCF Operations for Logs will not be deployed","VCF Operations for Logs will be deployed")))</f>
        <v>Cause: Not Selected. VCF Operations for Logs will not be deployed</v>
      </c>
      <c r="F10" s="148"/>
      <c r="G10" s="148"/>
    </row>
    <row r="11" spans="1:7" s="9" customFormat="1" ht="20" customHeight="1" x14ac:dyDescent="0.2">
      <c r="A11" s="148"/>
      <c r="B11" s="331" t="s">
        <v>13</v>
      </c>
      <c r="C11" s="105" t="s">
        <v>523</v>
      </c>
      <c r="D11" s="332" t="str">
        <f>IF(mgmt_domain_deployment_type_chosen="VMware vSphere Foundation","Excluded",IF(flt_net_chosen&lt;&gt;"Exclude","Included","Excluded"))</f>
        <v>Excluded</v>
      </c>
      <c r="E11" s="332" t="str">
        <f>IF(vcf_granular_option_chosen="None Chosen","No Deployment Type Chosen",
IF(mgmt_domain_deployment_type_chosen="VMware vSphere Foundation","Cannot be performed on a VMware vSphere Foundation deployment",
IF(flt_net_chosen="Exclude","Cause: Not Selected. Configure VCF Operations for Networks will not be deployed","VCF Operations for Networks will be deployed")))</f>
        <v>Cause: Not Selected. Configure VCF Operations for Networks will not be deployed</v>
      </c>
      <c r="F11" s="148"/>
      <c r="G11" s="148"/>
    </row>
    <row r="13" spans="1:7" ht="34" customHeight="1" x14ac:dyDescent="0.2">
      <c r="B13" s="569" t="s">
        <v>4162</v>
      </c>
      <c r="C13" s="570"/>
      <c r="D13" s="570"/>
      <c r="E13" s="571"/>
    </row>
    <row r="14" spans="1:7" ht="20" customHeight="1" x14ac:dyDescent="0.2">
      <c r="B14" s="63" t="s">
        <v>18</v>
      </c>
      <c r="C14" s="63" t="s">
        <v>19</v>
      </c>
      <c r="D14" s="63" t="s">
        <v>20</v>
      </c>
      <c r="E14" s="360" t="s">
        <v>21</v>
      </c>
    </row>
    <row r="15" spans="1:7" ht="20" customHeight="1" x14ac:dyDescent="0.2">
      <c r="B15" s="421" t="s">
        <v>3396</v>
      </c>
      <c r="C15" s="422"/>
      <c r="D15" s="422"/>
      <c r="E15" s="423"/>
    </row>
    <row r="16" spans="1:7" ht="20" customHeight="1" x14ac:dyDescent="0.2">
      <c r="B16" s="4" t="s">
        <v>3818</v>
      </c>
      <c r="C16" s="65" t="str">
        <f>CONCATENATE(this_instance,"-vcf01",".",sample_child_dns_zone)</f>
        <v>sfo-vcf01.sfo.rainpole.io</v>
      </c>
      <c r="D16" s="66"/>
      <c r="E16" s="393"/>
    </row>
    <row r="17" spans="2:5" ht="20" customHeight="1" x14ac:dyDescent="0.2">
      <c r="B17" s="4" t="s">
        <v>3819</v>
      </c>
      <c r="C17" s="65" t="s">
        <v>1565</v>
      </c>
      <c r="D17" s="66"/>
      <c r="E17" s="8"/>
    </row>
    <row r="18" spans="2:5" ht="20" customHeight="1" x14ac:dyDescent="0.2">
      <c r="B18" s="4" t="s">
        <v>3820</v>
      </c>
      <c r="C18" s="65" t="s">
        <v>139</v>
      </c>
      <c r="D18" s="66"/>
      <c r="E18" s="393"/>
    </row>
    <row r="19" spans="2:5" ht="20" customHeight="1" x14ac:dyDescent="0.2">
      <c r="B19" s="424" t="s">
        <v>3821</v>
      </c>
      <c r="C19" s="425"/>
      <c r="D19" s="425"/>
      <c r="E19" s="426"/>
    </row>
    <row r="20" spans="2:5" ht="20" customHeight="1" x14ac:dyDescent="0.2">
      <c r="B20" s="4" t="s">
        <v>3410</v>
      </c>
      <c r="C20" s="65" t="s">
        <v>3411</v>
      </c>
      <c r="D20" s="66" t="s">
        <v>3814</v>
      </c>
      <c r="E20" s="229" t="s">
        <v>3822</v>
      </c>
    </row>
    <row r="21" spans="2:5" ht="20" customHeight="1" x14ac:dyDescent="0.2">
      <c r="B21" s="4" t="s">
        <v>3679</v>
      </c>
      <c r="C21" s="65" t="s">
        <v>92</v>
      </c>
      <c r="D21" s="66" t="s">
        <v>92</v>
      </c>
      <c r="E21" s="8" t="str">
        <f>IF(D20="Simple","Simple is chosen size is set to small and cannot be changed using VCF Installer UI","")</f>
        <v>Simple is chosen size is set to small and cannot be changed using VCF Installer UI</v>
      </c>
    </row>
    <row r="22" spans="2:5" ht="20" customHeight="1" x14ac:dyDescent="0.2">
      <c r="B22" s="4" t="s">
        <v>1102</v>
      </c>
      <c r="C22" s="65" t="s">
        <v>156</v>
      </c>
      <c r="D22" s="66" t="s">
        <v>156</v>
      </c>
      <c r="E22" s="8" t="s">
        <v>3718</v>
      </c>
    </row>
    <row r="23" spans="2:5" ht="20" customHeight="1" x14ac:dyDescent="0.2">
      <c r="B23" s="424" t="s">
        <v>3825</v>
      </c>
      <c r="C23" s="425"/>
      <c r="D23" s="425"/>
      <c r="E23" s="426"/>
    </row>
    <row r="24" spans="2:5" ht="20" customHeight="1" x14ac:dyDescent="0.2">
      <c r="B24" s="4" t="s">
        <v>3823</v>
      </c>
      <c r="C24" s="103" t="str">
        <f>IF(OR(flt_custom_network_chosen="NSX Overlay segment",flt_custom_network_chosen="NSX VLAN segment"),CONCATENATE(prefix_portable_component,"-m01-seg01"),IF(flt_custom_network_chosen="Dedicated Management Network",CONCATENATE(this_instance,"-m01-cl01-vds01-pg-vcf-mgmt"),CONCATENATE(this_instance,"-m01-cl01-vds01-pg-vm-mgmt")))</f>
        <v>sfo-m01-cl01-vds01-pg-vm-mgmt</v>
      </c>
      <c r="D24" s="66"/>
      <c r="E24" s="8" t="s">
        <v>4166</v>
      </c>
    </row>
    <row r="25" spans="2:5" ht="20" customHeight="1" x14ac:dyDescent="0.2">
      <c r="B25" s="4" t="s">
        <v>3824</v>
      </c>
      <c r="C25" s="103" t="str">
        <f>IF(flt_custom_network_chosen="Shared Management Network",IF(mgmt_dpg_reuse_result="Excluded",CONCATENATE(prefix_mgmt_az1_cidr,"11.1/24"),CONCATENATE(prefix_mgmt_az1_cidr,"10.1/24")),IF(flt_custom_network_chosen="NSX Overlay Segment",CONCATENATE(prefix_xreg_cidr,".1/24"),CONCATENATE(prefix_flt_shared_cidr,".1/24")))</f>
        <v>10.11.10.1/24</v>
      </c>
      <c r="D25" s="66"/>
      <c r="E25" s="8"/>
    </row>
    <row r="26" spans="2:5" ht="20" customHeight="1" x14ac:dyDescent="0.2">
      <c r="B26" s="424" t="s">
        <v>3399</v>
      </c>
      <c r="C26" s="425"/>
      <c r="D26" s="425"/>
      <c r="E26" s="426"/>
    </row>
    <row r="27" spans="2:5" ht="20" customHeight="1" x14ac:dyDescent="0.2">
      <c r="B27" s="4" t="s">
        <v>3722</v>
      </c>
      <c r="C27" s="103" t="str">
        <f>IF(flt_custom_network_chosen="Shared Management Network",IF(mgmt_dpg_reuse_result="Excluded",CONCATENATE(prefix_mgmt_az1_cidr,"11.46"),CONCATENATE(prefix_mgmt_az1_cidr,"10.46")),IF(flt_custom_network_chosen="NSX Overlay Segment",CONCATENATE(prefix_xreg_cidr,".46"),CONCATENATE(prefix_flt_shared_cidr,".46")))</f>
        <v>10.11.10.46</v>
      </c>
      <c r="D27" s="66"/>
      <c r="E27" s="8"/>
    </row>
    <row r="28" spans="2:5" ht="20" customHeight="1" x14ac:dyDescent="0.2">
      <c r="B28" s="4" t="s">
        <v>3723</v>
      </c>
      <c r="C28" s="103" t="str">
        <f>IF(flt_custom_network_chosen="Shared Management Network",IF(mgmt_dpg_reuse_result="Excluded",CONCATENATE(prefix_mgmt_az1_cidr,"11.50"),CONCATENATE(prefix_mgmt_az1_cidr,"10.50")),IF(flt_custom_network_chosen="NSX Overlay Segment",CONCATENATE(prefix_xreg_cidr,".50"),CONCATENATE(prefix_flt_shared_cidr,".50")))</f>
        <v>10.11.10.50</v>
      </c>
      <c r="D28" s="66"/>
      <c r="E28" s="8"/>
    </row>
    <row r="29" spans="2:5" ht="20" customHeight="1" x14ac:dyDescent="0.2">
      <c r="B29" s="424" t="s">
        <v>3414</v>
      </c>
      <c r="C29" s="425"/>
      <c r="D29" s="425"/>
      <c r="E29" s="426"/>
    </row>
    <row r="30" spans="2:5" ht="20" customHeight="1" x14ac:dyDescent="0.2">
      <c r="B30" s="4" t="s">
        <v>3761</v>
      </c>
      <c r="C30" s="103" t="str">
        <f>CONCATENATE(prefix_portable_component,"-ops01a.",sample_parent_dns_zone)</f>
        <v>flt-ops01a.rainpole.io</v>
      </c>
      <c r="D30" s="66"/>
      <c r="E30" s="8"/>
    </row>
    <row r="31" spans="2:5" ht="20" customHeight="1" x14ac:dyDescent="0.2">
      <c r="B31" s="4" t="s">
        <v>4008</v>
      </c>
      <c r="C31" s="103" t="str">
        <f>CONCATENATE(prefix_portable_component,"-ops01b.",sample_parent_dns_zone)</f>
        <v>flt-ops01b.rainpole.io</v>
      </c>
      <c r="D31" s="66"/>
      <c r="E31" s="2" t="str">
        <f>IF(mgmt_domain_vcf_operations_ha_mode_chosen="Standard (Single-Node)","Inputs are masked out as have opted to deploy in Standard (Single-Node)","")</f>
        <v/>
      </c>
    </row>
    <row r="32" spans="2:5" ht="20" customHeight="1" x14ac:dyDescent="0.2">
      <c r="B32" s="4" t="s">
        <v>3767</v>
      </c>
      <c r="C32" s="65" t="str">
        <f>CONCATENATE(prefix_portable_component,"-ops01c.",sample_parent_dns_zone)</f>
        <v>flt-ops01c.rainpole.io</v>
      </c>
      <c r="D32" s="66"/>
      <c r="E32" s="8" t="str">
        <f>IF(mgmt_domain_vcf_operations_ha_mode_chosen="Standard (Single-Node)","Inputs are masked out as have opted to deploy in Standard (Single-Node)","")</f>
        <v/>
      </c>
    </row>
    <row r="33" spans="2:5" ht="20" customHeight="1" x14ac:dyDescent="0.2">
      <c r="B33" s="424" t="s">
        <v>2379</v>
      </c>
      <c r="C33" s="425"/>
      <c r="D33" s="425"/>
      <c r="E33" s="426"/>
    </row>
    <row r="34" spans="2:5" ht="20" customHeight="1" x14ac:dyDescent="0.2">
      <c r="B34" s="4" t="s">
        <v>3416</v>
      </c>
      <c r="C34" s="103" t="str">
        <f>CONCATENATE(prefix_portable_component,"-ops01.",sample_parent_dns_zone)</f>
        <v>flt-ops01.rainpole.io</v>
      </c>
      <c r="D34" s="66"/>
      <c r="E34" s="8" t="str">
        <f>IF(mgmt_domain_vcf_operations_ha_mode_chosen="Standard (Single-Node)","Inputs are masked out as have opted to deploy in Standard (Single-Node)","Optional: For a high availability deployment, you can connect an external load balancer")</f>
        <v>Optional: For a high availability deployment, you can connect an external load balancer</v>
      </c>
    </row>
    <row r="35" spans="2:5" ht="20" customHeight="1" x14ac:dyDescent="0.2">
      <c r="B35" s="424" t="s">
        <v>3760</v>
      </c>
      <c r="C35" s="425"/>
      <c r="D35" s="425"/>
      <c r="E35" s="426"/>
    </row>
    <row r="36" spans="2:5" ht="20" customHeight="1" x14ac:dyDescent="0.2">
      <c r="B36" s="4" t="s">
        <v>39</v>
      </c>
      <c r="C36" s="106" t="str">
        <f>CONCATENATE(this_instance,"-cp01.",sample_child_dns_zone)</f>
        <v>sfo-cp01.sfo.rainpole.io</v>
      </c>
      <c r="D36" s="66"/>
      <c r="E36" s="4"/>
    </row>
    <row r="37" spans="2:5" ht="20" customHeight="1" x14ac:dyDescent="0.2">
      <c r="B37" s="424" t="s">
        <v>3729</v>
      </c>
      <c r="C37" s="425"/>
      <c r="D37" s="425"/>
      <c r="E37" s="426"/>
    </row>
    <row r="38" spans="2:5" ht="20" customHeight="1" x14ac:dyDescent="0.2">
      <c r="B38" s="4" t="s">
        <v>39</v>
      </c>
      <c r="C38" s="215" t="str">
        <f>CONCATENATE(prefix_portable_component,"-lc01.",sample_parent_dns_zone)</f>
        <v>flt-lc01.rainpole.io</v>
      </c>
      <c r="D38" s="66"/>
      <c r="E38" s="181"/>
    </row>
    <row r="39" spans="2:5" ht="20" customHeight="1" x14ac:dyDescent="0.2">
      <c r="B39" s="424" t="s">
        <v>3420</v>
      </c>
      <c r="C39" s="425"/>
      <c r="D39" s="425"/>
      <c r="E39" s="426"/>
    </row>
    <row r="40" spans="2:5" ht="20" customHeight="1" x14ac:dyDescent="0.2">
      <c r="B40" s="4" t="s">
        <v>2129</v>
      </c>
      <c r="C40" s="65" t="str">
        <f>CONCATENATE(prefix_portable_component,"-auto01.",sample_parent_dns_zone)</f>
        <v>flt-auto01.rainpole.io</v>
      </c>
      <c r="D40" s="66"/>
      <c r="E40" s="8"/>
    </row>
    <row r="41" spans="2:5" ht="20" customHeight="1" thickBot="1" x14ac:dyDescent="0.25">
      <c r="B41" s="4" t="s">
        <v>3730</v>
      </c>
      <c r="C41" s="65" t="str">
        <f>CONCATENATE(prefix_portable_component,"-vcfa-sr01.",sample_parent_dns_zone)</f>
        <v>flt-vcfa-sr01.rainpole.io</v>
      </c>
      <c r="D41" s="66"/>
      <c r="E41" s="8" t="s">
        <v>4161</v>
      </c>
    </row>
    <row r="42" spans="2:5" ht="20" customHeight="1" x14ac:dyDescent="0.2">
      <c r="B42" s="589" t="s">
        <v>3468</v>
      </c>
      <c r="C42" s="590"/>
      <c r="D42" s="590"/>
      <c r="E42" s="591"/>
    </row>
    <row r="43" spans="2:5" ht="20" customHeight="1" x14ac:dyDescent="0.2">
      <c r="B43" s="4" t="s">
        <v>3950</v>
      </c>
      <c r="C43" s="65" t="str">
        <f>IF(flt_custom_network_chosen="Shared Management Network",IF(mgmt_dpg_reuse_result="Included",CONCATENATE(prefix_mgmt_az1_cidr,"10.52"),CONCATENATE(prefix_mgmt_az1_cidr,"11.52")),IF(flt_custom_network_chosen="NSX Overlay Segment",CONCATENATE(prefix_xreg_cidr,".52"),CONCATENATE(prefix_flt_shared_cidr,".52")))</f>
        <v>10.11.10.52</v>
      </c>
      <c r="D43" s="66"/>
      <c r="E43" s="8"/>
    </row>
    <row r="44" spans="2:5" ht="20" customHeight="1" x14ac:dyDescent="0.2">
      <c r="B44" s="4" t="s">
        <v>4010</v>
      </c>
      <c r="C44" s="65" t="str">
        <f>IF(flt_custom_network_chosen="Shared Management Network",IF(mgmt_dpg_reuse_result="Included",CONCATENATE(prefix_mgmt_az1_cidr,"10.53"),CONCATENATE(prefix_mgmt_az1_cidr,"11.53")),IF(flt_custom_network_chosen="NSX Overlay Segment",CONCATENATE(prefix_xreg_cidr,".53"),CONCATENATE(prefix_flt_shared_cidr,".53")))</f>
        <v>10.11.10.53</v>
      </c>
      <c r="D44" s="66"/>
      <c r="E44" s="8"/>
    </row>
    <row r="45" spans="2:5" ht="20" customHeight="1" x14ac:dyDescent="0.2">
      <c r="B45" s="4" t="s">
        <v>3952</v>
      </c>
      <c r="C45" s="65" t="str">
        <f>IF(flt_custom_network_chosen="Shared Management Network",IF(mgmt_dpg_reuse_result="Included",CONCATENATE(prefix_mgmt_az1_cidr,"10.54"),CONCATENATE(prefix_mgmt_az1_cidr,"11.54")),IF(flt_custom_network_chosen="NSX Overlay Segment",CONCATENATE(prefix_xreg_cidr,".54"),CONCATENATE(prefix_flt_shared_cidr,".54")))</f>
        <v>10.11.10.54</v>
      </c>
      <c r="D45" s="66"/>
      <c r="E45" s="8"/>
    </row>
    <row r="46" spans="2:5" ht="20" customHeight="1" x14ac:dyDescent="0.2">
      <c r="B46" s="4" t="s">
        <v>3953</v>
      </c>
      <c r="C46" s="65" t="str">
        <f>IF(flt_custom_network_chosen="Shared Management Network",IF(mgmt_dpg_reuse_result="Included",CONCATENATE(prefix_mgmt_az1_cidr,"10.21"),CONCATENATE(prefix_mgmt_az1_cidr,"11.21")),IF(flt_custom_network_chosen="NSX Overlay Segment",CONCATENATE(prefix_xreg_cidr,".21"),CONCATENATE(prefix_flt_shared_cidr,".21")))</f>
        <v>10.11.10.21</v>
      </c>
      <c r="D46" s="66"/>
      <c r="E46" s="8"/>
    </row>
    <row r="47" spans="2:5" ht="20" customHeight="1" x14ac:dyDescent="0.2">
      <c r="B47" s="4" t="s">
        <v>3947</v>
      </c>
      <c r="C47" s="65" t="str">
        <f>IF(mgmt_dpg_reuse_result="Included",CONCATENATE(prefix_mgmt_az1_cidr,"10.12"),CONCATENATE(prefix_mgmt_az1_cidr,"11.12"))</f>
        <v>10.11.10.12</v>
      </c>
      <c r="D47" s="66"/>
      <c r="E47" s="8"/>
    </row>
    <row r="48" spans="2:5" ht="20" customHeight="1" x14ac:dyDescent="0.2">
      <c r="B48" s="4" t="s">
        <v>3948</v>
      </c>
      <c r="C48" s="65" t="str">
        <f>IF(flt_custom_network_chosen="Shared Management Network",IF(mgmt_dpg_reuse_result="Included",CONCATENATE(prefix_mgmt_az1_cidr,"10.22"),CONCATENATE(prefix_mgmt_az1_cidr,"11.22")),IF(flt_custom_network_chosen="NSX Overlay Segment",CONCATENATE(prefix_xreg_cidr,".22"),CONCATENATE(prefix_flt_shared_cidr,".22")))</f>
        <v>10.11.10.22</v>
      </c>
      <c r="D48" s="66"/>
      <c r="E48" s="8"/>
    </row>
    <row r="49" spans="1:9" ht="20" customHeight="1" x14ac:dyDescent="0.2">
      <c r="B49" s="4" t="s">
        <v>3949</v>
      </c>
      <c r="C49" s="65" t="str">
        <f>IF(flt_custom_network_chosen="Shared Management Network",IF(mgmt_dpg_reuse_result="Included",CONCATENATE(prefix_mgmt_az1_cidr,"10.25"),CONCATENATE(prefix_mgmt_az1_cidr,"11.25")),IF(flt_custom_network_chosen="NSX Overlay Segment",CONCATENATE(prefix_xreg_cidr,".25"),CONCATENATE(prefix_flt_shared_cidr,".25")))</f>
        <v>10.11.10.25</v>
      </c>
      <c r="D49" s="66"/>
      <c r="E49" s="8"/>
    </row>
    <row r="50" spans="1:9" ht="20" customHeight="1" x14ac:dyDescent="0.2">
      <c r="B50" s="4" t="s">
        <v>4009</v>
      </c>
      <c r="C50" s="65" t="str">
        <f>IF(flt_custom_network_chosen="Shared Management Network",IF(mgmt_dpg_reuse_result="Included",CONCATENATE(prefix_mgmt_az1_cidr,"10.24"),CONCATENATE(prefix_mgmt_az1_cidr,"11.24")),IF(flt_custom_network_chosen="NSX Overlay Segment",CONCATENATE(prefix_xreg_cidr,".24"),CONCATENATE(prefix_flt_shared_cidr,".24")))</f>
        <v>10.11.10.24</v>
      </c>
      <c r="D50" s="66"/>
      <c r="E50" s="8"/>
    </row>
    <row r="51" spans="1:9" ht="20" customHeight="1" x14ac:dyDescent="0.2">
      <c r="B51" s="592" t="s">
        <v>4163</v>
      </c>
      <c r="C51" s="593"/>
      <c r="D51" s="593"/>
      <c r="E51" s="594"/>
    </row>
    <row r="52" spans="1:9" ht="20" customHeight="1" x14ac:dyDescent="0.2">
      <c r="B52" s="4" t="s">
        <v>4169</v>
      </c>
      <c r="C52" s="65" t="s">
        <v>142</v>
      </c>
      <c r="D52" s="101" t="s">
        <v>142</v>
      </c>
      <c r="E52" s="8" t="s">
        <v>4165</v>
      </c>
    </row>
    <row r="53" spans="1:9" ht="20" customHeight="1" x14ac:dyDescent="0.2">
      <c r="B53" s="4" t="s">
        <v>4167</v>
      </c>
      <c r="C53" s="65" t="s">
        <v>142</v>
      </c>
      <c r="D53" s="198" t="s">
        <v>142</v>
      </c>
      <c r="E53" s="8" t="s">
        <v>4176</v>
      </c>
    </row>
    <row r="54" spans="1:9" s="9" customFormat="1" ht="20" customHeight="1" x14ac:dyDescent="0.2">
      <c r="A54" s="7"/>
      <c r="B54" s="4" t="s">
        <v>3810</v>
      </c>
      <c r="C54" s="65" t="s">
        <v>142</v>
      </c>
      <c r="D54" s="198" t="s">
        <v>142</v>
      </c>
      <c r="E54" s="8" t="s">
        <v>4176</v>
      </c>
      <c r="F54" s="7"/>
      <c r="G54" s="7"/>
      <c r="H54" s="7"/>
      <c r="I54" s="7"/>
    </row>
    <row r="55" spans="1:9" s="9" customFormat="1" ht="20" customHeight="1" x14ac:dyDescent="0.2">
      <c r="A55" s="7"/>
      <c r="B55" s="424" t="s">
        <v>1118</v>
      </c>
      <c r="C55" s="425"/>
      <c r="D55" s="425"/>
      <c r="E55" s="426"/>
      <c r="F55" s="7"/>
      <c r="G55" s="7"/>
      <c r="H55" s="7"/>
      <c r="I55" s="7"/>
    </row>
    <row r="56" spans="1:9" s="9" customFormat="1" ht="20" customHeight="1" x14ac:dyDescent="0.2">
      <c r="A56" s="7"/>
      <c r="B56" s="4" t="s">
        <v>686</v>
      </c>
      <c r="C56" s="65" t="str">
        <f>IF(flt_def_vcf_operations_size_chosen="Medium","Large",
IF(flt_def_vcf_operations_size_chosen="Large","Large","Small"))</f>
        <v>Large</v>
      </c>
      <c r="D56" s="66" t="s">
        <v>92</v>
      </c>
      <c r="E56" s="8" t="str">
        <f>IF(flt_def_vcf_custom_size_chosen="Unselected","Selection is masked out as customize appliance sizing has not been selected",CONCATENATE(IF(flt_def_vcf_operations_custom_size_chosen="xsmall","2 vCPU, 8GB RAM, 274 GB Storage",
IF(flt_def_vcf_operations_custom_size_chosen="small","4 vCPU, 16GB RAM, 274 GB Storage",
IF(flt_def_vcf_operations_custom_size_chosen="medium","8 vCPU, 32GB RAM, 274 GB Storage",
IF(flt_def_vcf_operations_custom_size_chosen="large","16 vCPU, 48GB RAM, 274 GB Storage",
IF(flt_def_vcf_operations_custom_size_chosen="xLarge","24 vCPU, 128GB RAM, 274 GB Storage",
)))))," Per Appliance "))</f>
        <v>Selection is masked out as customize appliance sizing has not been selected</v>
      </c>
      <c r="F56" s="7"/>
      <c r="G56" s="7"/>
      <c r="H56" s="7"/>
      <c r="I56" s="7"/>
    </row>
    <row r="57" spans="1:9" s="9" customFormat="1" ht="20" customHeight="1" x14ac:dyDescent="0.2">
      <c r="A57" s="7"/>
      <c r="B57" s="4" t="s">
        <v>4168</v>
      </c>
      <c r="C57" s="65" t="s">
        <v>139</v>
      </c>
      <c r="D57" s="66"/>
      <c r="E57" s="8"/>
      <c r="F57" s="7"/>
      <c r="G57" s="7"/>
      <c r="H57" s="7"/>
      <c r="I57" s="7"/>
    </row>
    <row r="58" spans="1:9" s="9" customFormat="1" ht="20" customHeight="1" x14ac:dyDescent="0.2">
      <c r="A58" s="7"/>
      <c r="B58" s="4" t="s">
        <v>193</v>
      </c>
      <c r="C58" s="65" t="s">
        <v>139</v>
      </c>
      <c r="D58" s="66"/>
      <c r="E58" s="8"/>
      <c r="F58" s="7"/>
      <c r="G58" s="7"/>
      <c r="H58" s="7"/>
      <c r="I58" s="7"/>
    </row>
    <row r="59" spans="1:9" s="9" customFormat="1" ht="20" customHeight="1" x14ac:dyDescent="0.2">
      <c r="A59" s="7"/>
      <c r="B59" s="424" t="s">
        <v>3760</v>
      </c>
      <c r="C59" s="425"/>
      <c r="D59" s="425"/>
      <c r="E59" s="426"/>
      <c r="F59" s="7"/>
      <c r="G59" s="7"/>
      <c r="H59" s="7"/>
      <c r="I59" s="7"/>
    </row>
    <row r="60" spans="1:9" s="9" customFormat="1" ht="20" customHeight="1" x14ac:dyDescent="0.2">
      <c r="A60" s="7"/>
      <c r="B60" s="4" t="s">
        <v>686</v>
      </c>
      <c r="C60" s="65" t="str">
        <f>IF(flt_def_vcf_operations_size_chosen="Medium","Standard",
IF(flt_def_vcf_operations_size_chosen="Large","Standard","Small"))</f>
        <v>Standard</v>
      </c>
      <c r="D60" s="66" t="s">
        <v>525</v>
      </c>
      <c r="E60" s="8" t="str">
        <f>IF(flt_def_vcf_custom_size_chosen="Unselected","Selection is masked out as customize appliance sizing has not been selected",IF(flt_def_vcf_operations_proxy_custom_size_chosen="Small","4 vCPU, 16GB RAM",
IF(flt_def_vcf_operations_proxy_custom_size_chosen="Standard","8 vCPU, 48GB RAM")))</f>
        <v>Selection is masked out as customize appliance sizing has not been selected</v>
      </c>
      <c r="F60" s="7"/>
      <c r="G60" s="7"/>
      <c r="H60" s="7"/>
      <c r="I60" s="7"/>
    </row>
    <row r="61" spans="1:9" s="9" customFormat="1" ht="20" customHeight="1" x14ac:dyDescent="0.2">
      <c r="A61" s="7"/>
      <c r="B61" s="4" t="s">
        <v>4168</v>
      </c>
      <c r="C61" s="65" t="s">
        <v>139</v>
      </c>
      <c r="D61" s="66"/>
      <c r="E61" s="8"/>
      <c r="F61" s="7"/>
      <c r="G61" s="7"/>
      <c r="H61" s="7"/>
      <c r="I61" s="7"/>
    </row>
    <row r="62" spans="1:9" ht="20" customHeight="1" x14ac:dyDescent="0.2">
      <c r="B62" s="4" t="s">
        <v>4164</v>
      </c>
      <c r="C62" s="65" t="str">
        <f>CONCATENATE(this_instance,"-m01-cl01-vds01-pg-vm-mgmt")</f>
        <v>sfo-m01-cl01-vds01-pg-vm-mgmt</v>
      </c>
      <c r="D62" s="66"/>
      <c r="E62" s="8" t="str">
        <f>IF(flt_def_vcf_custom_network_chosen="Unselected","Section is masked out as customize proxy portgroup and networking  during install is not selected","")</f>
        <v>Section is masked out as customize proxy portgroup and networking  during install is not selected</v>
      </c>
    </row>
    <row r="63" spans="1:9" ht="20" customHeight="1" x14ac:dyDescent="0.2">
      <c r="B63" s="4" t="s">
        <v>3824</v>
      </c>
      <c r="C63" s="65" t="str">
        <f>CONCATENATE(prefix_mgmt_az1_cidr,"10.1/24")</f>
        <v>10.11.10.1/24</v>
      </c>
      <c r="D63" s="66"/>
      <c r="E63" s="8" t="str">
        <f>IF(flt_def_vcf_custom_network_chosen="Unselected","Section is masked out as customize proxy portgroup and networking  during install is not selected","")</f>
        <v>Section is masked out as customize proxy portgroup and networking  during install is not selected</v>
      </c>
    </row>
    <row r="64" spans="1:9" s="9" customFormat="1" ht="20" customHeight="1" x14ac:dyDescent="0.2">
      <c r="A64" s="7"/>
      <c r="B64" s="424" t="s">
        <v>3399</v>
      </c>
      <c r="C64" s="425"/>
      <c r="D64" s="425"/>
      <c r="E64" s="426"/>
      <c r="F64" s="7"/>
      <c r="G64" s="7"/>
      <c r="H64" s="7"/>
      <c r="I64" s="7"/>
    </row>
    <row r="65" spans="1:9" s="9" customFormat="1" ht="20" customHeight="1" x14ac:dyDescent="0.2">
      <c r="A65" s="7"/>
      <c r="B65" s="4" t="s">
        <v>528</v>
      </c>
      <c r="C65" s="65" t="s">
        <v>583</v>
      </c>
      <c r="D65" s="66"/>
      <c r="E65" s="8" t="s">
        <v>4194</v>
      </c>
      <c r="F65" s="7"/>
      <c r="G65" s="7"/>
      <c r="H65" s="7"/>
      <c r="I65" s="7"/>
    </row>
    <row r="66" spans="1:9" s="9" customFormat="1" ht="20" customHeight="1" x14ac:dyDescent="0.2">
      <c r="A66" s="7"/>
      <c r="B66" s="4" t="s">
        <v>4193</v>
      </c>
      <c r="C66" s="65" t="s">
        <v>586</v>
      </c>
      <c r="D66" s="66"/>
      <c r="E66" s="184" t="s">
        <v>4194</v>
      </c>
      <c r="F66" s="7"/>
      <c r="G66" s="7"/>
      <c r="H66" s="7"/>
      <c r="I66" s="7"/>
    </row>
    <row r="67" spans="1:9" s="9" customFormat="1" ht="20" customHeight="1" x14ac:dyDescent="0.2">
      <c r="A67" s="7"/>
      <c r="B67" s="4" t="s">
        <v>193</v>
      </c>
      <c r="C67" s="65" t="s">
        <v>139</v>
      </c>
      <c r="D67" s="66"/>
      <c r="E67" s="8"/>
      <c r="F67" s="7"/>
      <c r="G67" s="7"/>
      <c r="H67" s="7"/>
      <c r="I67" s="7"/>
    </row>
    <row r="68" spans="1:9" s="9" customFormat="1" ht="20" customHeight="1" x14ac:dyDescent="0.2">
      <c r="A68" s="7"/>
      <c r="B68" s="4" t="s">
        <v>686</v>
      </c>
      <c r="C68" s="65" t="str">
        <f>IF(flt_def_vcf_operations_ha_mode_chosen="Simple","Small",
IF(flt_def_vcf_operations_size_chosen="Large","Large","Medium"))</f>
        <v>Small</v>
      </c>
      <c r="D68" s="66" t="s">
        <v>92</v>
      </c>
      <c r="E68" s="8"/>
      <c r="F68" s="7"/>
      <c r="G68" s="7"/>
      <c r="H68" s="7"/>
      <c r="I68" s="7"/>
    </row>
    <row r="69" spans="1:9" ht="20" customHeight="1" x14ac:dyDescent="0.2">
      <c r="D69"/>
      <c r="E69"/>
    </row>
    <row r="70" spans="1:9" ht="34" customHeight="1" thickBot="1" x14ac:dyDescent="0.25">
      <c r="B70" s="595" t="s">
        <v>4011</v>
      </c>
      <c r="C70" s="596"/>
      <c r="D70" s="596"/>
      <c r="E70" s="597"/>
    </row>
    <row r="71" spans="1:9" ht="20" customHeight="1" x14ac:dyDescent="0.2">
      <c r="B71" s="589" t="s">
        <v>535</v>
      </c>
      <c r="C71" s="590"/>
      <c r="D71" s="590"/>
      <c r="E71" s="591"/>
    </row>
    <row r="72" spans="1:9" ht="20" customHeight="1" x14ac:dyDescent="0.2">
      <c r="B72" s="63" t="s">
        <v>18</v>
      </c>
      <c r="C72" s="63" t="s">
        <v>19</v>
      </c>
      <c r="D72" s="63" t="s">
        <v>20</v>
      </c>
      <c r="E72" s="360" t="s">
        <v>21</v>
      </c>
    </row>
    <row r="73" spans="1:9" ht="20" customHeight="1" x14ac:dyDescent="0.2">
      <c r="B73" s="4" t="s">
        <v>536</v>
      </c>
      <c r="C73" s="65" t="s">
        <v>537</v>
      </c>
      <c r="D73" s="66" t="s">
        <v>3613</v>
      </c>
      <c r="E73" s="8" t="s">
        <v>538</v>
      </c>
    </row>
    <row r="74" spans="1:9" ht="20" customHeight="1" x14ac:dyDescent="0.2">
      <c r="B74" s="4" t="s">
        <v>3845</v>
      </c>
      <c r="C74" s="65" t="str">
        <f>IF(mgmt_domain_chosen="First Instance","San Francisco","Los Angeles")</f>
        <v>San Francisco</v>
      </c>
      <c r="D74" s="66"/>
      <c r="E74" s="8"/>
    </row>
    <row r="75" spans="1:9" ht="20" customHeight="1" x14ac:dyDescent="0.2">
      <c r="B75" s="4" t="s">
        <v>189</v>
      </c>
      <c r="C75" s="65" t="s">
        <v>3675</v>
      </c>
      <c r="D75" s="66"/>
      <c r="E75" s="8"/>
    </row>
    <row r="76" spans="1:9" ht="20" customHeight="1" x14ac:dyDescent="0.2">
      <c r="B76" s="4" t="s">
        <v>524</v>
      </c>
      <c r="C76" s="65" t="s">
        <v>539</v>
      </c>
      <c r="D76" s="66" t="s">
        <v>539</v>
      </c>
      <c r="E76" s="8" t="str">
        <f>IF(vcf_automation_type_chosen="Import 8.x appliance","Masked as you have opted to import an existing appliance",
IF(vcf_automation_size_chosen="Small","24vCPU  96GB RAM  700GB Storage",
IF(vcf_automation_size_chosen="Medium","72vCPU  288GB RAM  2100GB Storage",
IF(vcf_automation_size_chosen="Large","96vCPU  384GB RAM  2100GB Storage",
""))))</f>
        <v>24vCPU  96GB RAM  700GB Storage</v>
      </c>
    </row>
    <row r="77" spans="1:9" ht="20" customHeight="1" x14ac:dyDescent="0.2">
      <c r="B77" s="28" t="s">
        <v>3942</v>
      </c>
      <c r="C77" s="122" t="str">
        <f>IF(mgmt_dpg_reuse_result="Included",CONCATENATE(prefix_mgmt_az1_cidr,"10.48/29"),CONCATENATE(prefix_mgmt_az1_cidr,"11.48/29"))</f>
        <v>10.11.10.48/29</v>
      </c>
      <c r="D77" s="66"/>
      <c r="E77" s="8" t="s">
        <v>3968</v>
      </c>
    </row>
    <row r="78" spans="1:9" ht="20" customHeight="1" x14ac:dyDescent="0.2">
      <c r="B78" s="4" t="str">
        <f>IF(vcf_automation_type_chosen="Import 8.x Appliance","Primary node FQDN","VCF Automation FQDN")</f>
        <v>VCF Automation FQDN</v>
      </c>
      <c r="C78" s="122" t="str">
        <f>CONCATENATE(prefix_portable_component,"-auto01.",sample_parent_dns_zone)</f>
        <v>flt-auto01.rainpole.io</v>
      </c>
      <c r="D78" s="66"/>
      <c r="E78" s="8"/>
    </row>
    <row r="79" spans="1:9" ht="20" customHeight="1" x14ac:dyDescent="0.2">
      <c r="B79" s="4" t="s">
        <v>3730</v>
      </c>
      <c r="C79" s="65" t="str">
        <f>CONCATENATE(prefix_portable_component,"-vcfa-sr01.",sample_parent_dns_zone)</f>
        <v>flt-vcfa-sr01.rainpole.io</v>
      </c>
      <c r="D79" s="66"/>
      <c r="E79" s="8"/>
    </row>
    <row r="80" spans="1:9" ht="20" customHeight="1" x14ac:dyDescent="0.2">
      <c r="B80" s="23" t="str">
        <f>IF(vcf_automation_type_chosen="Import 8.x Appliance","Primary node root password","VCF Automation and VCF services runtime password")</f>
        <v>VCF Automation and VCF services runtime password</v>
      </c>
      <c r="C80" s="166" t="s">
        <v>139</v>
      </c>
      <c r="D80" s="335"/>
      <c r="E80" s="8"/>
    </row>
    <row r="81" spans="2:5" ht="20" customHeight="1" x14ac:dyDescent="0.2">
      <c r="B81" s="601" t="s">
        <v>3468</v>
      </c>
      <c r="C81" s="601"/>
      <c r="D81" s="601"/>
      <c r="E81" s="601"/>
    </row>
    <row r="82" spans="2:5" ht="20" customHeight="1" x14ac:dyDescent="0.2">
      <c r="B82" s="23" t="s">
        <v>3945</v>
      </c>
      <c r="C82" s="65" t="str">
        <f>IF(mgmt_dpg_reuse_result="Included",CONCATENATE(prefix_mgmt_az1_cidr,"10.25"),CONCATENATE(prefix_mgmt_az1_cidr,"11.25"))</f>
        <v>10.11.10.25</v>
      </c>
      <c r="D82" s="66"/>
      <c r="E82" s="8" t="s">
        <v>3970</v>
      </c>
    </row>
    <row r="83" spans="2:5" ht="20" customHeight="1" x14ac:dyDescent="0.2">
      <c r="B83" s="23" t="s">
        <v>3946</v>
      </c>
      <c r="C83" s="65" t="str">
        <f>IF(mgmt_dpg_reuse_result="Included",CONCATENATE(prefix_mgmt_az1_cidr,"10.24"),CONCATENATE(prefix_mgmt_az1_cidr,"11.24"))</f>
        <v>10.11.10.24</v>
      </c>
      <c r="D83" s="66"/>
      <c r="E83" s="8" t="s">
        <v>3969</v>
      </c>
    </row>
    <row r="84" spans="2:5" ht="20" customHeight="1" x14ac:dyDescent="0.2">
      <c r="B84" s="592" t="s">
        <v>4177</v>
      </c>
      <c r="C84" s="593"/>
      <c r="D84" s="593"/>
      <c r="E84" s="594"/>
    </row>
    <row r="85" spans="2:5" ht="20" customHeight="1" x14ac:dyDescent="0.2">
      <c r="B85" s="4" t="s">
        <v>4169</v>
      </c>
      <c r="C85" s="65" t="s">
        <v>142</v>
      </c>
      <c r="D85" s="66" t="s">
        <v>142</v>
      </c>
      <c r="E85" s="8"/>
    </row>
    <row r="86" spans="2:5" ht="20" customHeight="1" x14ac:dyDescent="0.2">
      <c r="B86" s="4" t="s">
        <v>3722</v>
      </c>
      <c r="C86" s="103" t="str">
        <f>IF(flt_custom_network_chosen="Shared Management Network",IF(mgmt_dpg_reuse_result="Excluded",CONCATENATE(prefix_mgmt_az1_cidr,"11.46"),CONCATENATE(prefix_mgmt_az1_cidr,"10.46")),IF(flt_custom_network_chosen="NSX Overlay Segment",CONCATENATE(prefix_xreg_cidr,".46"),CONCATENATE(prefix_flt_shared_cidr,".46")))</f>
        <v>10.11.10.46</v>
      </c>
      <c r="D86" s="66"/>
      <c r="E86" s="8"/>
    </row>
    <row r="87" spans="2:5" ht="20" customHeight="1" x14ac:dyDescent="0.2">
      <c r="B87" s="4" t="s">
        <v>3723</v>
      </c>
      <c r="C87" s="103" t="str">
        <f>IF(flt_custom_network_chosen="Shared Management Network",IF(mgmt_dpg_reuse_result="Excluded",CONCATENATE(prefix_mgmt_az1_cidr,"11.50"),CONCATENATE(prefix_mgmt_az1_cidr,"10.50")),IF(flt_custom_network_chosen="NSX Overlay Segment",CONCATENATE(prefix_xreg_cidr,".50"),CONCATENATE(prefix_flt_shared_cidr,".50")))</f>
        <v>10.11.10.50</v>
      </c>
      <c r="D87" s="66"/>
      <c r="E87" s="8"/>
    </row>
    <row r="88" spans="2:5" ht="20" customHeight="1" thickBot="1" x14ac:dyDescent="0.25">
      <c r="B88" s="202"/>
      <c r="C88" s="173"/>
      <c r="D88" s="173"/>
      <c r="E88" s="2"/>
    </row>
    <row r="89" spans="2:5" s="9" customFormat="1" ht="34" customHeight="1" thickBot="1" x14ac:dyDescent="0.25">
      <c r="B89" s="598" t="s">
        <v>3839</v>
      </c>
      <c r="C89" s="599"/>
      <c r="D89" s="599"/>
      <c r="E89" s="600"/>
    </row>
    <row r="90" spans="2:5" s="9" customFormat="1" ht="16" customHeight="1" x14ac:dyDescent="0.2">
      <c r="D90" s="2"/>
      <c r="E90" s="2"/>
    </row>
    <row r="91" spans="2:5" s="9" customFormat="1" ht="34" customHeight="1" thickBot="1" x14ac:dyDescent="0.25">
      <c r="B91" s="595" t="s">
        <v>593</v>
      </c>
      <c r="C91" s="596"/>
      <c r="D91" s="596"/>
      <c r="E91" s="597"/>
    </row>
    <row r="92" spans="2:5" s="9" customFormat="1" ht="20" customHeight="1" x14ac:dyDescent="0.2">
      <c r="B92" s="421" t="s">
        <v>4012</v>
      </c>
      <c r="C92" s="422"/>
      <c r="D92" s="422"/>
      <c r="E92" s="423"/>
    </row>
    <row r="93" spans="2:5" s="9" customFormat="1" ht="20" customHeight="1" x14ac:dyDescent="0.2">
      <c r="B93" s="63" t="s">
        <v>18</v>
      </c>
      <c r="C93" s="63" t="s">
        <v>19</v>
      </c>
      <c r="D93" s="63" t="s">
        <v>20</v>
      </c>
      <c r="E93" s="63" t="s">
        <v>21</v>
      </c>
    </row>
    <row r="94" spans="2:5" s="9" customFormat="1" ht="20" customHeight="1" x14ac:dyDescent="0.2">
      <c r="B94" s="4" t="s">
        <v>189</v>
      </c>
      <c r="C94" s="65" t="s">
        <v>3675</v>
      </c>
      <c r="D94" s="66"/>
      <c r="E94" s="8"/>
    </row>
    <row r="95" spans="2:5" s="9" customFormat="1" ht="20" customHeight="1" x14ac:dyDescent="0.2">
      <c r="B95" s="4" t="s">
        <v>3844</v>
      </c>
      <c r="C95" s="65" t="s">
        <v>539</v>
      </c>
      <c r="D95" s="66" t="s">
        <v>657</v>
      </c>
      <c r="E95" s="8" t="str">
        <f>IF(D95="Small","2 vCPU  4 GB  10 GB",
IF(D95="Medium","2 vCPU  4 GB  10 GB",
IF(D95="Large","4 vCPU  8 GB  20 GB",
IF(D95="XL","4 vCPU  8 GB  20 GB",""))))</f>
        <v>4 vCPU  8 GB  20 GB</v>
      </c>
    </row>
    <row r="96" spans="2:5" s="9" customFormat="1" ht="20" customHeight="1" x14ac:dyDescent="0.2">
      <c r="B96" s="4" t="s">
        <v>3845</v>
      </c>
      <c r="C96" s="65" t="str">
        <f>sample_vcf_instance_name</f>
        <v>San Francisco</v>
      </c>
      <c r="D96" s="66"/>
      <c r="E96" s="8"/>
    </row>
    <row r="97" spans="2:5" s="9" customFormat="1" ht="20" customHeight="1" x14ac:dyDescent="0.2">
      <c r="B97" s="4" t="s">
        <v>3846</v>
      </c>
      <c r="C97" s="65" t="str">
        <f>CONCATENATE(prefix_portable_component,"-idb01",".",sample_parent_dns_zone)</f>
        <v>flt-idb01.rainpole.io</v>
      </c>
      <c r="D97" s="66"/>
      <c r="E97" s="8"/>
    </row>
    <row r="98" spans="2:5" s="9" customFormat="1" ht="20" customHeight="1" x14ac:dyDescent="0.2">
      <c r="B98" s="4" t="s">
        <v>3847</v>
      </c>
      <c r="C98" s="65" t="str">
        <f>CONCATENATE(prefix_portable_component,"-idb01",".",sample_parent_dns_zone)</f>
        <v>flt-idb01.rainpole.io</v>
      </c>
      <c r="D98" s="66"/>
      <c r="E98" s="8" t="s">
        <v>3848</v>
      </c>
    </row>
    <row r="99" spans="2:5" s="9" customFormat="1" ht="20" customHeight="1" x14ac:dyDescent="0.2">
      <c r="B99" s="421" t="s">
        <v>595</v>
      </c>
      <c r="C99" s="422"/>
      <c r="D99" s="422"/>
      <c r="E99" s="423"/>
    </row>
    <row r="100" spans="2:5" s="9" customFormat="1" ht="20" customHeight="1" x14ac:dyDescent="0.2">
      <c r="B100" s="4" t="s">
        <v>596</v>
      </c>
      <c r="C100" s="65" t="s">
        <v>597</v>
      </c>
      <c r="D100" s="66" t="s">
        <v>597</v>
      </c>
      <c r="E100" s="8"/>
    </row>
    <row r="101" spans="2:5" s="9" customFormat="1" ht="20" customHeight="1" x14ac:dyDescent="0.2">
      <c r="B101" s="4" t="s">
        <v>4178</v>
      </c>
      <c r="C101" s="65" t="s">
        <v>60</v>
      </c>
      <c r="D101" s="66"/>
      <c r="E101" s="8"/>
    </row>
    <row r="102" spans="2:5" s="9" customFormat="1" ht="20" customHeight="1" x14ac:dyDescent="0.2">
      <c r="B102" s="4" t="s">
        <v>598</v>
      </c>
      <c r="C102" s="65" t="s">
        <v>156</v>
      </c>
      <c r="D102" s="66" t="s">
        <v>156</v>
      </c>
      <c r="E102" s="8" t="s">
        <v>599</v>
      </c>
    </row>
    <row r="103" spans="2:5" s="9" customFormat="1" ht="20" customHeight="1" x14ac:dyDescent="0.2">
      <c r="B103" s="4" t="s">
        <v>600</v>
      </c>
      <c r="C103" s="65" t="s">
        <v>142</v>
      </c>
      <c r="D103" s="66" t="s">
        <v>142</v>
      </c>
      <c r="E103" s="8" t="s">
        <v>601</v>
      </c>
    </row>
    <row r="104" spans="2:5" s="9" customFormat="1" ht="20" customHeight="1" x14ac:dyDescent="0.2">
      <c r="B104" s="4" t="s">
        <v>602</v>
      </c>
      <c r="C104" s="65" t="s">
        <v>142</v>
      </c>
      <c r="D104" s="66" t="s">
        <v>142</v>
      </c>
      <c r="E104" s="8" t="s">
        <v>603</v>
      </c>
    </row>
    <row r="105" spans="2:5" s="9" customFormat="1" ht="20" customHeight="1" x14ac:dyDescent="0.2">
      <c r="B105" s="4" t="s">
        <v>604</v>
      </c>
      <c r="C105" s="65" t="s">
        <v>605</v>
      </c>
      <c r="D105" s="66"/>
      <c r="E105" s="8" t="s">
        <v>606</v>
      </c>
    </row>
    <row r="106" spans="2:5" s="9" customFormat="1" ht="20" customHeight="1" x14ac:dyDescent="0.2">
      <c r="B106" s="4" t="s">
        <v>607</v>
      </c>
      <c r="C106" s="65" t="s">
        <v>608</v>
      </c>
      <c r="D106" s="66"/>
      <c r="E106" s="8"/>
    </row>
    <row r="107" spans="2:5" s="9" customFormat="1" ht="20" customHeight="1" x14ac:dyDescent="0.2">
      <c r="B107" s="4" t="s">
        <v>609</v>
      </c>
      <c r="C107" s="65">
        <v>636</v>
      </c>
      <c r="D107" s="66"/>
      <c r="E107" s="8"/>
    </row>
    <row r="108" spans="2:5" s="9" customFormat="1" ht="20" customHeight="1" x14ac:dyDescent="0.2">
      <c r="B108" s="4" t="s">
        <v>610</v>
      </c>
      <c r="C108" s="65" t="str">
        <f>CONCATENATE(this_instance,"-m01-ad01.",sample_child_dns_zone)</f>
        <v>sfo-m01-ad01.sfo.rainpole.io</v>
      </c>
      <c r="D108" s="66"/>
      <c r="E108" s="8"/>
    </row>
    <row r="109" spans="2:5" s="9" customFormat="1" ht="20" customHeight="1" x14ac:dyDescent="0.2">
      <c r="B109" s="4" t="s">
        <v>611</v>
      </c>
      <c r="C109" s="65">
        <v>636</v>
      </c>
      <c r="D109" s="66"/>
      <c r="E109" s="8"/>
    </row>
    <row r="110" spans="2:5" s="9" customFormat="1" ht="20" customHeight="1" x14ac:dyDescent="0.2">
      <c r="B110" s="4" t="s">
        <v>612</v>
      </c>
      <c r="C110" s="65" t="s">
        <v>613</v>
      </c>
      <c r="D110" s="66" t="s">
        <v>613</v>
      </c>
      <c r="E110" s="8"/>
    </row>
    <row r="111" spans="2:5" s="9" customFormat="1" ht="20" customHeight="1" x14ac:dyDescent="0.2">
      <c r="B111" s="4" t="s">
        <v>614</v>
      </c>
      <c r="C111" s="65" t="s">
        <v>615</v>
      </c>
      <c r="D111" s="66"/>
      <c r="E111" s="8"/>
    </row>
    <row r="112" spans="2:5" s="9" customFormat="1" ht="20" customHeight="1" x14ac:dyDescent="0.2">
      <c r="B112" s="4" t="s">
        <v>616</v>
      </c>
      <c r="C112" s="65" t="s">
        <v>617</v>
      </c>
      <c r="D112" s="66"/>
      <c r="E112" s="8" t="s">
        <v>618</v>
      </c>
    </row>
    <row r="113" spans="2:5" s="9" customFormat="1" ht="20" customHeight="1" thickBot="1" x14ac:dyDescent="0.25">
      <c r="B113" s="4" t="s">
        <v>619</v>
      </c>
      <c r="C113" s="65" t="s">
        <v>31</v>
      </c>
      <c r="D113" s="66"/>
      <c r="E113" s="8"/>
    </row>
    <row r="114" spans="2:5" s="9" customFormat="1" ht="20" customHeight="1" thickBot="1" x14ac:dyDescent="0.25">
      <c r="B114" s="598" t="s">
        <v>4017</v>
      </c>
      <c r="C114" s="599"/>
      <c r="D114" s="599"/>
      <c r="E114" s="600"/>
    </row>
    <row r="115" spans="2:5" s="9" customFormat="1" ht="20" customHeight="1" x14ac:dyDescent="0.2">
      <c r="B115" s="421" t="s">
        <v>620</v>
      </c>
      <c r="C115" s="422"/>
      <c r="D115" s="422"/>
      <c r="E115" s="423"/>
    </row>
    <row r="116" spans="2:5" s="9" customFormat="1" ht="20" customHeight="1" x14ac:dyDescent="0.2">
      <c r="B116" s="4" t="s">
        <v>621</v>
      </c>
      <c r="C116" s="65" t="s">
        <v>613</v>
      </c>
      <c r="D116" s="66"/>
      <c r="E116" s="8"/>
    </row>
    <row r="117" spans="2:5" s="9" customFormat="1" ht="20" customHeight="1" x14ac:dyDescent="0.2">
      <c r="B117" s="4" t="s">
        <v>622</v>
      </c>
      <c r="C117" s="65" t="s">
        <v>623</v>
      </c>
      <c r="D117" s="66"/>
      <c r="E117" s="8"/>
    </row>
    <row r="118" spans="2:5" s="9" customFormat="1" ht="20" customHeight="1" x14ac:dyDescent="0.2">
      <c r="B118" s="4" t="s">
        <v>624</v>
      </c>
      <c r="C118" s="65" t="s">
        <v>625</v>
      </c>
      <c r="D118" s="66"/>
      <c r="E118" s="8"/>
    </row>
    <row r="119" spans="2:5" s="9" customFormat="1" ht="20" customHeight="1" x14ac:dyDescent="0.2">
      <c r="B119" s="4" t="s">
        <v>626</v>
      </c>
      <c r="C119" s="65" t="s">
        <v>626</v>
      </c>
      <c r="D119" s="66"/>
      <c r="E119" s="8"/>
    </row>
    <row r="120" spans="2:5" s="9" customFormat="1" ht="20" customHeight="1" x14ac:dyDescent="0.2">
      <c r="B120" s="4" t="s">
        <v>627</v>
      </c>
      <c r="C120" s="65" t="s">
        <v>627</v>
      </c>
      <c r="D120" s="66"/>
      <c r="E120" s="8"/>
    </row>
    <row r="121" spans="2:5" s="9" customFormat="1" ht="20" customHeight="1" x14ac:dyDescent="0.2">
      <c r="B121" s="4" t="s">
        <v>628</v>
      </c>
      <c r="C121" s="65" t="s">
        <v>629</v>
      </c>
      <c r="D121" s="66"/>
      <c r="E121" s="8"/>
    </row>
    <row r="122" spans="2:5" s="9" customFormat="1" ht="20" customHeight="1" x14ac:dyDescent="0.2">
      <c r="B122" s="4" t="s">
        <v>630</v>
      </c>
      <c r="C122" s="65" t="s">
        <v>630</v>
      </c>
      <c r="D122" s="66"/>
      <c r="E122" s="8"/>
    </row>
    <row r="123" spans="2:5" s="9" customFormat="1" ht="20" customHeight="1" x14ac:dyDescent="0.2">
      <c r="B123" s="421" t="s">
        <v>631</v>
      </c>
      <c r="C123" s="422"/>
      <c r="D123" s="422"/>
      <c r="E123" s="423"/>
    </row>
    <row r="124" spans="2:5" s="9" customFormat="1" ht="20" customHeight="1" x14ac:dyDescent="0.2">
      <c r="B124" s="4" t="s">
        <v>632</v>
      </c>
      <c r="C124" s="65" t="s">
        <v>633</v>
      </c>
      <c r="D124" s="66"/>
      <c r="E124" s="8"/>
    </row>
    <row r="125" spans="2:5" s="9" customFormat="1" ht="20" customHeight="1" x14ac:dyDescent="0.2">
      <c r="B125" s="421" t="s">
        <v>634</v>
      </c>
      <c r="C125" s="422"/>
      <c r="D125" s="422"/>
      <c r="E125" s="423"/>
    </row>
    <row r="126" spans="2:5" ht="20" customHeight="1" thickBot="1" x14ac:dyDescent="0.25">
      <c r="B126" s="4" t="s">
        <v>635</v>
      </c>
      <c r="C126" s="65" t="s">
        <v>636</v>
      </c>
      <c r="D126" s="66"/>
      <c r="E126" s="8"/>
    </row>
    <row r="127" spans="2:5" ht="20" customHeight="1" x14ac:dyDescent="0.2">
      <c r="B127" s="589" t="s">
        <v>3468</v>
      </c>
      <c r="C127" s="590"/>
      <c r="D127" s="590"/>
      <c r="E127" s="591"/>
    </row>
    <row r="128" spans="2:5" ht="20" customHeight="1" x14ac:dyDescent="0.2">
      <c r="B128" s="23" t="s">
        <v>3954</v>
      </c>
      <c r="C128" s="65" t="str">
        <f>IF(flt_custom_network_chosen="Shared Management Network",IF(mgmt_dpg_reuse_result="Included",CONCATENATE(prefix_mgmt_az1_cidr,"10.16"),CONCATENATE(prefix_mgmt_az1_cidr,"11.16")),IF(flt_custom_network_chosen="NSX Overlay Segment",CONCATENATE(prefix_xreg_cidr,".16"),CONCATENATE(prefix_flt_shared_cidr,".16")))</f>
        <v>10.11.10.16</v>
      </c>
      <c r="D128" s="66"/>
      <c r="E128" s="8"/>
    </row>
    <row r="129" spans="2:5" s="9" customFormat="1" ht="16" customHeight="1" x14ac:dyDescent="0.2">
      <c r="D129" s="353"/>
      <c r="E129" s="353"/>
    </row>
    <row r="130" spans="2:5" s="9" customFormat="1" ht="34" customHeight="1" x14ac:dyDescent="0.2">
      <c r="B130" s="569" t="s">
        <v>4195</v>
      </c>
      <c r="C130" s="570"/>
      <c r="D130" s="570"/>
      <c r="E130" s="571"/>
    </row>
    <row r="131" spans="2:5" s="9" customFormat="1" ht="20" customHeight="1" x14ac:dyDescent="0.2">
      <c r="B131" s="63" t="s">
        <v>18</v>
      </c>
      <c r="C131" s="63" t="s">
        <v>19</v>
      </c>
      <c r="D131" s="63" t="s">
        <v>20</v>
      </c>
      <c r="E131" s="360" t="s">
        <v>21</v>
      </c>
    </row>
    <row r="132" spans="2:5" s="9" customFormat="1" ht="20" customHeight="1" x14ac:dyDescent="0.2">
      <c r="B132" s="421" t="s">
        <v>535</v>
      </c>
      <c r="C132" s="422"/>
      <c r="D132" s="422"/>
      <c r="E132" s="423"/>
    </row>
    <row r="133" spans="2:5" s="9" customFormat="1" ht="20" customHeight="1" x14ac:dyDescent="0.2">
      <c r="B133" s="4" t="s">
        <v>536</v>
      </c>
      <c r="C133" s="65" t="s">
        <v>537</v>
      </c>
      <c r="D133" s="66" t="s">
        <v>537</v>
      </c>
      <c r="E133" s="8"/>
    </row>
    <row r="134" spans="2:5" s="9" customFormat="1" ht="20" customHeight="1" x14ac:dyDescent="0.2">
      <c r="B134" s="4" t="s">
        <v>189</v>
      </c>
      <c r="C134" s="65" t="s">
        <v>3675</v>
      </c>
      <c r="D134" s="66"/>
      <c r="E134" s="8"/>
    </row>
    <row r="135" spans="2:5" s="9" customFormat="1" ht="20" customHeight="1" x14ac:dyDescent="0.2">
      <c r="B135" s="4" t="s">
        <v>3837</v>
      </c>
      <c r="C135" s="173" t="str">
        <f>CONCATENATE("xint-logs01",".",sample_parent_dns_zone)</f>
        <v>xint-logs01.rainpole.io</v>
      </c>
      <c r="D135" s="66"/>
      <c r="E135" s="8" t="str">
        <f>IF(flt_logs_install_type_chosen="New Install","Masked out as you have opted to deploy a new VCF Operations for Logs component","")</f>
        <v>Masked out as you have opted to deploy a new VCF Operations for Logs component</v>
      </c>
    </row>
    <row r="136" spans="2:5" s="9" customFormat="1" ht="20" customHeight="1" x14ac:dyDescent="0.2">
      <c r="B136" s="4" t="s">
        <v>640</v>
      </c>
      <c r="C136" s="122" t="s">
        <v>422</v>
      </c>
      <c r="D136" s="66"/>
      <c r="E136" s="8" t="str">
        <f>IF(flt_logs_install_type_chosen="New Install","Masked out as you have opted to deploy a new VCF Operations for Logs component","")</f>
        <v>Masked out as you have opted to deploy a new VCF Operations for Logs component</v>
      </c>
    </row>
    <row r="137" spans="2:5" s="9" customFormat="1" ht="20" customHeight="1" x14ac:dyDescent="0.2">
      <c r="B137" s="4" t="s">
        <v>193</v>
      </c>
      <c r="C137" s="122" t="s">
        <v>139</v>
      </c>
      <c r="D137" s="66"/>
      <c r="E137" s="8" t="str">
        <f>IF(flt_logs_install_type_chosen="New Install","Masked out as you have opted to deploy a new VCF Operations for Logs component","")</f>
        <v>Masked out as you have opted to deploy a new VCF Operations for Logs component</v>
      </c>
    </row>
    <row r="138" spans="2:5" s="9" customFormat="1" ht="20" customHeight="1" x14ac:dyDescent="0.2">
      <c r="B138" s="4" t="s">
        <v>3835</v>
      </c>
      <c r="C138" s="122" t="str">
        <f>CONCATENATE(prefix_portable_component,"-logs01",".",sample_parent_dns_zone)</f>
        <v>flt-logs01.rainpole.io</v>
      </c>
      <c r="D138" s="66"/>
      <c r="E138" s="8"/>
    </row>
    <row r="139" spans="2:5" s="9" customFormat="1" ht="20" customHeight="1" x14ac:dyDescent="0.2">
      <c r="B139" s="4" t="s">
        <v>641</v>
      </c>
      <c r="C139" s="65" t="s">
        <v>92</v>
      </c>
      <c r="D139" s="66" t="s">
        <v>92</v>
      </c>
      <c r="E139" s="8" t="str">
        <f>IF(flt_logs_node_size_chosen="Small","8vCPU  16GB RAM  550GB Storage Per Replica",
IF(flt_logs_node_size_chosen="Medium","12vCPU  24GB RAM  550GB Storage Per Replica",
IF(flt_logs_node_size_chosen="Large","16vCPU  32GB RAM  550GB Storage Per Replica,","")))</f>
        <v>12vCPU  24GB RAM  550GB Storage Per Replica</v>
      </c>
    </row>
    <row r="140" spans="2:5" s="9" customFormat="1" ht="20" customHeight="1" x14ac:dyDescent="0.2">
      <c r="B140" s="4" t="s">
        <v>3836</v>
      </c>
      <c r="C140" s="65">
        <v>3</v>
      </c>
      <c r="D140" s="66">
        <v>3</v>
      </c>
      <c r="E140" s="8" t="str">
        <f>IF(flt_logs_node_size_chosen="Small","Number Of Replicas for medium size must be between 1 and 9",
IF(flt_logs_node_size_chosen="Medium","Number Of Replicas for medium size must be between 3 and 19",
IF(flt_logs_node_size_chosen="Large","Number Of Replicas for large size must be between 3 and 19,""")))</f>
        <v>Number Of Replicas for medium size must be between 3 and 19</v>
      </c>
    </row>
    <row r="141" spans="2:5" s="9" customFormat="1" ht="20" customHeight="1" x14ac:dyDescent="0.2">
      <c r="B141" s="421" t="s">
        <v>644</v>
      </c>
      <c r="C141" s="422"/>
      <c r="D141" s="422"/>
      <c r="E141" s="423"/>
    </row>
    <row r="142" spans="2:5" s="9" customFormat="1" ht="20" customHeight="1" x14ac:dyDescent="0.2">
      <c r="B142" s="4" t="s">
        <v>39</v>
      </c>
      <c r="C142" s="65" t="str">
        <f>sample_flt_logs_vip_fqdn</f>
        <v>flt-logs01.rainpole.io</v>
      </c>
      <c r="D142" s="8" t="str">
        <f t="array" ref="D142">flt_logs_vip_fqdn</f>
        <v>Value Missing</v>
      </c>
      <c r="E142" s="8"/>
    </row>
    <row r="143" spans="2:5" s="9" customFormat="1" ht="20" customHeight="1" x14ac:dyDescent="0.2">
      <c r="B143" s="4" t="s">
        <v>276</v>
      </c>
      <c r="C143" s="65" t="str">
        <f>IF(mgmt_dpg_reuse_result="Included",CONCATENATE(prefix_mgmt_az1_cidr,"10.26"),CONCATENATE(prefix_mgmt_az1_cidr,"11.26"))</f>
        <v>10.11.10.26</v>
      </c>
      <c r="D143" s="66"/>
      <c r="E143" s="8"/>
    </row>
    <row r="144" spans="2:5" s="9" customFormat="1" ht="16" customHeight="1" x14ac:dyDescent="0.2">
      <c r="D144" s="2"/>
      <c r="E144" s="2"/>
    </row>
    <row r="145" spans="2:5" s="9" customFormat="1" ht="34" customHeight="1" x14ac:dyDescent="0.2">
      <c r="B145" s="569" t="s">
        <v>4018</v>
      </c>
      <c r="C145" s="570"/>
      <c r="D145" s="570"/>
      <c r="E145" s="571"/>
    </row>
    <row r="146" spans="2:5" s="9" customFormat="1" ht="20" customHeight="1" x14ac:dyDescent="0.2">
      <c r="B146" s="63" t="s">
        <v>18</v>
      </c>
      <c r="C146" s="63" t="s">
        <v>19</v>
      </c>
      <c r="D146" s="63" t="s">
        <v>20</v>
      </c>
      <c r="E146" s="360" t="s">
        <v>21</v>
      </c>
    </row>
    <row r="147" spans="2:5" s="9" customFormat="1" ht="20" customHeight="1" x14ac:dyDescent="0.2">
      <c r="B147" s="421" t="s">
        <v>535</v>
      </c>
      <c r="C147" s="422"/>
      <c r="D147" s="422"/>
      <c r="E147" s="423"/>
    </row>
    <row r="148" spans="2:5" s="9" customFormat="1" ht="20" customHeight="1" x14ac:dyDescent="0.2">
      <c r="B148" s="4" t="s">
        <v>536</v>
      </c>
      <c r="C148" s="65" t="s">
        <v>537</v>
      </c>
      <c r="D148" s="66" t="s">
        <v>537</v>
      </c>
      <c r="E148" s="8" t="str">
        <f>IF(flt_net_install_type_chosen="Import","Importing your 6.x appliance that you can later upgrade to version 9.x.","")</f>
        <v/>
      </c>
    </row>
    <row r="149" spans="2:5" s="9" customFormat="1" ht="20" customHeight="1" x14ac:dyDescent="0.2">
      <c r="B149" s="4" t="s">
        <v>189</v>
      </c>
      <c r="C149" s="65" t="s">
        <v>3675</v>
      </c>
      <c r="D149" s="66"/>
      <c r="E149" s="8" t="str">
        <f>IF(flt_net_install_type_chosen="Import","Masked as you have opted to import an existing appliance","")</f>
        <v/>
      </c>
    </row>
    <row r="150" spans="2:5" s="9" customFormat="1" ht="20" customHeight="1" x14ac:dyDescent="0.2">
      <c r="B150" s="4" t="s">
        <v>3838</v>
      </c>
      <c r="C150" s="65" t="s">
        <v>92</v>
      </c>
      <c r="D150" s="66" t="s">
        <v>92</v>
      </c>
      <c r="E150" s="8" t="str">
        <f>IF(flt_net_install_type_chosen="Import","Masked as you have opted to import an existing appliance",
IF(flt_net_ha_mode_chosen="Small","4vCPU  16GB RAM  1024GB Storage",
IF(flt_net_ha_mode_chosen="Medium","8vCPU  32GB RAM  1024GB Storage",
IF(flt_net_ha_mode_chosen="Large","12vCPU  48GB RAM  1024GB Storage",
IF(flt_net_ha_mode_chosen="XL","16vCPU  64GB RAM  2048GB Storage",
IF(flt_net_ha_mode_chosen="XXL","24vCPU  128GB RAM 3072GB Storage",""))))))</f>
        <v>8vCPU  32GB RAM  1024GB Storage</v>
      </c>
    </row>
    <row r="151" spans="2:5" s="9" customFormat="1" ht="20" customHeight="1" x14ac:dyDescent="0.2">
      <c r="B151" s="4" t="s">
        <v>30</v>
      </c>
      <c r="C151" s="122" t="s">
        <v>139</v>
      </c>
      <c r="D151" s="66"/>
      <c r="E151" s="8"/>
    </row>
    <row r="152" spans="2:5" s="9" customFormat="1" ht="20" customHeight="1" x14ac:dyDescent="0.2">
      <c r="B152" s="4" t="s">
        <v>3849</v>
      </c>
      <c r="C152" s="103" t="s">
        <v>142</v>
      </c>
      <c r="D152" s="66" t="s">
        <v>142</v>
      </c>
      <c r="E152" s="8" t="str">
        <f>IF(flt_net_install_type_chosen="Import","Masked as you have opted to import an existing appliance","")</f>
        <v/>
      </c>
    </row>
    <row r="153" spans="2:5" s="9" customFormat="1" ht="20" customHeight="1" x14ac:dyDescent="0.2">
      <c r="B153" s="95" t="s">
        <v>3851</v>
      </c>
      <c r="C153" s="108" t="str">
        <f>IF(flt_custom_network_chosen="Shared Management Network",IF(mgmt_dpg_reuse_result="Included",CONCATENATE(prefix_mgmt_az1_cidr,"10.62"),CONCATENATE(prefix_mgmt_az1_cidr,"11.62")),IF(flt_custom_network_chosen="NSX Overlay Segment",CONCATENATE(prefix_xreg_cidr,".62"),CONCATENATE(prefix_flt_shared_cidr,".62")))</f>
        <v>10.11.10.62</v>
      </c>
      <c r="D153" s="107"/>
      <c r="E153" s="229" t="str">
        <f>IF(flt_net_install_type_chosen="Import","","Deploying VCF Operations for Networks using the UI does not allow you to choose a network or vDPG. IP address has to reside within the same subnet as VCF OPS ")</f>
        <v xml:space="preserve">Deploying VCF Operations for Networks using the UI does not allow you to choose a network or vDPG. IP address has to reside within the same subnet as VCF OPS </v>
      </c>
    </row>
    <row r="154" spans="2:5" s="9" customFormat="1" ht="20" customHeight="1" x14ac:dyDescent="0.2">
      <c r="B154" s="4" t="s">
        <v>3852</v>
      </c>
      <c r="C154" s="103" t="str">
        <f>IF(flt_custom_network_chosen="Shared Management Network",IF(mgmt_dpg_reuse_result="Included",CONCATENATE(prefix_mgmt_ipv6_cidr,prefix_mgmt_az1_cidr,"10",":","62","/64"),CONCATENATE(prefix_mgmt_ipv6_cidr,prefix_mgmt_az1_cidr,"11",":","62","/64")),IF(flt_custom_network_chosen="NSX Overlay Segment",CONCATENATE(prefix_mgmt_ipv6_cidr,prefix_xreg_vlan,":","62","/64"),CONCATENATE(prefix_mgmt_ipv6_cidr,prefix_mgmt_az1_vlan,"99",":","62","/64")))</f>
        <v>2001:db8:0:10.11.10:62/64</v>
      </c>
      <c r="D154" s="66"/>
      <c r="E154" s="8" t="str">
        <f>IF(flt_net_install_type_chosen="Import","Masked as you have opted to import an existing appliance","")</f>
        <v/>
      </c>
    </row>
    <row r="155" spans="2:5" s="9" customFormat="1" ht="20" customHeight="1" x14ac:dyDescent="0.2">
      <c r="B155" s="4" t="s">
        <v>3850</v>
      </c>
      <c r="C155" s="103" t="str">
        <f>IF(flt_custom_network_chosen="Shared Management Network",IF(mgmt_dpg_reuse_result="Included",CONCATENATE(prefix_mgmt_az1_cidr,"10.14"),CONCATENATE(prefix_mgmt_az1_cidr,"11.14")),IF(flt_custom_network_chosen="NSX Overlay Segment",CONCATENATE(prefix_xreg_cidr,".14"),CONCATENATE(prefix_flt_shared_cidr,".14")))</f>
        <v>10.11.10.14</v>
      </c>
      <c r="D155" s="66"/>
      <c r="E155" s="8" t="str">
        <f>IF(flt_net_install_type_chosen="Import","","Deploying VCF Operations for Networks using the UI does not allow you to choose a network or vDPG. IP address has to reside within the same subnet as VCF OPS ")</f>
        <v xml:space="preserve">Deploying VCF Operations for Networks using the UI does not allow you to choose a network or vDPG. IP address has to reside within the same subnet as VCF OPS </v>
      </c>
    </row>
    <row r="156" spans="2:5" s="9" customFormat="1" ht="20" customHeight="1" x14ac:dyDescent="0.2">
      <c r="B156" s="4" t="s">
        <v>3853</v>
      </c>
      <c r="C156" s="103" t="str">
        <f>IF(flt_custom_network_chosen="Shared Management Network",IF(mgmt_dpg_reuse_result="Included",CONCATENATE(prefix_mgmt_ipv6_cidr,prefix_mgmt_az1_cidr,"10",":","14","/64"),CONCATENATE(prefix_mgmt_ipv6_cidr,prefix_mgmt_az1_cidr,"11",":","14","/64")),IF(flt_custom_network_chosen="NSX Overlay Segment",CONCATENATE(prefix_mgmt_ipv6_cidr,prefix_xreg_vlan,":","14","/64"),CONCATENATE(prefix_mgmt_ipv6_cidr,prefix_mgmt_az1_vlan,"99",":","14","/64")))</f>
        <v>2001:db8:0:10.11.10:14/64</v>
      </c>
      <c r="D156" s="66"/>
      <c r="E156" s="8"/>
    </row>
    <row r="157" spans="2:5" s="9" customFormat="1" ht="20" customHeight="1" x14ac:dyDescent="0.2">
      <c r="B157" s="421" t="s">
        <v>656</v>
      </c>
      <c r="C157" s="422"/>
      <c r="D157" s="422"/>
      <c r="E157" s="423"/>
    </row>
    <row r="158" spans="2:5" s="9" customFormat="1" ht="20" customHeight="1" x14ac:dyDescent="0.2">
      <c r="B158" s="4" t="s">
        <v>645</v>
      </c>
      <c r="C158" s="122" t="str">
        <f>CONCATENATE(prefix_portable_component,"-net01a",".",sample_parent_dns_zone)</f>
        <v>flt-net01a.rainpole.io</v>
      </c>
      <c r="D158" s="66"/>
      <c r="E158" s="8" t="str">
        <f>IF(flt_net_install_type_chosen="Import","Masked as you have opted to import an existing appliance","")</f>
        <v/>
      </c>
    </row>
    <row r="159" spans="2:5" s="9" customFormat="1" ht="20" customHeight="1" x14ac:dyDescent="0.2">
      <c r="B159" s="4" t="s">
        <v>276</v>
      </c>
      <c r="C159" s="65" t="str">
        <f>sample_flt_net_nodea_ip</f>
        <v>10.11.10.62</v>
      </c>
      <c r="D159" s="8" t="str">
        <f>flt_net_nodea_ip</f>
        <v>Value Missing</v>
      </c>
      <c r="E159" s="8" t="str">
        <f>IF(flt_net_install_type_chosen="Import","Masked as you have opted to import an existing appliance","")</f>
        <v/>
      </c>
    </row>
    <row r="160" spans="2:5" s="9" customFormat="1" ht="20" customHeight="1" x14ac:dyDescent="0.2">
      <c r="B160" s="421" t="s">
        <v>658</v>
      </c>
      <c r="C160" s="422"/>
      <c r="D160" s="422"/>
      <c r="E160" s="423"/>
    </row>
    <row r="161" spans="2:5" s="9" customFormat="1" ht="20" customHeight="1" x14ac:dyDescent="0.2">
      <c r="B161" s="4" t="s">
        <v>645</v>
      </c>
      <c r="C161" s="122" t="str">
        <f>CONCATENATE(this_instance,"-netc01.",sample_child_dns_zone)</f>
        <v>sfo-netc01.sfo.rainpole.io</v>
      </c>
      <c r="D161" s="66"/>
      <c r="E161" s="8" t="str">
        <f>IF(flt_net_install_type_chosen="Import","Masked as you have opted to import an existing appliance","")</f>
        <v/>
      </c>
    </row>
    <row r="162" spans="2:5" s="9" customFormat="1" ht="20" customHeight="1" x14ac:dyDescent="0.2">
      <c r="B162" s="4" t="s">
        <v>276</v>
      </c>
      <c r="C162" s="65" t="str">
        <f>sample_flt_net_prxy_ip</f>
        <v>10.11.10.14</v>
      </c>
      <c r="D162" s="8" t="str">
        <f t="array" ref="D162">flt_net_prxy_ip</f>
        <v>Value Missing</v>
      </c>
      <c r="E162" s="8" t="str">
        <f>IF(flt_net_install_type_chosen="Import","Masked as you have opted to import an existing appliance","")</f>
        <v/>
      </c>
    </row>
  </sheetData>
  <sheetProtection algorithmName="SHA-512" hashValue="UROrW64CQfl7M4gxYvXKKVbTjawmchvNJPUWMoBHf3yC5tyU5hg+720sQ2SpX8asGIqOgzHI0d6CXwIdCTbFMQ==" saltValue="XAQ6rgUhfjyEUJp/Hhcifw==" spinCount="100000" sheet="1" selectLockedCells="1"/>
  <dataConsolidate/>
  <mergeCells count="37">
    <mergeCell ref="B130:E130"/>
    <mergeCell ref="B132:E132"/>
    <mergeCell ref="B81:E81"/>
    <mergeCell ref="B127:E127"/>
    <mergeCell ref="B157:E157"/>
    <mergeCell ref="B84:E84"/>
    <mergeCell ref="B160:E160"/>
    <mergeCell ref="B145:E145"/>
    <mergeCell ref="B147:E147"/>
    <mergeCell ref="B141:E141"/>
    <mergeCell ref="B2:E2"/>
    <mergeCell ref="B3:E3"/>
    <mergeCell ref="B125:E125"/>
    <mergeCell ref="B91:E91"/>
    <mergeCell ref="B92:E92"/>
    <mergeCell ref="B114:E114"/>
    <mergeCell ref="B89:E89"/>
    <mergeCell ref="B99:E99"/>
    <mergeCell ref="B115:E115"/>
    <mergeCell ref="B123:E123"/>
    <mergeCell ref="B70:E70"/>
    <mergeCell ref="B71:E71"/>
    <mergeCell ref="B13:E13"/>
    <mergeCell ref="B15:E15"/>
    <mergeCell ref="B19:E19"/>
    <mergeCell ref="B23:E23"/>
    <mergeCell ref="B26:E26"/>
    <mergeCell ref="B29:E29"/>
    <mergeCell ref="B33:E33"/>
    <mergeCell ref="B35:E35"/>
    <mergeCell ref="B37:E37"/>
    <mergeCell ref="B39:E39"/>
    <mergeCell ref="B64:E64"/>
    <mergeCell ref="B42:E42"/>
    <mergeCell ref="B59:E59"/>
    <mergeCell ref="B51:E51"/>
    <mergeCell ref="B55:E55"/>
  </mergeCells>
  <phoneticPr fontId="59" type="noConversion"/>
  <conditionalFormatting sqref="B7 D7:E7">
    <cfRule type="expression" dxfId="2038" priority="168">
      <formula>$E$7="NSX Centralized Connectivity is required to configure the Fleet appliance on NSX Overlay Segment"</formula>
    </cfRule>
  </conditionalFormatting>
  <conditionalFormatting sqref="B8 D8:E8">
    <cfRule type="expression" dxfId="2037" priority="170">
      <formula>$E$8="Cause: VCF Operations is required to Deploy VCF Automation. Deploy VCF Operations during MGMT Domain Deploy or Day-N"</formula>
    </cfRule>
    <cfRule type="expression" dxfId="2036" priority="172">
      <formula>$E$8="Cause: I want to connect a VCF Automation instance later option not selected in Deploy Management Domain Tab"</formula>
    </cfRule>
    <cfRule type="expression" dxfId="2035" priority="174">
      <formula>$E$8="Cause: VCF Operations and Automation will be deployed during Managment Domain Deployment"</formula>
    </cfRule>
    <cfRule type="expression" dxfId="2034" priority="175">
      <formula>$E$8="VCF Ops and Automation will be skipped during MGMT Domain deployment. Ensure they are planned as part of fleet Management Day-N"</formula>
    </cfRule>
    <cfRule type="expression" dxfId="2033" priority="247">
      <formula>$E$8="Cause: Custom networking for VCF Operations and VCF Automation not selected in Deploy Management Domain Tab"</formula>
    </cfRule>
    <cfRule type="expression" dxfId="2032" priority="249">
      <formula>flt_custom_network_vcf_ops_automation_result="Included"</formula>
    </cfRule>
  </conditionalFormatting>
  <conditionalFormatting sqref="B9 D9:E9">
    <cfRule type="expression" dxfId="2031" priority="306">
      <formula>AND((flt_vidb_chosen&lt;&gt;"Exclude"),(flt_vidb_result="Excluded"))</formula>
    </cfRule>
    <cfRule type="expression" dxfId="2030" priority="307">
      <formula>(flt_vidb_result="Excluded")</formula>
    </cfRule>
    <cfRule type="expression" dxfId="2029" priority="308" stopIfTrue="1">
      <formula>(flt_vidb_result="Included")</formula>
    </cfRule>
  </conditionalFormatting>
  <conditionalFormatting sqref="B10 D10:E10">
    <cfRule type="expression" dxfId="2028" priority="251">
      <formula>flt_logs_result="Excluded"</formula>
    </cfRule>
  </conditionalFormatting>
  <conditionalFormatting sqref="B10:B11 D10:E11 B7 D7:E7">
    <cfRule type="expression" dxfId="2027" priority="261">
      <formula>flt_custom_network_result="Included"</formula>
    </cfRule>
  </conditionalFormatting>
  <conditionalFormatting sqref="B11 D11:E11">
    <cfRule type="expression" dxfId="2026" priority="250">
      <formula>flt_net_result="Excluded"</formula>
    </cfRule>
  </conditionalFormatting>
  <conditionalFormatting sqref="C77:C78">
    <cfRule type="expression" dxfId="2025" priority="239">
      <formula>OR((private_cloud_result="Excluded"),(private_cloud_chosen="Connect Instance"))</formula>
    </cfRule>
  </conditionalFormatting>
  <conditionalFormatting sqref="D16:D18">
    <cfRule type="expression" dxfId="2024" priority="94">
      <formula>OR((flt_custom_network_vcf_ops_automation_chosen="Deploy VCF Automation"),(flt_custom_network_vcf_ops_automation_chosen="Exclude"))</formula>
    </cfRule>
    <cfRule type="expression" dxfId="2023" priority="95">
      <formula>AND((flt_custom_network_vcf_ops_automation_chosen="Deploy VCF Operations and Automation"),(flt_custom_network_vcf_ops_automation_result="Excluded"))</formula>
    </cfRule>
    <cfRule type="containsBlanks" dxfId="2022" priority="96">
      <formula>LEN(TRIM(D16))=0</formula>
    </cfRule>
    <cfRule type="notContainsBlanks" dxfId="2020" priority="98">
      <formula>LEN(TRIM(D16))&gt;0</formula>
    </cfRule>
  </conditionalFormatting>
  <conditionalFormatting sqref="D20:D22">
    <cfRule type="expression" dxfId="2019" priority="89">
      <formula>OR((flt_custom_network_vcf_ops_automation_chosen="Deploy VCF Automation"),(flt_custom_network_vcf_ops_automation_chosen="Exclude"))</formula>
    </cfRule>
    <cfRule type="expression" dxfId="2018" priority="90">
      <formula>AND((flt_custom_network_vcf_ops_automation_chosen="Deploy VCF Operations and Automation"),(flt_custom_network_vcf_ops_automation_result="Excluded"))</formula>
    </cfRule>
    <cfRule type="containsBlanks" dxfId="2017" priority="91">
      <formula>LEN(TRIM(D20))=0</formula>
    </cfRule>
    <cfRule type="notContainsBlanks" dxfId="2015" priority="93">
      <formula>LEN(TRIM(D20))&gt;0</formula>
    </cfRule>
  </conditionalFormatting>
  <conditionalFormatting sqref="D23">
    <cfRule type="expression" dxfId="2014" priority="143">
      <formula>mgmt_domain_existing_vcenter_chosen="Selected"</formula>
    </cfRule>
  </conditionalFormatting>
  <conditionalFormatting sqref="D24:D25">
    <cfRule type="expression" dxfId="2013" priority="84">
      <formula>OR((flt_custom_network_vcf_ops_automation_chosen="Deploy VCF Automation"),(flt_custom_network_vcf_ops_automation_chosen="Exclude"))</formula>
    </cfRule>
    <cfRule type="expression" dxfId="2012" priority="85">
      <formula>AND((flt_custom_network_vcf_ops_automation_chosen="Deploy VCF Operations and Automation"),(flt_custom_network_vcf_ops_automation_result="Excluded"))</formula>
    </cfRule>
    <cfRule type="containsBlanks" dxfId="2011" priority="86">
      <formula>LEN(TRIM(D24))=0</formula>
    </cfRule>
    <cfRule type="notContainsBlanks" dxfId="2009" priority="88">
      <formula>LEN(TRIM(D24))&gt;0</formula>
    </cfRule>
  </conditionalFormatting>
  <conditionalFormatting sqref="D26">
    <cfRule type="expression" dxfId="2008" priority="138">
      <formula>mgmt_domain_existing_vcenter_chosen="Selected"</formula>
    </cfRule>
  </conditionalFormatting>
  <conditionalFormatting sqref="D27:D28">
    <cfRule type="expression" dxfId="2007" priority="79">
      <formula>OR((flt_custom_network_vcf_ops_automation_chosen="Deploy VCF Automation"),(flt_custom_network_vcf_ops_automation_chosen="Exclude"))</formula>
    </cfRule>
    <cfRule type="expression" dxfId="2006" priority="80">
      <formula>AND((flt_custom_network_vcf_ops_automation_chosen="Deploy VCF Operations and Automation"),(flt_custom_network_vcf_ops_automation_result="Excluded"))</formula>
    </cfRule>
    <cfRule type="containsBlanks" dxfId="2005" priority="81">
      <formula>LEN(TRIM(D27))=0</formula>
    </cfRule>
    <cfRule type="notContainsBlanks" dxfId="2003" priority="83">
      <formula>LEN(TRIM(D27))&gt;0</formula>
    </cfRule>
  </conditionalFormatting>
  <conditionalFormatting sqref="D30:D32">
    <cfRule type="expression" dxfId="2002" priority="74">
      <formula>OR((flt_custom_network_vcf_ops_automation_chosen="Deploy VCF Automation"),(flt_custom_network_vcf_ops_automation_chosen="Exclude"))</formula>
    </cfRule>
    <cfRule type="expression" dxfId="2001" priority="75">
      <formula>AND((flt_custom_network_vcf_ops_automation_chosen="Deploy VCF Operations and Automation"),(flt_custom_network_vcf_ops_automation_result="Excluded"))</formula>
    </cfRule>
    <cfRule type="containsBlanks" dxfId="2000" priority="76">
      <formula>LEN(TRIM(D30))=0</formula>
    </cfRule>
    <cfRule type="notContainsBlanks" dxfId="1999" priority="78">
      <formula>LEN(TRIM(D30))&gt;0</formula>
    </cfRule>
  </conditionalFormatting>
  <conditionalFormatting sqref="D33:D34 D65:D68">
    <cfRule type="notContainsBlanks" dxfId="1997" priority="129">
      <formula>LEN(TRIM(D33))&gt;0</formula>
    </cfRule>
    <cfRule type="containsBlanks" dxfId="1996" priority="130">
      <formula>LEN(TRIM(D33))=0</formula>
    </cfRule>
  </conditionalFormatting>
  <conditionalFormatting sqref="D36">
    <cfRule type="expression" dxfId="1995" priority="69">
      <formula>OR((flt_custom_network_vcf_ops_automation_chosen="Deploy VCF Automation"),(flt_custom_network_vcf_ops_automation_chosen="Exclude"))</formula>
    </cfRule>
    <cfRule type="expression" dxfId="1994" priority="70">
      <formula>AND((flt_custom_network_vcf_ops_automation_chosen="Deploy VCF Operations and Automation"),(flt_custom_network_vcf_ops_automation_result="Excluded"))</formula>
    </cfRule>
    <cfRule type="containsBlanks" dxfId="1993" priority="71">
      <formula>LEN(TRIM(D36))=0</formula>
    </cfRule>
    <cfRule type="notContainsBlanks" dxfId="1991" priority="73">
      <formula>LEN(TRIM(D36))&gt;0</formula>
    </cfRule>
  </conditionalFormatting>
  <conditionalFormatting sqref="D38">
    <cfRule type="expression" dxfId="1990" priority="64">
      <formula>OR((flt_custom_network_vcf_ops_automation_chosen="Deploy VCF Automation"),(flt_custom_network_vcf_ops_automation_chosen="Exclude"))</formula>
    </cfRule>
    <cfRule type="expression" dxfId="1989" priority="65">
      <formula>AND((flt_custom_network_vcf_ops_automation_chosen="Deploy VCF Operations and Automation"),(flt_custom_network_vcf_ops_automation_result="Excluded"))</formula>
    </cfRule>
    <cfRule type="containsBlanks" dxfId="1988" priority="66">
      <formula>LEN(TRIM(D38))=0</formula>
    </cfRule>
    <cfRule type="notContainsBlanks" dxfId="1986" priority="68">
      <formula>LEN(TRIM(D38))&gt;0</formula>
    </cfRule>
  </conditionalFormatting>
  <conditionalFormatting sqref="D40:D41">
    <cfRule type="expression" dxfId="1985" priority="16">
      <formula>OR((flt_custom_network_vcf_ops_automation_chosen="Deploy VCF Automation"),(flt_custom_network_vcf_ops_automation_chosen="Exclude"))</formula>
    </cfRule>
    <cfRule type="expression" dxfId="1984" priority="17">
      <formula>AND((flt_custom_network_vcf_ops_automation_chosen="Deploy VCF Operations and Automation"),(flt_custom_network_vcf_ops_automation_result="Excluded"))</formula>
    </cfRule>
    <cfRule type="containsBlanks" dxfId="1983" priority="18">
      <formula>LEN(TRIM(D40))=0</formula>
    </cfRule>
    <cfRule type="notContainsBlanks" dxfId="1981" priority="20">
      <formula>LEN(TRIM(D40))&gt;0</formula>
    </cfRule>
  </conditionalFormatting>
  <conditionalFormatting sqref="D43:D50 D52:D54 D65:D66">
    <cfRule type="expression" dxfId="1980" priority="6">
      <formula>OR((flt_custom_network_vcf_ops_automation_chosen="Deploy VCF Automation"),(flt_custom_network_vcf_ops_automation_chosen="Exclude"))</formula>
    </cfRule>
  </conditionalFormatting>
  <conditionalFormatting sqref="D43:D50 D65:D66">
    <cfRule type="expression" dxfId="1979" priority="7">
      <formula>AND((flt_custom_network_vcf_ops_automation_chosen="Deploy VCF Operations and Automation"),(flt_custom_network_vcf_ops_automation_result="Excluded"))</formula>
    </cfRule>
  </conditionalFormatting>
  <conditionalFormatting sqref="D43:D50">
    <cfRule type="containsBlanks" dxfId="1978" priority="8">
      <formula>LEN(TRIM(D43))=0</formula>
    </cfRule>
    <cfRule type="notContainsBlanks" dxfId="1976" priority="10">
      <formula>LEN(TRIM(D43))&gt;0</formula>
    </cfRule>
  </conditionalFormatting>
  <conditionalFormatting sqref="D44:D46 D21 D31:D32 D34">
    <cfRule type="expression" dxfId="1975" priority="61" stopIfTrue="1">
      <formula>flt_def_vcf_operations_ha_mode_chosen="Simple"</formula>
    </cfRule>
  </conditionalFormatting>
  <conditionalFormatting sqref="D44:D46">
    <cfRule type="expression" dxfId="1974" priority="59">
      <formula>OR((flt_custom_network_vcf_ops_automation_chosen="Deploy VCF Automation"),(flt_custom_network_vcf_ops_automation_chosen="Exclude"))</formula>
    </cfRule>
    <cfRule type="expression" dxfId="1973" priority="60">
      <formula>AND((flt_custom_network_vcf_ops_automation_chosen="Deploy VCF Operations and Automation"),(flt_custom_network_vcf_ops_automation_result="Excluded"))</formula>
    </cfRule>
    <cfRule type="notContainsBlanks" dxfId="1971" priority="126">
      <formula>LEN(TRIM(D44))&gt;0</formula>
    </cfRule>
  </conditionalFormatting>
  <conditionalFormatting sqref="D52">
    <cfRule type="expression" dxfId="1970" priority="24">
      <formula>flt_def_vcf_custom_passwords_chosen="Unselected"</formula>
    </cfRule>
  </conditionalFormatting>
  <conditionalFormatting sqref="D53">
    <cfRule type="expression" dxfId="1969" priority="22">
      <formula>flt_def_vcf_custom_network_chosen="Unselected"</formula>
    </cfRule>
    <cfRule type="containsBlanks" dxfId="1968" priority="26">
      <formula>LEN(TRIM(D53))=0</formula>
    </cfRule>
  </conditionalFormatting>
  <conditionalFormatting sqref="D53:D54">
    <cfRule type="notContainsBlanks" dxfId="1966" priority="28">
      <formula>LEN(TRIM(D53))&gt;0</formula>
    </cfRule>
  </conditionalFormatting>
  <conditionalFormatting sqref="D54">
    <cfRule type="expression" dxfId="1965" priority="21">
      <formula>flt_def_vcf_custom_size_chosen="Unselected"</formula>
    </cfRule>
  </conditionalFormatting>
  <conditionalFormatting sqref="D56 D60 D68">
    <cfRule type="expression" dxfId="1964" priority="29">
      <formula>flt_def_vcf_custom_size_chosen="Unselected"</formula>
    </cfRule>
  </conditionalFormatting>
  <conditionalFormatting sqref="D56:D58 D60:D63">
    <cfRule type="notContainsBlanks" dxfId="1963" priority="43">
      <formula>LEN(TRIM(D56))&gt;0</formula>
    </cfRule>
    <cfRule type="containsBlanks" dxfId="1962" priority="44">
      <formula>LEN(TRIM(D56))=0</formula>
    </cfRule>
  </conditionalFormatting>
  <conditionalFormatting sqref="D57:D58 D61 D67">
    <cfRule type="expression" dxfId="1961" priority="23">
      <formula>flt_def_vcf_custom_passwords_chosen="Unselected"</formula>
    </cfRule>
  </conditionalFormatting>
  <conditionalFormatting sqref="D62:D63">
    <cfRule type="expression" dxfId="1959" priority="25">
      <formula>flt_def_vcf_custom_network_chosen="Unselected"</formula>
    </cfRule>
    <cfRule type="notContainsBlanks" dxfId="1957" priority="34">
      <formula>LEN(TRIM(D62))&gt;0</formula>
    </cfRule>
  </conditionalFormatting>
  <conditionalFormatting sqref="D73:D80 D82:D83 D85:D87 D94:D98 D100:D113 D116:D122 D124 D126 D133:D140 D142:D143 D148:D156 D158:D159 D161:D162">
    <cfRule type="notContainsBlanks" dxfId="1955" priority="381">
      <formula>LEN(TRIM(D73))&gt;0</formula>
    </cfRule>
  </conditionalFormatting>
  <conditionalFormatting sqref="D73:D80 D82:D83 D85:D87">
    <cfRule type="expression" dxfId="1954" priority="50">
      <formula>OR((flt_custom_network_vcf_ops_automation_chosen="Exclude"),(flt_custom_network_vcf_ops_automation_chosen ="Deploy VCF Operations and Automation"))</formula>
    </cfRule>
    <cfRule type="expression" dxfId="1953" priority="165">
      <formula>AND((flt_custom_network_vcf_ops_automation_chosen="Deploy VCF Automation"),(flt_custom_network_vcf_ops_automation_result="Excluded"))</formula>
    </cfRule>
  </conditionalFormatting>
  <conditionalFormatting sqref="D74">
    <cfRule type="expression" dxfId="1952" priority="51">
      <formula>vcf_automation_type_chosen="New"</formula>
    </cfRule>
  </conditionalFormatting>
  <conditionalFormatting sqref="D75:D77 D79 D82:D83 D85:D87">
    <cfRule type="expression" dxfId="1951" priority="4">
      <formula>vcf_automation_type_chosen="Import 8.x appliance"</formula>
    </cfRule>
  </conditionalFormatting>
  <conditionalFormatting sqref="D76:D79">
    <cfRule type="expression" dxfId="1950" priority="169">
      <formula>vcf_automation_type="Import"</formula>
    </cfRule>
  </conditionalFormatting>
  <conditionalFormatting sqref="D85">
    <cfRule type="expression" dxfId="1949" priority="167">
      <formula>vcf_automation_node_pool_chosen="Unselected"</formula>
    </cfRule>
  </conditionalFormatting>
  <conditionalFormatting sqref="D86:D87">
    <cfRule type="expression" dxfId="1948" priority="3">
      <formula>vcf_automation_node_pool_chosen="Unselected"</formula>
    </cfRule>
  </conditionalFormatting>
  <conditionalFormatting sqref="D94:D98">
    <cfRule type="expression" dxfId="1947" priority="1">
      <formula>AND((flt_vidb_chosen="Include"),(mgmt_domain_chosen="First Instance"))</formula>
    </cfRule>
    <cfRule type="expression" dxfId="1946" priority="53">
      <formula>flt_vidb_chosen="Exclude"</formula>
    </cfRule>
  </conditionalFormatting>
  <conditionalFormatting sqref="D100:D113 D116:D122 D124 D126 D142:D143 D133:D140 D148:D156 D158:D159 D161:D162 D73:D80 D85:D87 D82:D83 D94:D98">
    <cfRule type="containsBlanks" dxfId="1945" priority="368">
      <formula>LEN(TRIM(D73))=0</formula>
    </cfRule>
  </conditionalFormatting>
  <conditionalFormatting sqref="D100:D113 D116:D122 D124 D126">
    <cfRule type="expression" dxfId="1944" priority="367">
      <formula>flt_vidb_chosen="Exclude"</formula>
    </cfRule>
  </conditionalFormatting>
  <conditionalFormatting sqref="D103">
    <cfRule type="expression" dxfId="1943" priority="185">
      <formula>flt_vidb_server_location_chosen="Selected"</formula>
    </cfRule>
  </conditionalFormatting>
  <conditionalFormatting sqref="D104:D105">
    <cfRule type="expression" dxfId="1942" priority="346">
      <formula>flt_vidb_server_location_chosen="Unselected"</formula>
    </cfRule>
  </conditionalFormatting>
  <conditionalFormatting sqref="D105">
    <cfRule type="expression" dxfId="1941" priority="335">
      <formula>flt_vidb_encrypted_connection_chosen="Unselected"</formula>
    </cfRule>
  </conditionalFormatting>
  <conditionalFormatting sqref="D106:D109">
    <cfRule type="expression" dxfId="1940" priority="347">
      <formula>flt_vidb_server_location_chosen="Selected"</formula>
    </cfRule>
  </conditionalFormatting>
  <conditionalFormatting sqref="D128">
    <cfRule type="expression" dxfId="1939" priority="46">
      <formula>flt_vidb_chosen="Exclude"</formula>
    </cfRule>
    <cfRule type="containsBlanks" dxfId="1938" priority="47">
      <formula>LEN(TRIM(D128))=0</formula>
    </cfRule>
    <cfRule type="notContainsBlanks" dxfId="1936" priority="49">
      <formula>LEN(TRIM(D128))&gt;0</formula>
    </cfRule>
  </conditionalFormatting>
  <conditionalFormatting sqref="D133:D140 D142:D143">
    <cfRule type="expression" dxfId="1935" priority="179">
      <formula>flt_logs_result="Excluded"</formula>
    </cfRule>
  </conditionalFormatting>
  <conditionalFormatting sqref="D135:D137">
    <cfRule type="expression" dxfId="1934" priority="330">
      <formula>flt_logs_install_type_chosen="New Install"</formula>
    </cfRule>
  </conditionalFormatting>
  <conditionalFormatting sqref="D139:D140">
    <cfRule type="expression" dxfId="1933" priority="45">
      <formula>flt_logs_install_type_chosen="Import"</formula>
    </cfRule>
  </conditionalFormatting>
  <conditionalFormatting sqref="D142:D143">
    <cfRule type="expression" dxfId="1932" priority="331">
      <formula>flt_logs_install_type_chosen="Import"</formula>
    </cfRule>
  </conditionalFormatting>
  <conditionalFormatting sqref="D148:D156 D158:D159 D161:D162">
    <cfRule type="expression" dxfId="1931" priority="183">
      <formula>flt_net_result="Excluded"</formula>
    </cfRule>
  </conditionalFormatting>
  <conditionalFormatting sqref="D154 D156">
    <cfRule type="expression" dxfId="1930" priority="52">
      <formula>flt_net_dual_stack_chosen="Unselected"</formula>
    </cfRule>
  </conditionalFormatting>
  <conditionalFormatting sqref="D154:D156 D149:D150 D152 D158:D159 D161:D162">
    <cfRule type="expression" dxfId="1929" priority="318">
      <formula>flt_net_install_type_chosen="Import"</formula>
    </cfRule>
  </conditionalFormatting>
  <dataValidations count="18">
    <dataValidation type="list" allowBlank="1" showInputMessage="1" showErrorMessage="1" sqref="D100" xr:uid="{994766C4-40A3-CC42-B17C-17610B205720}">
      <formula1>"AD/LDAP,Open LDAP"</formula1>
    </dataValidation>
    <dataValidation type="list" allowBlank="1" showInputMessage="1" showErrorMessage="1" sqref="D107" xr:uid="{3C92F9A4-B2F2-E94C-8BC4-E554D8C0E132}">
      <formula1>"Selected,Deselected"</formula1>
    </dataValidation>
    <dataValidation type="list" allowBlank="1" showInputMessage="1" showErrorMessage="1" sqref="D110" xr:uid="{AB1E007F-70EC-5F44-8A9A-128E2A1822D0}">
      <formula1>"sAMAccountName,userPrincipalName"</formula1>
    </dataValidation>
    <dataValidation type="list" allowBlank="1" showInputMessage="1" showErrorMessage="1" sqref="D102:D104 D22 D52:D54 D85" xr:uid="{EB1D5431-E355-8349-92B7-98699093D262}">
      <formula1>"Selected,Unselected"</formula1>
    </dataValidation>
    <dataValidation type="list" allowBlank="1" showInputMessage="1" showErrorMessage="1" sqref="D148 D133" xr:uid="{B8E55E4A-6EFC-B048-AFF4-21E5B78AF445}">
      <formula1>"New Install,Import"</formula1>
    </dataValidation>
    <dataValidation type="list" allowBlank="1" showInputMessage="1" showErrorMessage="1" sqref="D76 D139 D68" xr:uid="{8510D5E3-76F3-4F48-A320-4202661526C0}">
      <formula1>"Small,Medium,Large"</formula1>
    </dataValidation>
    <dataValidation type="list" allowBlank="1" showInputMessage="1" showErrorMessage="1" sqref="B9:B11" xr:uid="{7740F528-FF66-FF43-88FF-19B5D54B3382}">
      <formula1>"Exclude,Include"</formula1>
    </dataValidation>
    <dataValidation type="list" allowBlank="1" showInputMessage="1" showErrorMessage="1" sqref="B7" xr:uid="{34EECD63-90D2-064E-947B-E3351DB16B0B}">
      <formula1>"Shared Management Network,Dedicated Management Network,NSX Overlay Segment,NSX VLAN Segment"</formula1>
    </dataValidation>
    <dataValidation type="list" allowBlank="1" showInputMessage="1" showErrorMessage="1" sqref="B8" xr:uid="{B25EF55C-E2AA-B94F-AF1D-47D1A0610B97}">
      <formula1>"Exclude,Deploy VCF Operations and Automation,Deploy VCF Automation"</formula1>
    </dataValidation>
    <dataValidation type="list" allowBlank="1" showInputMessage="1" showErrorMessage="1" sqref="D20" xr:uid="{9AF2A46A-A7CC-1746-A0B3-C762A99130D0}">
      <formula1>"High Availability (Three-Node),Simple"</formula1>
    </dataValidation>
    <dataValidation type="list" allowBlank="1" showInputMessage="1" showErrorMessage="1" sqref="D95" xr:uid="{A5D089B5-6CDD-7D49-82D6-61F93336F4A6}">
      <formula1>"Small,Medium,Large,XL"</formula1>
    </dataValidation>
    <dataValidation type="list" allowBlank="1" showInputMessage="1" showErrorMessage="1" sqref="D152" xr:uid="{38A21803-3F82-8E4F-9370-D8C71EA0B014}">
      <formula1>"Unselected,Selected"</formula1>
    </dataValidation>
    <dataValidation type="list" allowBlank="1" showInputMessage="1" showErrorMessage="1" sqref="D73" xr:uid="{4BA40EC4-1387-F140-83C7-AF05FCB554B9}">
      <formula1>"New,Import 8.x appliance"</formula1>
    </dataValidation>
    <dataValidation type="list" allowBlank="1" showInputMessage="1" showErrorMessage="1" sqref="D150" xr:uid="{685D2BE9-C3A2-E741-B0F2-091342E933B2}">
      <formula1>"Small,Medium,Large,XL,XXL"</formula1>
    </dataValidation>
    <dataValidation type="list" allowBlank="1" showInputMessage="1" showErrorMessage="1" sqref="D60" xr:uid="{3D5AC832-1464-244C-96DD-43610B157C0B}">
      <formula1>"Small,Standard"</formula1>
    </dataValidation>
    <dataValidation type="list" allowBlank="1" showInputMessage="1" showErrorMessage="1" sqref="D56" xr:uid="{DD93432E-F0AA-DE43-97E9-684BB5FA932A}">
      <formula1>"xSmall, Small, Medium, Large, xLarge"</formula1>
    </dataValidation>
    <dataValidation type="list" allowBlank="1" showInputMessage="1" showErrorMessage="1" sqref="D21" xr:uid="{CF0B3C5C-1397-A048-BAC4-CBA2832236A9}">
      <formula1>"Medium,Large"</formula1>
    </dataValidation>
    <dataValidation type="list" allowBlank="1" showInputMessage="1" showErrorMessage="1" sqref="D140" xr:uid="{0D8975B6-A56B-F345-B43D-CB861CA5B985}">
      <formula1>"1,2,3,4,5,6,7,8,9,10,11,12,13,14,15,16,17,18,19"</formula1>
    </dataValidation>
  </dataValidations>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97" operator="containsText" id="{56CE54A4-6306-6E42-8F44-08537862CF35}">
            <xm:f>NOT(ISERROR(SEARCH("Value Missing",D16)))</xm:f>
            <xm:f>"Value Missing"</xm:f>
            <x14:dxf>
              <font>
                <color rgb="FF0E223A"/>
              </font>
              <fill>
                <patternFill>
                  <bgColor rgb="FFFFBE29"/>
                </patternFill>
              </fill>
            </x14:dxf>
          </x14:cfRule>
          <xm:sqref>D16:D18</xm:sqref>
        </x14:conditionalFormatting>
        <x14:conditionalFormatting xmlns:xm="http://schemas.microsoft.com/office/excel/2006/main">
          <x14:cfRule type="containsText" priority="92" operator="containsText" id="{F70A1C75-28BC-0843-8791-5A29779016FD}">
            <xm:f>NOT(ISERROR(SEARCH("Value Missing",D20)))</xm:f>
            <xm:f>"Value Missing"</xm:f>
            <x14:dxf>
              <font>
                <color rgb="FF0E223A"/>
              </font>
              <fill>
                <patternFill>
                  <bgColor rgb="FFFFBE29"/>
                </patternFill>
              </fill>
            </x14:dxf>
          </x14:cfRule>
          <xm:sqref>D20:D22</xm:sqref>
        </x14:conditionalFormatting>
        <x14:conditionalFormatting xmlns:xm="http://schemas.microsoft.com/office/excel/2006/main">
          <x14:cfRule type="containsText" priority="87" operator="containsText" id="{98A86434-7255-464E-84A6-E97D243785F8}">
            <xm:f>NOT(ISERROR(SEARCH("Value Missing",D24)))</xm:f>
            <xm:f>"Value Missing"</xm:f>
            <x14:dxf>
              <font>
                <color rgb="FF0E223A"/>
              </font>
              <fill>
                <patternFill>
                  <bgColor rgb="FFFFBE29"/>
                </patternFill>
              </fill>
            </x14:dxf>
          </x14:cfRule>
          <xm:sqref>D24:D25</xm:sqref>
        </x14:conditionalFormatting>
        <x14:conditionalFormatting xmlns:xm="http://schemas.microsoft.com/office/excel/2006/main">
          <x14:cfRule type="containsText" priority="82" operator="containsText" id="{51D8EB05-3C77-EF46-9872-FF11A355165E}">
            <xm:f>NOT(ISERROR(SEARCH("Value Missing",D27)))</xm:f>
            <xm:f>"Value Missing"</xm:f>
            <x14:dxf>
              <font>
                <color rgb="FF0E223A"/>
              </font>
              <fill>
                <patternFill>
                  <bgColor rgb="FFFFBE29"/>
                </patternFill>
              </fill>
            </x14:dxf>
          </x14:cfRule>
          <xm:sqref>D27:D28</xm:sqref>
        </x14:conditionalFormatting>
        <x14:conditionalFormatting xmlns:xm="http://schemas.microsoft.com/office/excel/2006/main">
          <x14:cfRule type="containsText" priority="77" operator="containsText" id="{71CA8CF6-8C69-884A-B6BC-16810AA45E9F}">
            <xm:f>NOT(ISERROR(SEARCH("Value Missing",D30)))</xm:f>
            <xm:f>"Value Missing"</xm:f>
            <x14:dxf>
              <font>
                <color rgb="FF0E223A"/>
              </font>
              <fill>
                <patternFill>
                  <bgColor rgb="FFFFBE29"/>
                </patternFill>
              </fill>
            </x14:dxf>
          </x14:cfRule>
          <xm:sqref>D30:D34 D65:D68</xm:sqref>
        </x14:conditionalFormatting>
        <x14:conditionalFormatting xmlns:xm="http://schemas.microsoft.com/office/excel/2006/main">
          <x14:cfRule type="containsText" priority="72" operator="containsText" id="{E2546B2D-5B6E-4847-997C-C893C1508073}">
            <xm:f>NOT(ISERROR(SEARCH("Value Missing",D36)))</xm:f>
            <xm:f>"Value Missing"</xm:f>
            <x14:dxf>
              <font>
                <color rgb="FF0E223A"/>
              </font>
              <fill>
                <patternFill>
                  <bgColor rgb="FFFFBE29"/>
                </patternFill>
              </fill>
            </x14:dxf>
          </x14:cfRule>
          <xm:sqref>D36</xm:sqref>
        </x14:conditionalFormatting>
        <x14:conditionalFormatting xmlns:xm="http://schemas.microsoft.com/office/excel/2006/main">
          <x14:cfRule type="containsText" priority="67" operator="containsText" id="{0FFFFA9D-677C-8F42-BAB8-ADD4334574FF}">
            <xm:f>NOT(ISERROR(SEARCH("Value Missing",D38)))</xm:f>
            <xm:f>"Value Missing"</xm:f>
            <x14:dxf>
              <font>
                <color rgb="FF0E223A"/>
              </font>
              <fill>
                <patternFill>
                  <bgColor rgb="FFFFBE29"/>
                </patternFill>
              </fill>
            </x14:dxf>
          </x14:cfRule>
          <xm:sqref>D38</xm:sqref>
        </x14:conditionalFormatting>
        <x14:conditionalFormatting xmlns:xm="http://schemas.microsoft.com/office/excel/2006/main">
          <x14:cfRule type="containsText" priority="19" operator="containsText" id="{85125E41-69D2-9B45-84F4-98C83AA3ECA7}">
            <xm:f>NOT(ISERROR(SEARCH("Value Missing",D40)))</xm:f>
            <xm:f>"Value Missing"</xm:f>
            <x14:dxf>
              <font>
                <color rgb="FF0E223A"/>
              </font>
              <fill>
                <patternFill>
                  <bgColor rgb="FFFFBE29"/>
                </patternFill>
              </fill>
            </x14:dxf>
          </x14:cfRule>
          <xm:sqref>D40:D41</xm:sqref>
        </x14:conditionalFormatting>
        <x14:conditionalFormatting xmlns:xm="http://schemas.microsoft.com/office/excel/2006/main">
          <x14:cfRule type="containsText" priority="9" operator="containsText" id="{3BB28A72-D60E-954F-B186-E538C5AB69EE}">
            <xm:f>NOT(ISERROR(SEARCH("Value Missing",D43)))</xm:f>
            <xm:f>"Value Missing"</xm:f>
            <x14:dxf>
              <font>
                <color rgb="FF0E223A"/>
              </font>
              <fill>
                <patternFill>
                  <bgColor rgb="FFFFBE29"/>
                </patternFill>
              </fill>
            </x14:dxf>
          </x14:cfRule>
          <xm:sqref>D43:D50</xm:sqref>
        </x14:conditionalFormatting>
        <x14:conditionalFormatting xmlns:xm="http://schemas.microsoft.com/office/excel/2006/main">
          <x14:cfRule type="containsText" priority="63" operator="containsText" id="{212BAB79-A221-3B47-8187-9CF4BC7FD301}">
            <xm:f>NOT(ISERROR(SEARCH("Value Missing",D44)))</xm:f>
            <xm:f>"Value Missing"</xm:f>
            <x14:dxf>
              <font>
                <color rgb="FF0E223A"/>
              </font>
              <fill>
                <patternFill>
                  <bgColor rgb="FFFFBE29"/>
                </patternFill>
              </fill>
            </x14:dxf>
          </x14:cfRule>
          <xm:sqref>D44:D46</xm:sqref>
        </x14:conditionalFormatting>
        <x14:conditionalFormatting xmlns:xm="http://schemas.microsoft.com/office/excel/2006/main">
          <x14:cfRule type="containsText" priority="27" operator="containsText" id="{1581A72B-3164-D341-B2C4-CBA61D77217A}">
            <xm:f>NOT(ISERROR(SEARCH("Value Missing",D53)))</xm:f>
            <xm:f>"Value Missing"</xm:f>
            <x14:dxf>
              <fill>
                <patternFill>
                  <bgColor rgb="FFFFBE29"/>
                </patternFill>
              </fill>
            </x14:dxf>
          </x14:cfRule>
          <xm:sqref>D53:D54</xm:sqref>
        </x14:conditionalFormatting>
        <x14:conditionalFormatting xmlns:xm="http://schemas.microsoft.com/office/excel/2006/main">
          <x14:cfRule type="containsText" priority="42" operator="containsText" id="{5F22F3A5-79D4-C545-A13F-7D7C94CF6250}">
            <xm:f>NOT(ISERROR(SEARCH("Value Missing",D56)))</xm:f>
            <xm:f>"Value Missing"</xm:f>
            <x14:dxf>
              <font>
                <color rgb="FF0E223A"/>
              </font>
              <fill>
                <patternFill>
                  <bgColor rgb="FFFFBE29"/>
                </patternFill>
              </fill>
            </x14:dxf>
          </x14:cfRule>
          <xm:sqref>D60:D63 D56:D58</xm:sqref>
        </x14:conditionalFormatting>
        <x14:conditionalFormatting xmlns:xm="http://schemas.microsoft.com/office/excel/2006/main">
          <x14:cfRule type="containsText" priority="33" operator="containsText" id="{C475CBA1-1E5F-D443-9B3D-08B13E677A02}">
            <xm:f>NOT(ISERROR(SEARCH("Value Missing",D62)))</xm:f>
            <xm:f>"Value Missing"</xm:f>
            <x14:dxf>
              <font>
                <color rgb="FF0E223A"/>
              </font>
              <fill>
                <patternFill>
                  <bgColor rgb="FFFFBE29"/>
                </patternFill>
              </fill>
            </x14:dxf>
          </x14:cfRule>
          <xm:sqref>D62:D63</xm:sqref>
        </x14:conditionalFormatting>
        <x14:conditionalFormatting xmlns:xm="http://schemas.microsoft.com/office/excel/2006/main">
          <x14:cfRule type="containsText" priority="369" operator="containsText" id="{8C65F81A-2E61-5646-925D-414FD40D4206}">
            <xm:f>NOT(ISERROR(SEARCH("Value Missing",D73)))</xm:f>
            <xm:f>"Value Missing"</xm:f>
            <x14:dxf>
              <font>
                <color rgb="FF0E223A"/>
              </font>
              <fill>
                <patternFill>
                  <bgColor rgb="FFFFBE29"/>
                </patternFill>
              </fill>
            </x14:dxf>
          </x14:cfRule>
          <xm:sqref>D73:D80 D82:D83 D85:D87 D94:D98 D100:D113 D116:D122 D124 D126 D133:D140 D142:D143 D148:D156 D158:D159 D161:D162</xm:sqref>
        </x14:conditionalFormatting>
        <x14:conditionalFormatting xmlns:xm="http://schemas.microsoft.com/office/excel/2006/main">
          <x14:cfRule type="containsText" priority="48" operator="containsText" id="{FF3BB7FF-A634-4847-821E-322132B3CBE1}">
            <xm:f>NOT(ISERROR(SEARCH("Value Missing",D128)))</xm:f>
            <xm:f>"Value Missing"</xm:f>
            <x14:dxf>
              <font>
                <color rgb="FF0E223A"/>
              </font>
              <fill>
                <patternFill>
                  <bgColor rgb="FFFFBE29"/>
                </patternFill>
              </fill>
            </x14:dxf>
          </x14:cfRule>
          <xm:sqref>D128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E519A-0C3D-E542-BC90-DE9C4375CCA9}">
  <sheetPr codeName="Sheet15">
    <tabColor theme="7" tint="0.59999389629810485"/>
  </sheetPr>
  <dimension ref="A1:J960"/>
  <sheetViews>
    <sheetView showGridLines="0" zoomScaleNormal="100" workbookViewId="0">
      <pane ySplit="4" topLeftCell="A5" activePane="bottomLeft" state="frozen"/>
      <selection pane="bottomLeft"/>
    </sheetView>
  </sheetViews>
  <sheetFormatPr baseColWidth="10" defaultColWidth="11" defaultRowHeight="16" x14ac:dyDescent="0.2"/>
  <cols>
    <col min="1" max="1" width="2.83203125" style="9" customWidth="1"/>
    <col min="2" max="2" width="75.83203125" style="9" customWidth="1"/>
    <col min="3" max="3" width="76.1640625" style="9" customWidth="1"/>
    <col min="4" max="4" width="75.83203125" style="9" customWidth="1"/>
    <col min="5" max="5" width="109.1640625" style="9" customWidth="1"/>
    <col min="6" max="6" width="10.83203125" style="9" customWidth="1"/>
    <col min="7" max="9" width="11" style="9" customWidth="1"/>
    <col min="10" max="16384" width="11" style="9"/>
  </cols>
  <sheetData>
    <row r="1" spans="1:10" s="2" customFormat="1" ht="16" customHeight="1" x14ac:dyDescent="0.2">
      <c r="A1" s="1"/>
      <c r="F1" s="9"/>
      <c r="G1" s="9"/>
      <c r="H1" s="9"/>
      <c r="I1" s="9"/>
      <c r="J1" s="9"/>
    </row>
    <row r="2" spans="1:10" s="2" customFormat="1" ht="54" customHeight="1" x14ac:dyDescent="0.2">
      <c r="B2" s="602" t="s">
        <v>659</v>
      </c>
      <c r="C2" s="603"/>
      <c r="D2" s="603"/>
      <c r="E2" s="604"/>
      <c r="F2" s="9"/>
      <c r="G2" s="9"/>
      <c r="H2" s="9"/>
      <c r="I2" s="9"/>
      <c r="J2" s="9"/>
    </row>
    <row r="3" spans="1:10" s="2" customFormat="1" ht="20" customHeight="1" x14ac:dyDescent="0.2">
      <c r="B3" s="605" t="s">
        <v>660</v>
      </c>
      <c r="C3" s="606"/>
      <c r="D3" s="606"/>
      <c r="E3" s="607"/>
      <c r="F3" s="9"/>
      <c r="G3" s="9"/>
      <c r="H3" s="9"/>
      <c r="I3" s="9"/>
      <c r="J3" s="9"/>
    </row>
    <row r="4" spans="1:10" s="2" customFormat="1" x14ac:dyDescent="0.2">
      <c r="D4" s="11"/>
      <c r="E4" s="3"/>
      <c r="F4" s="3"/>
    </row>
    <row r="5" spans="1:10" ht="16" customHeight="1" x14ac:dyDescent="0.2"/>
    <row r="6" spans="1:10" ht="34" customHeight="1" x14ac:dyDescent="0.2">
      <c r="B6" s="608" t="s">
        <v>661</v>
      </c>
      <c r="C6" s="609"/>
      <c r="D6" s="609"/>
      <c r="E6" s="609"/>
    </row>
    <row r="8" spans="1:10" ht="34" customHeight="1" x14ac:dyDescent="0.2">
      <c r="B8" s="158" t="s">
        <v>4015</v>
      </c>
      <c r="C8" s="159"/>
      <c r="D8" s="159"/>
      <c r="E8" s="160"/>
    </row>
    <row r="9" spans="1:10" ht="20" customHeight="1" x14ac:dyDescent="0.2">
      <c r="B9" s="63" t="s">
        <v>9</v>
      </c>
      <c r="C9" s="63" t="s">
        <v>10</v>
      </c>
      <c r="D9" s="63" t="s">
        <v>11</v>
      </c>
      <c r="E9" s="63" t="s">
        <v>12</v>
      </c>
    </row>
    <row r="10" spans="1:10" ht="20" customHeight="1" x14ac:dyDescent="0.2">
      <c r="B10" s="116" t="s">
        <v>13</v>
      </c>
      <c r="C10" s="65" t="str">
        <f>IF(vcf_granular_option_chosen="Additional WLD Cluster","Deploy Additional Workload Cluster","Deploy a Workload Domain")</f>
        <v>Deploy a Workload Domain</v>
      </c>
      <c r="D10" s="140" t="str">
        <f>IF(mgmt_domain_deployment_type_chosen="VMware vSphere Foundation","Excluded",IF(wld_domain_chosen="Exclude","Excluded",IF(vcf_version="Select Deployment Version","Excluded",
IF(AND(vcf_granular_option_chosen&lt;&gt;"Deploy a new VCF fleet",vcf_granular_option_chosen&lt;&gt;"Deploy a VCF Instance in an existing VCF fleet",vcf_granular_option_chosen&lt;&gt;"Create Workload Domain"),"Excluded",
IF(AND(wld_domain_chosen="Deploy Workload Domain with a Multi-Rack Layer 3 Cluster",OR(wld_multi_rack_count_chosen="Exclude",wld_compute_hosts_per_rack_result="Excluded")),"Excluded",
IF(AND(wld_domain_chosen="Deploy Workload Domain with a Single-Rack / Multi-Rack Layer 2 Cluster",wld_compute_hosts_per_rack_result="Excluded"),"Excluded","Included"))))))</f>
        <v>Excluded</v>
      </c>
      <c r="E10" s="140" t="str">
        <f>IF(mgmt_domain_deployment_type_chosen="VMware vSphere Foundation","Cannot be performed on a VMware vSphere Foundation deployment",
IF(vcf_granular_option_chosen="Create Cluster","Create Workload Domain or Deploy a new VCF fleet not selected on VCF &amp; VVF Planning Tab",
IF(AND(vcf_granular_option_chosen&lt;&gt;"Deploy a new VCF fleet",vcf_granular_option_chosen&lt;&gt;"Deploy a VCF Instance in an existing VCF fleet",vcf_granular_option_chosen&lt;&gt;"Create Workload Domain"),"Option Not Required for current deployment type",
IF(wld_domain_chosen="Import Workload Domain","Workload will be imported into the VCF Instance",IF(vcf_version="Select Deployment Version","Deployment Version not Selected",
IF(wld_compute_hosts_per_rack_result="Excluded","Cause: Minimum Number of hosts must be selected",
IF(wld_domain_chosen="Deploy Workload Domain with a Multi-Rack Layer 3 Cluster","Workload Domain will be deployed with a Multi-Rack Layer 3 Cluster - Additional Racks Tab must also be filled out",
IF(vcf_version="Select Deployment Version","Deployment Version not Selected",
IF(wld_domain_chosen="Exclude","Cause: Not Selected. Workload domain will not be deployed","Workload Domain will be deployed")))))))))</f>
        <v>Cause: Minimum Number of hosts must be selected</v>
      </c>
    </row>
    <row r="11" spans="1:10" ht="20" customHeight="1" x14ac:dyDescent="0.2">
      <c r="B11" s="301" t="s">
        <v>13</v>
      </c>
      <c r="C11" s="65" t="s">
        <v>662</v>
      </c>
      <c r="D11" s="140" t="str">
        <f>IF(mgmt_domain_deployment_type_chosen="VMware vSphere Foundation","Excluded",
IF(wld_domain_chosen="Deploy infrastructure only","Excluded",
IF(AND(vcf_granular_option_chosen&lt;&gt;"Deploy a new VCF fleet",vcf_granular_option_chosen&lt;&gt;"Deploy a VCF Instance in an existing VCF fleet",vcf_granular_option_chosen&lt;&gt;"Create Workload Domain"),"Excluded",
IF(wld_compute_hosts_per_rack_chosen="Exclude","Excluded",
IF(AND(wld_domain_chosen="Deploy Workload Domain with a Multi-Rack Layer 3 Cluster",wld_multi_rack_count_chosen="Exclude"),"Excluded",
IF(wld_compute_total_number_hosts&gt;64,"Excluded",
IF(wld_compute_total_number_hosts&lt;2,"Excluded","Included")))))))</f>
        <v>Excluded</v>
      </c>
      <c r="E11" s="8" t="str">
        <f>IF(vcf_granular_option_chosen="None Chosen","No Deployment Type Chosen",
IF(wld_domain_chosen="Deploy infrastructure only","Number of Compute Hosts not required",
IF(AND(wld_domain_chosen&lt;&gt;"Deploy Workload Domain with a Single-Rack / Multi-Rack Layer 2 Cluster",wld_domain_chosen&lt;&gt;"Deploy Workload Domain with a Multi-Rack Layer 3 Cluster"),"Cause: Standard Workload Domain Required",
IF(wld_domain_chosen="Import Workload Domain","Feature not supported for Imported Workload Domains",
IF(AND(vcf_granular_option_chosen&lt;&gt;"Deploy a new VCF fleet",vcf_granular_option_chosen&lt;&gt;"Deploy a VCF Instance in an existing VCF fleet",vcf_granular_option_chosen&lt;&gt;"Create Workload Domain"),"Option Not Required for current deployment type",
IF(wld_compute_hosts_per_rack_chosen="Exclude","Required: Minimum Number of hosts must be selected",
IF(AND(OR(wld_principal_storage_chosen="vSAN-ESA",wld_principal_storage_chosen="vSAN-OSA"),wld_compute_total_number_hosts&lt;3,wld_domain_chosen="Deploy Workload Domain with a Single-Rack / Multi-Rack Layer 2 Cluster"),"Cause: Minimum number of hosts for storage type not selected",
IF(AND(OR(wld_principal_storage_chosen="NFSv3",wld_principal_storage_chosen="VMFS on Fibre Channel (FC)"),wld_compute_total_number_hosts&lt;2),"Cause: Minimum number of hosts for storage type not selected",
IF(wld_domain_chosen="Deploy Workload Domain with a Single-Rack / Multi-Rack Layer 2 Cluster",CONCATENATE(wld_compute_hosts_per_rack_chosen," Hosts will be configured in the inital cluster"),
IF(wld_multi_rack_count_chosen="Exclude","Cause Number of Racks not selected",
IF(AND(wld_multirack_calc="Include",wld_multirack_result="Excluded"),"Cause: Multi Rack prerequistes not set. Define the number of additional racks.",
IF(wld_multirack_calc="Exclude","Cause: Multi Rack not enabled",
IF(PRODUCT(wld_multi_rack_count_chosen,wld_compute_hosts_per_rack_chosen)&gt;64,CONCATENATE("Cause: Max number of Hosts per Cluster is 64. ",PRODUCT(wld_multi_rack_count_chosen+1,wld_compute_hosts_per_rack_chosen)," Hosts currenty defined for the Compute vSphere Cluster "),
IF(wld_compute_total_number_hosts&lt;3,CONCATENATE("Cause: Min number of Hosts per Cluster is 3. ",wld_compute_total_number_hosts," Hosts currenty defined for the Compute vSphere Cluster "),CONCATENATE(PRODUCT(wld_multi_rack_count_chosen+1,wld_compute_hosts_per_rack_chosen)," Hosts defined for configuration in the Compute vSphere Cluster ")))))))))))))))</f>
        <v>Cause: Standard Workload Domain Required</v>
      </c>
    </row>
    <row r="12" spans="1:10" ht="20" customHeight="1" x14ac:dyDescent="0.2">
      <c r="B12" s="301" t="s">
        <v>13</v>
      </c>
      <c r="C12" s="65" t="s">
        <v>663</v>
      </c>
      <c r="D12" s="140" t="str">
        <f>IF(mgmt_domain_deployment_type_chosen="VMware vSphere Foundation","Excluded",
IF(AND(vcf_granular_option_chosen&lt;&gt;"Deploy a new VCF fleet",vcf_granular_option_chosen&lt;&gt;"Deploy a VCF Instance in an existing VCF fleet",vcf_granular_option_chosen&lt;&gt;"Create Workload Domain",vcf_granular_option_chosen&lt;&gt;"Create Cluster"),"Excluded",
IF(wld_domain_chosen="Deploy Workload Domain with a Single-Rack / Multi-Rack Layer 2 Cluster","Excluded",
IF(wld_multirack_result="Excluded","Excluded",IF(wld_multi_rack_count_chosen="Exclude","Excluded","Included")))))</f>
        <v>Excluded</v>
      </c>
      <c r="E12" s="8" t="str">
        <f>IF(vcf_granular_option_chosen="None Chosen","No Deployment Type Chosen",
IF(wld_domain_chosen="Deploy infrastructure only","Option Not Required for current deployment type",
IF(AND(wld_domain_chosen&lt;&gt;"Deploy Workload Domain with a Single-Rack / Multi-Rack Layer 2 Cluster",wld_domain_chosen&lt;&gt;"Deploy Workload Domain with a Multi-Rack Layer 3 Cluster"),"Cause: Standard Workload Domain Required",
IF(wld_domain_chosen="Import Workload Domain","Feature not supported for Imported Workload Domains",
IF(wld_domain_chosen="Deploy Workload Domain with a Single-Rack / Multi-Rack Layer 2 Cluster","Not Required: Completing the additional Rack Tab is only required for Layer 3 Multirack deployments",
IF(AND(vcf_granular_option_chosen&lt;&gt;"Deploy a new VCF fleet",vcf_granular_option_chosen&lt;&gt;"Deploy a VCF Instance in an existing VCF fleet",vcf_granular_option_chosen&lt;&gt;"Create Workload Domain"),"Option Not Required for current deployment type",
IF(wld_multirack_calc="Exclude","Cause: Multi Rack not enabled",
IF(wld_multi_rack_count_chosen="Exclude","Required: Minimum Number of additional racks must be selected",
IF(wld_multirack_result="Excluded","Cause: Multi Rack prerequistes not defined",IF(wld_multi_rack_count_chosen="Exclude","Cause: Number of additonal racks not selected","Multi Rack Configuration will be deployed"))))))))))</f>
        <v>Cause: Standard Workload Domain Required</v>
      </c>
    </row>
    <row r="13" spans="1:10" ht="20" customHeight="1" x14ac:dyDescent="0.2">
      <c r="B13" s="66" t="s">
        <v>13</v>
      </c>
      <c r="C13" s="65" t="s">
        <v>664</v>
      </c>
      <c r="D13" s="8" t="str">
        <f>IF(mgmt_domain_deployment_type_chosen="VMware vSphere Foundation","Excluded",IF((wld_domain_result="Excluded"),"Excluded",IF(wld_dpg_separation_chosen="Exclude","Excluded","Included")))</f>
        <v>Excluded</v>
      </c>
      <c r="E13" s="8" t="str">
        <f>IF(mgmt_domain_deployment_type_chosen="VMware vSphere Foundation","Cannot be performed on a VMware vSphere Foundation deployment",
IF(AND(wld_domain_chosen&lt;&gt;"Deploy Workload Domain with a Single-Rack / Multi-Rack Layer 2 Cluster",wld_domain_chosen&lt;&gt;"Deploy Workload Domain with a Multi-Rack Layer 3 Cluster",wld_domain_chosen&lt;&gt;"Deploy infrastructure only"),"Cause: Standard Workload Domain Required",
IF(AND(vcf_granular_option_chosen&lt;&gt;"Deploy a new VCF fleet",vcf_granular_option_chosen&lt;&gt;"Deploy a VCF Instance in an existing VCF fleet",vcf_granular_option_chosen&lt;&gt;"Create Workload Domain"),"Option Not Required for current deployment type",
IF(wld_domain_chosen="Import Workload Domain","Feature not supported for Imported Workload Domains",
IF(wld_domain_chosen="Import Workload Domain","Feature not supported for Imported Workload Domains",
IF(wld_dpg_separation_chosen="Exclude","Cause: Not Selected. A Common Distributed Virtual Portgroups will be used for Managment VMs and ESXi Hosts",IF(wld_domain_result="Excluded","Cause: Standard Workload Domain Required",
IF(vcf_granular_option_chosen="None Chosen","No Deployment Type Chosen",
IF(vcf_version_chosen="No Version Selected","Cause: VCF Deployment version is not Selected","Separation of Distributed Virtual Portgroup will be used")))))))))</f>
        <v>Cause: Standard Workload Domain Required</v>
      </c>
    </row>
    <row r="14" spans="1:10" ht="20" customHeight="1" x14ac:dyDescent="0.2">
      <c r="B14" s="176" t="s">
        <v>665</v>
      </c>
      <c r="C14" s="65" t="s">
        <v>666</v>
      </c>
      <c r="D14" s="8" t="str">
        <f>IF(mgmt_domain_deployment_type_chosen="VMware vSphere Foundation","Excluded",IF(wld_domain_chosen="Import Workload Domain","Excluded",
IF(wld_domain_chosen="Deploy infrastructure only","Excluded",
IF((wld_domain_result="Excluded"),"Excluded",
IF(AND(wld_multirack_calc="Include",AND(wld_principal_storage_chosen&lt;&gt;"vSAN-ESA",wld_principal_storage_chosen&lt;&gt;"vSAN-OSA",wld_principal_storage_chosen&lt;&gt;"vSAN Compute Cluster")),"Excluded",
IF(vcf_version_chosen="No Version Selected","Excluded","Included"))))))</f>
        <v>Excluded</v>
      </c>
      <c r="E14" s="8" t="str">
        <f>IF(mgmt_domain_deployment_type_chosen="VMware vSphere Foundation","Cannot be performed on a VMware vSphere Foundation deployment",
IF(wld_domain_chosen="Deploy infrastructure only","Option Not Required for current deployment type",
IF(AND(wld_domain_chosen&lt;&gt;"Deploy Workload Domain with a Single-Rack / Multi-Rack Layer 2 Cluster",wld_domain_chosen&lt;&gt;"Deploy Workload Domain with a Multi-Rack Layer 3 Cluster"),"Cause: Standard Workload Domain Required",
IF(AND(vcf_granular_option_chosen&lt;&gt;"Deploy a new VCF fleet",vcf_granular_option_chosen&lt;&gt;"Deploy a VCF Instance in an existing VCF fleet",vcf_granular_option_chosen&lt;&gt;"Create Workload Domain"),"Option Not Required for current deployment type",
IF(wld_domain_chosen="Import Workload Domain","Feature not supported for Imported Workload Domains",
IF(wld_principal_storage_chosen="vSAN-ESA","Principal Storage will be vSAN-ESA based.",
IF(wld_principal_storage_chosen="vSAN-OSA","Principal Storage will be vSAN-OSA based. This can be used as a HCI Mesh vSAN Server Cluster",
IF(wld_principal_storage_chosen="vSAN Storage Cluster","Cluster will be created a vSAN Storage Cluster.",
IF(AND(wld_multirack_calc="Include",AND(wld_principal_storage_chosen&lt;&gt;"vSAN-ESA",wld_principal_storage_chosen&lt;&gt;"vSAN-OSA",wld_principal_storage_chosen&lt;&gt;"vSAN Compute Cluster")),"Cause: Multi Rack Configuration is only supported with vSAN as Principal Storage or with vSAN Compute Clusters",
IF(wld_principal_storage_chosen="NFSv3","Principal Storage will be NFS based",
IF(wld_principal_storage_chosen="VMFS on Fibre Channel (FC)","Principal Storage will be VMFS on FC based","")))))))))))</f>
        <v>Cause: Standard Workload Domain Required</v>
      </c>
    </row>
    <row r="15" spans="1:10" ht="20" customHeight="1" x14ac:dyDescent="0.2">
      <c r="B15" s="101" t="s">
        <v>242</v>
      </c>
      <c r="C15" s="65" t="s">
        <v>667</v>
      </c>
      <c r="D15" s="99" t="str">
        <f>IF((wld_domain_result="Excluded"),"Excluded",
IF(wld_domain_chosen="Deploy infrastructure only","Excluded",
IF(wld_domain_chosen="Import Workload Domain","Excluded","Included")))</f>
        <v>Excluded</v>
      </c>
      <c r="E15" s="140" t="str">
        <f>IF(wld_domain_chosen="Deploy infrastructure only","Option Not Required for current deployment type",
IF(AND(wld_domain_chosen&lt;&gt;"Deploy Workload Domain with a Single-Rack / Multi-Rack Layer 2 Cluster",wld_domain_chosen&lt;&gt;"Deploy Workload Domain with a Multi-Rack Layer 3 Cluster"),"Cause: Standard Workload Domain Required",
IF(AND(vcf_granular_option_chosen&lt;&gt;"Deploy a new VCF fleet",vcf_granular_option_chosen&lt;&gt;"Deploy a VCF Instance in an existing VCF fleet",vcf_granular_option_chosen&lt;&gt;"Create Workload Domain"),"Option Not Required for current deployment type",
IF(wld_domain_chosen="Import Workload Domain","Feature not supported for Imported Workload Domains",
IF(wld_az1_reuse_vcf_networkpool_chosen="Re-use an existing VCF Network Pool","The exsiting VCF Network Pool will be reused","A new VCF Network Pool will be created")))))</f>
        <v>Cause: Standard Workload Domain Required</v>
      </c>
    </row>
    <row r="16" spans="1:10" ht="20" customHeight="1" x14ac:dyDescent="0.2">
      <c r="B16" s="116" t="s">
        <v>13</v>
      </c>
      <c r="C16" s="65" t="str">
        <f>IF(wld_principal_storage_chosen="vSAN Storage Cluster","Prepare vSAN Storage Cluster with a vSAN Client Network","Prepare Workload Domain with a Secondary Storage Network")</f>
        <v>Prepare Workload Domain with a Secondary Storage Network</v>
      </c>
      <c r="D16" s="140" t="str">
        <f>IF(mgmt_domain_deployment_type_chosen="VMware vSphere Foundation","Excluded",
IF(wld_domain_result="Excluded","Excluded",
IF(OR(AND(wld_principal_storage_chosen="NFSv3",wld_secondary_storage_chosen="Secondary NFS Storage Network"),AND(wld_principal_storage_chosen="vVOLS on NFS",wld_secondary_storage_chosen="Secondary NFS Storage Network")),"Excluded",
IF(AND(wld_secondary_storage_chosen="Secondary NFS Storage Network",wld_principal_storage_chosen="vSAN Storage Cluster"),"Excluded",
IF(AND(wld_secondary_storage_chosen="vSAN Storage Client Network",wld_principal_storage_chosen&lt;&gt;"vSAN Storage Cluster"),"Excluded",
IF(wld_secondary_storage_chosen="Exclude","Excluded","Included"))))))</f>
        <v>Excluded</v>
      </c>
      <c r="E16" s="140" t="str">
        <f>IF(mgmt_domain_deployment_type_chosen="VMware vSphere Foundation","Cannot be performed on a VMware vSphere Foundation deployment",
IF(wld_domain_chosen="Deploy infrastructure only","Option Not Required for current deployment type",
IF(AND(wld_domain_chosen&lt;&gt;"Deploy Workload Domain with a Single-Rack / Multi-Rack Layer 2 Cluster",wld_domain_chosen&lt;&gt;"Deploy Workload Domain with a Multi-Rack Layer 3 Cluster"),"Cause: Standard Workload Domain Required",IF(wld_domain_chosen="Import Workload Domain","Feature not supported for Imported Workload Domains",
IF(AND(vcf_granular_option_chosen&lt;&gt;"Deploy a new VCF fleet",vcf_granular_option_chosen&lt;&gt;"Deploy a VCF Instance in an existing VCF fleet",vcf_granular_option_chosen&lt;&gt;"Create Workload Domain"),"Option Not Required for current deployment type",
IF(wld_secondary_storage_chosen="Exclude","Cause: Not Selected. Workload Domain will not be prepared with Secondary Storage Network",
IF(wld_domain_result="Excluded","Cause: Standard Workload Domain Required",
IF(AND(wld_principal_storage_chosen="NFSv3",wld_secondary_storage_chosen="Secondary NFS Storage Network"),"Secondary Storage NFS configuration not required as Principal Storage is NFS based",
IF(AND(wld_secondary_storage_chosen="Secondary NFS Storage Network",wld_principal_storage_chosen="vSAN Storage Cluster"),"Secondary Storage NFS configuration not required as Principal Storage is vSAN Storage Cluster",
IF(AND(wld_secondary_storage_chosen="vSAN Storage Client Network",wld_principal_storage_chosen&lt;&gt;"vSAN Storage Cluster"),"vSAN Storage Client Network is only supported with vSAN Storage Clusters",CONCATENATE("Workload Domain will be prepared with a ",wld_secondary_storage_chosen)))))))))))</f>
        <v>Cause: Standard Workload Domain Required</v>
      </c>
    </row>
    <row r="17" spans="2:7" ht="20" customHeight="1" x14ac:dyDescent="0.2">
      <c r="B17" s="177" t="s">
        <v>13</v>
      </c>
      <c r="C17" s="65" t="s">
        <v>668</v>
      </c>
      <c r="D17" s="140" t="str">
        <f>IF(wld_domain_result="Excluded","Excluded",
IF(mgmt_domain_deployment_type_chosen="VMware vSphere Foundation","Excluded",IF(wld_esxi_external_certs_chosen="Include","Included","Excluded")))</f>
        <v>Excluded</v>
      </c>
      <c r="E17" s="140" t="str">
        <f>IF(mgmt_domain_deployment_type_chosen="VMware vSphere Foundation","Cannot be performed on a VMware vSphere Foundation deployment",
IF(wld_domain_chosen="Deploy infrastructure only","Option Not Required for current deployment type",
IF(AND(wld_domain_chosen&lt;&gt;"Deploy Workload Domain with a Single-Rack / Multi-Rack Layer 2 Cluster",wld_domain_chosen&lt;&gt;"Deploy Workload Domain with a Multi-Rack Layer 3 Cluster"),"Cause: Standard Workload Domain Required",
IF(AND(vcf_granular_option_chosen&lt;&gt;"Deploy a new VCF fleet",vcf_granular_option_chosen&lt;&gt;"Deploy a VCF Instance in an existing VCF fleet",vcf_granular_option_chosen&lt;&gt;"Create Workload Domain"),"Option Not Required for current deployment type",
IF(wld_domain_chosen="Import Workload Domain","Feature not supported for Imported Workload Domains",
IF(wld_esxi_external_certs_chosen="Exclude","Cause: Not Selected. Workload domain will be deployed using hosts with VMCA-signed certificates",
IF(wld_esxi_external_certs_chosen="Include","Note: Ensure Management Domain is deployed using ESX hosts with External Certificates",IF(wld_domain_result="Excluded","Cause: Standard Workload Domain Required"))))))))</f>
        <v>Cause: Standard Workload Domain Required</v>
      </c>
    </row>
    <row r="18" spans="2:7" ht="20" customHeight="1" x14ac:dyDescent="0.2">
      <c r="B18" s="116" t="s">
        <v>13</v>
      </c>
      <c r="C18" s="65" t="s">
        <v>669</v>
      </c>
      <c r="D18" s="140" t="str">
        <f>IF(mgmt_domain_deployment_type_chosen="VMware vSphere Foundation","Excluded",
IF(wld_domain_result="Excluded","Excluded",
IF(wld_stretched_cluster_chosen="Include","Excluded",
IF(wld_iaas_chosen="Include","Included","Excluded"))))</f>
        <v>Excluded</v>
      </c>
      <c r="E18" s="140" t="str">
        <f>IF(mgmt_domain_deployment_type_chosen="VMware vSphere Foundation","Cannot be performed on a VMware vSphere Foundation deployment",
IF(wld_domain_chosen="Deploy infrastructure only","Option Not Required for current deployment type",
IF(AND(wld_domain_chosen&lt;&gt;"Deploy Workload Domain with a Single-Rack / Multi-Rack Layer 2 Cluster",wld_domain_chosen&lt;&gt;"Deploy Workload Domain with a Multi-Rack Layer 3 Cluster"),"Cause: Standard Workload Domain Required",
IF(AND(vcf_granular_option_chosen&lt;&gt;"Deploy a new VCF fleet",vcf_granular_option_chosen&lt;&gt;"Deploy a VCF Instance in an existing VCF fleet",vcf_granular_option_chosen&lt;&gt;"Create Workload Domain"),"Option Not Required for current deployment type",
IF(wld_domain_chosen="Import Workload Domain","Feature not supported for Imported Workload Domains",
IF(AND(wld_iaas_chosen="Include",wld_stretched_cluster_chosen="Include"),"Cause: vSphere Supervisor should be enabled after the you completed the stretched cluster configuration",
IF(wld_iaas_chosen="Exclude","Cause: Not Selected. vSphere Supervisor Cluster will not be abled during Workload Domain Deployment","Only Single Management Zone vSphere Supervisor with NSX VPC Networking can be deployed during WLD Creation")))))))</f>
        <v>Cause: Standard Workload Domain Required</v>
      </c>
      <c r="G18" s="36"/>
    </row>
    <row r="19" spans="2:7" ht="16" customHeight="1" x14ac:dyDescent="0.2">
      <c r="G19" s="36"/>
    </row>
    <row r="20" spans="2:7" ht="34" customHeight="1" x14ac:dyDescent="0.2">
      <c r="B20" s="427" t="s">
        <v>3992</v>
      </c>
      <c r="C20" s="428"/>
      <c r="D20" s="428"/>
      <c r="E20" s="429"/>
      <c r="G20" s="36"/>
    </row>
    <row r="21" spans="2:7" ht="20" customHeight="1" x14ac:dyDescent="0.2">
      <c r="B21" s="424" t="s">
        <v>670</v>
      </c>
      <c r="C21" s="425"/>
      <c r="D21" s="425"/>
      <c r="E21" s="426"/>
      <c r="G21" s="36"/>
    </row>
    <row r="22" spans="2:7" ht="20" customHeight="1" x14ac:dyDescent="0.2">
      <c r="B22" s="63" t="s">
        <v>18</v>
      </c>
      <c r="C22" s="63" t="s">
        <v>19</v>
      </c>
      <c r="D22" s="63" t="s">
        <v>20</v>
      </c>
      <c r="E22" s="63" t="s">
        <v>21</v>
      </c>
      <c r="G22" s="36"/>
    </row>
    <row r="23" spans="2:7" ht="20" customHeight="1" x14ac:dyDescent="0.2">
      <c r="B23" s="4" t="s">
        <v>671</v>
      </c>
      <c r="C23" s="109" t="str">
        <f>CONCATENATE(this_instance,"-w0",wld_domain_number_chosen)</f>
        <v>sfo-w01</v>
      </c>
      <c r="D23" s="66"/>
      <c r="E23" s="34" t="str">
        <f>IF(wld_domain_chosen="Import Workload Domain","Use this section for Import Workload Domain.",
IF(wld_domain_chosen="Exclude","","This section is masked out as is used for section for Import Workload Domain. Use the Deploy Workload section below"))</f>
        <v/>
      </c>
      <c r="G23" s="36"/>
    </row>
    <row r="24" spans="2:7" ht="16" customHeight="1" x14ac:dyDescent="0.2">
      <c r="G24" s="36"/>
    </row>
    <row r="25" spans="2:7" ht="34" customHeight="1" x14ac:dyDescent="0.2">
      <c r="B25" s="427" t="s">
        <v>672</v>
      </c>
      <c r="C25" s="428"/>
      <c r="D25" s="428"/>
      <c r="E25" s="429"/>
      <c r="G25" s="36"/>
    </row>
    <row r="26" spans="2:7" ht="20" customHeight="1" x14ac:dyDescent="0.2">
      <c r="B26" s="424" t="s">
        <v>670</v>
      </c>
      <c r="C26" s="425"/>
      <c r="D26" s="425"/>
      <c r="E26" s="426"/>
      <c r="G26" s="36"/>
    </row>
    <row r="27" spans="2:7" ht="20" customHeight="1" x14ac:dyDescent="0.2">
      <c r="B27" s="63" t="s">
        <v>18</v>
      </c>
      <c r="C27" s="63" t="s">
        <v>19</v>
      </c>
      <c r="D27" s="63" t="s">
        <v>20</v>
      </c>
      <c r="E27" s="63" t="s">
        <v>21</v>
      </c>
      <c r="G27" s="36"/>
    </row>
    <row r="28" spans="2:7" ht="20" customHeight="1" x14ac:dyDescent="0.2">
      <c r="B28" s="4" t="s">
        <v>673</v>
      </c>
      <c r="C28" s="109" t="s">
        <v>674</v>
      </c>
      <c r="D28" s="66" t="s">
        <v>674</v>
      </c>
      <c r="E28" s="411" t="str">
        <f>IF(wld_domain_chosen="Import Workload Domain","Use this section for Import Workload Domain.",
IF(wld_domain_chosen="Exclude","","This section is masked out as is used for section for Import Workload Domain. Use the Deploy Workload section below"))</f>
        <v/>
      </c>
      <c r="G28" s="36"/>
    </row>
    <row r="29" spans="2:7" ht="20" customHeight="1" x14ac:dyDescent="0.2">
      <c r="B29" s="4" t="s">
        <v>714</v>
      </c>
      <c r="C29" s="109" t="str">
        <f>CONCATENATE(this_instance,"-w0",wld_domain_number_chosen,"-vc01",".",sample_child_dns_zone)</f>
        <v>sfo-w01-vc01.sfo.rainpole.io</v>
      </c>
      <c r="D29" s="66"/>
      <c r="E29" s="42"/>
      <c r="G29" s="36"/>
    </row>
    <row r="30" spans="2:7" ht="20" customHeight="1" x14ac:dyDescent="0.2">
      <c r="B30" s="4" t="s">
        <v>676</v>
      </c>
      <c r="C30" s="109" t="s">
        <v>139</v>
      </c>
      <c r="D30" s="66"/>
      <c r="E30" s="178"/>
      <c r="G30" s="36"/>
    </row>
    <row r="31" spans="2:7" ht="20" customHeight="1" x14ac:dyDescent="0.2">
      <c r="B31" s="4" t="s">
        <v>677</v>
      </c>
      <c r="C31" s="109" t="str">
        <f>CONCATENATE("administrator@",this_instance,"-w0",wld_domain_number_chosen,".local")</f>
        <v>administrator@sfo-w01.local</v>
      </c>
      <c r="D31" s="66"/>
      <c r="E31" s="178"/>
      <c r="G31" s="36"/>
    </row>
    <row r="32" spans="2:7" ht="20" customHeight="1" x14ac:dyDescent="0.2">
      <c r="B32" s="4" t="s">
        <v>678</v>
      </c>
      <c r="C32" s="109" t="s">
        <v>139</v>
      </c>
      <c r="D32" s="66"/>
      <c r="E32" s="178"/>
      <c r="G32" s="36"/>
    </row>
    <row r="33" spans="2:7" ht="20" customHeight="1" x14ac:dyDescent="0.2">
      <c r="B33" s="4" t="s">
        <v>679</v>
      </c>
      <c r="C33" s="109" t="s">
        <v>156</v>
      </c>
      <c r="D33" s="66" t="s">
        <v>156</v>
      </c>
      <c r="E33" s="178"/>
      <c r="G33" s="36"/>
    </row>
    <row r="34" spans="2:7" ht="16" customHeight="1" x14ac:dyDescent="0.2"/>
    <row r="35" spans="2:7" ht="34" customHeight="1" x14ac:dyDescent="0.2">
      <c r="B35" s="427" t="s">
        <v>680</v>
      </c>
      <c r="C35" s="428"/>
      <c r="D35" s="428"/>
      <c r="E35" s="429"/>
    </row>
    <row r="36" spans="2:7" ht="20" customHeight="1" x14ac:dyDescent="0.2">
      <c r="B36" s="424" t="s">
        <v>681</v>
      </c>
      <c r="C36" s="425"/>
      <c r="D36" s="425"/>
      <c r="E36" s="426"/>
    </row>
    <row r="37" spans="2:7" ht="20" customHeight="1" x14ac:dyDescent="0.2">
      <c r="B37" s="63" t="s">
        <v>18</v>
      </c>
      <c r="C37" s="63" t="s">
        <v>19</v>
      </c>
      <c r="D37" s="63" t="s">
        <v>20</v>
      </c>
      <c r="E37" s="63" t="s">
        <v>21</v>
      </c>
      <c r="G37" s="36"/>
    </row>
    <row r="38" spans="2:7" ht="20" customHeight="1" x14ac:dyDescent="0.2">
      <c r="B38" s="23" t="s">
        <v>682</v>
      </c>
      <c r="C38" s="65" t="s">
        <v>683</v>
      </c>
      <c r="D38" s="66" t="s">
        <v>683</v>
      </c>
      <c r="E38" s="411" t="str">
        <f>IF(wld_domain_chosen="Import Workload Domain","Use this section for Import Workload Domain.",
IF(wld_domain_chosen="Exclude","","This section is masked out as is used for section for Import Workload Domain. Use the Deploy Workload section below"))</f>
        <v/>
      </c>
    </row>
    <row r="39" spans="2:7" ht="20" customHeight="1" x14ac:dyDescent="0.2">
      <c r="B39" s="23" t="s">
        <v>684</v>
      </c>
      <c r="C39" s="65" t="s">
        <v>685</v>
      </c>
      <c r="D39" s="66" t="s">
        <v>685</v>
      </c>
      <c r="E39" s="42"/>
    </row>
    <row r="40" spans="2:7" ht="20" customHeight="1" x14ac:dyDescent="0.2">
      <c r="B40" s="23" t="s">
        <v>686</v>
      </c>
      <c r="C40" s="65" t="s">
        <v>92</v>
      </c>
      <c r="D40" s="66" t="s">
        <v>92</v>
      </c>
      <c r="E40" s="42"/>
    </row>
    <row r="41" spans="2:7" ht="20" customHeight="1" x14ac:dyDescent="0.2">
      <c r="B41" s="23" t="s">
        <v>687</v>
      </c>
      <c r="C41" s="154" t="str">
        <f>CONCATENATE(this_instance,"-w0",wld_domain_number_chosen,"-nsx01a",".",sample_child_dns_zone)</f>
        <v>sfo-w01-nsx01a.sfo.rainpole.io</v>
      </c>
      <c r="D41" s="66"/>
      <c r="E41" s="8" t="s">
        <v>688</v>
      </c>
    </row>
    <row r="42" spans="2:7" ht="20" customHeight="1" x14ac:dyDescent="0.2">
      <c r="B42" s="23" t="s">
        <v>689</v>
      </c>
      <c r="C42" s="154" t="str">
        <f>CONCATENATE(this_instance,"-w0",wld_domain_number_chosen,"-nsx01b",".",sample_child_dns_zone)</f>
        <v>sfo-w01-nsx01b.sfo.rainpole.io</v>
      </c>
      <c r="D42" s="66"/>
      <c r="E42" s="8" t="s">
        <v>690</v>
      </c>
    </row>
    <row r="43" spans="2:7" ht="20" customHeight="1" x14ac:dyDescent="0.2">
      <c r="B43" s="23" t="s">
        <v>691</v>
      </c>
      <c r="C43" s="154" t="str">
        <f>CONCATENATE(this_instance,"-w0",wld_domain_number_chosen,"-nsx01c",".",sample_child_dns_zone)</f>
        <v>sfo-w01-nsx01c.sfo.rainpole.io</v>
      </c>
      <c r="D43" s="66"/>
      <c r="E43" s="8" t="s">
        <v>692</v>
      </c>
    </row>
    <row r="44" spans="2:7" ht="20" customHeight="1" x14ac:dyDescent="0.2">
      <c r="B44" s="23" t="s">
        <v>693</v>
      </c>
      <c r="C44" s="154" t="str">
        <f>CONCATENATE(this_instance,"-w0",wld_domain_number_chosen,"-nsx01",".",sample_child_dns_zone)</f>
        <v>sfo-w01-nsx01.sfo.rainpole.io</v>
      </c>
      <c r="D44" s="66"/>
      <c r="E44" s="8" t="s">
        <v>694</v>
      </c>
      <c r="G44" s="36"/>
    </row>
    <row r="45" spans="2:7" ht="20" customHeight="1" x14ac:dyDescent="0.2">
      <c r="B45" s="4" t="s">
        <v>695</v>
      </c>
      <c r="C45" s="109" t="s">
        <v>156</v>
      </c>
      <c r="D45" s="66" t="s">
        <v>156</v>
      </c>
      <c r="E45" s="8" t="s">
        <v>696</v>
      </c>
    </row>
    <row r="46" spans="2:7" ht="20" customHeight="1" x14ac:dyDescent="0.2">
      <c r="B46" s="23" t="s">
        <v>697</v>
      </c>
      <c r="C46" s="65" t="s">
        <v>156</v>
      </c>
      <c r="D46" s="66" t="s">
        <v>156</v>
      </c>
      <c r="E46" s="8" t="s">
        <v>698</v>
      </c>
    </row>
    <row r="47" spans="2:7" ht="20" customHeight="1" x14ac:dyDescent="0.2">
      <c r="B47" s="23" t="s">
        <v>699</v>
      </c>
      <c r="C47" s="65" t="s">
        <v>142</v>
      </c>
      <c r="D47" s="66" t="s">
        <v>142</v>
      </c>
      <c r="E47" s="8"/>
    </row>
    <row r="48" spans="2:7" ht="20" customHeight="1" x14ac:dyDescent="0.2">
      <c r="B48" s="4" t="s">
        <v>700</v>
      </c>
      <c r="C48" s="109" t="s">
        <v>139</v>
      </c>
      <c r="D48" s="66"/>
      <c r="E48" s="8" t="s">
        <v>194</v>
      </c>
    </row>
    <row r="49" spans="2:7" ht="20" customHeight="1" x14ac:dyDescent="0.2">
      <c r="B49" s="4" t="s">
        <v>701</v>
      </c>
      <c r="C49" s="109" t="s">
        <v>139</v>
      </c>
      <c r="D49" s="66"/>
      <c r="E49" s="8" t="s">
        <v>194</v>
      </c>
    </row>
    <row r="50" spans="2:7" ht="20" customHeight="1" x14ac:dyDescent="0.2">
      <c r="B50" s="4" t="s">
        <v>702</v>
      </c>
      <c r="C50" s="109" t="s">
        <v>139</v>
      </c>
      <c r="D50" s="66"/>
      <c r="E50" s="8" t="s">
        <v>194</v>
      </c>
      <c r="G50" s="36"/>
    </row>
    <row r="51" spans="2:7" ht="16" customHeight="1" x14ac:dyDescent="0.2">
      <c r="G51" s="36"/>
    </row>
    <row r="52" spans="2:7" ht="34" customHeight="1" x14ac:dyDescent="0.2">
      <c r="B52" s="610" t="s">
        <v>3993</v>
      </c>
      <c r="C52" s="611"/>
      <c r="D52" s="611"/>
      <c r="E52" s="612"/>
      <c r="G52" s="36"/>
    </row>
    <row r="53" spans="2:7" ht="20" customHeight="1" x14ac:dyDescent="0.2"/>
    <row r="54" spans="2:7" ht="36" customHeight="1" x14ac:dyDescent="0.2">
      <c r="B54" s="569" t="s">
        <v>703</v>
      </c>
      <c r="C54" s="570"/>
      <c r="D54" s="570"/>
      <c r="E54" s="571"/>
    </row>
    <row r="55" spans="2:7" ht="20" customHeight="1" x14ac:dyDescent="0.2">
      <c r="B55" s="424"/>
      <c r="C55" s="425"/>
      <c r="D55" s="425"/>
      <c r="E55" s="426"/>
    </row>
    <row r="56" spans="2:7" ht="20" customHeight="1" x14ac:dyDescent="0.2">
      <c r="B56" s="63" t="s">
        <v>18</v>
      </c>
      <c r="C56" s="63" t="s">
        <v>19</v>
      </c>
      <c r="D56" s="63" t="s">
        <v>20</v>
      </c>
      <c r="E56" s="63" t="s">
        <v>21</v>
      </c>
    </row>
    <row r="57" spans="2:7" ht="20" customHeight="1" x14ac:dyDescent="0.2">
      <c r="B57" s="424" t="s">
        <v>206</v>
      </c>
      <c r="C57" s="425"/>
      <c r="D57" s="425"/>
      <c r="E57" s="426"/>
    </row>
    <row r="58" spans="2:7" ht="20" customHeight="1" x14ac:dyDescent="0.2">
      <c r="B58" s="4" t="s">
        <v>85</v>
      </c>
      <c r="C58" s="103" t="str">
        <f>CONCATENATE(prefix_wld_az1_vlan,"11")</f>
        <v>1311</v>
      </c>
      <c r="D58" s="66"/>
      <c r="E58" s="113"/>
    </row>
    <row r="59" spans="2:7" ht="20" customHeight="1" x14ac:dyDescent="0.2">
      <c r="B59" s="4" t="s">
        <v>157</v>
      </c>
      <c r="C59" s="103">
        <v>1500</v>
      </c>
      <c r="D59" s="66"/>
      <c r="E59" s="42"/>
    </row>
    <row r="60" spans="2:7" ht="20" customHeight="1" x14ac:dyDescent="0.2">
      <c r="B60" s="4" t="s">
        <v>3686</v>
      </c>
      <c r="C60" s="103" t="str">
        <f>CONCATENATE(prefix_wld_az1_cidr,"11.1/24")</f>
        <v>10.13.11.1/24</v>
      </c>
      <c r="D60" s="66"/>
      <c r="E60" s="113"/>
    </row>
    <row r="61" spans="2:7" ht="20" customHeight="1" x14ac:dyDescent="0.2">
      <c r="B61" s="556" t="s">
        <v>207</v>
      </c>
      <c r="C61" s="557"/>
      <c r="D61" s="557"/>
      <c r="E61" s="558"/>
    </row>
    <row r="62" spans="2:7" ht="20" customHeight="1" x14ac:dyDescent="0.2">
      <c r="B62" s="23" t="s">
        <v>208</v>
      </c>
      <c r="C62" s="109" t="str">
        <f>CONCATENATE(prefix_wld_az1_cidr,"11.101")</f>
        <v>10.13.11.101</v>
      </c>
      <c r="D62" s="66"/>
      <c r="E62" s="163" t="s">
        <v>209</v>
      </c>
    </row>
    <row r="63" spans="2:7" ht="20" customHeight="1" x14ac:dyDescent="0.2">
      <c r="B63" s="23" t="s">
        <v>210</v>
      </c>
      <c r="C63" s="109" t="str">
        <f>CONCATENATE(prefix_wld_az1_cidr,"11.102")</f>
        <v>10.13.11.102</v>
      </c>
      <c r="D63" s="66"/>
      <c r="E63" s="163" t="s">
        <v>211</v>
      </c>
    </row>
    <row r="64" spans="2:7" ht="20" customHeight="1" x14ac:dyDescent="0.2">
      <c r="B64" s="23" t="s">
        <v>212</v>
      </c>
      <c r="C64" s="109" t="str">
        <f>CONCATENATE(prefix_wld_az1_cidr,"11.103")</f>
        <v>10.13.11.103</v>
      </c>
      <c r="D64" s="66"/>
      <c r="E64" s="163" t="s">
        <v>704</v>
      </c>
    </row>
    <row r="65" spans="2:7" ht="20" customHeight="1" x14ac:dyDescent="0.2">
      <c r="B65" s="23" t="s">
        <v>214</v>
      </c>
      <c r="C65" s="109" t="str">
        <f>CONCATENATE(prefix_wld_az1_cidr,"11.104")</f>
        <v>10.13.11.104</v>
      </c>
      <c r="D65" s="66"/>
      <c r="E65" s="163" t="s">
        <v>215</v>
      </c>
    </row>
    <row r="66" spans="2:7" ht="20" customHeight="1" x14ac:dyDescent="0.2">
      <c r="B66" s="23" t="s">
        <v>216</v>
      </c>
      <c r="C66" s="109" t="str">
        <f>CONCATENATE(prefix_wld_az1_cidr,"11.105")</f>
        <v>10.13.11.105</v>
      </c>
      <c r="D66" s="66"/>
      <c r="E66" s="163" t="s">
        <v>217</v>
      </c>
    </row>
    <row r="67" spans="2:7" ht="20" customHeight="1" x14ac:dyDescent="0.2">
      <c r="B67" s="23" t="s">
        <v>218</v>
      </c>
      <c r="C67" s="109" t="str">
        <f>CONCATENATE(prefix_wld_az1_cidr,"11.106")</f>
        <v>10.13.11.106</v>
      </c>
      <c r="D67" s="66"/>
      <c r="E67" s="163" t="s">
        <v>219</v>
      </c>
    </row>
    <row r="68" spans="2:7" ht="20" customHeight="1" x14ac:dyDescent="0.2">
      <c r="B68" s="23" t="s">
        <v>220</v>
      </c>
      <c r="C68" s="109" t="str">
        <f>CONCATENATE(prefix_wld_az1_cidr,"11.107")</f>
        <v>10.13.11.107</v>
      </c>
      <c r="D68" s="66"/>
      <c r="E68" s="163" t="s">
        <v>221</v>
      </c>
    </row>
    <row r="69" spans="2:7" ht="20" customHeight="1" x14ac:dyDescent="0.2">
      <c r="B69" s="23" t="s">
        <v>222</v>
      </c>
      <c r="C69" s="109" t="str">
        <f>CONCATENATE(prefix_wld_az1_cidr,"11.108")</f>
        <v>10.13.11.108</v>
      </c>
      <c r="D69" s="66"/>
      <c r="E69" s="163" t="s">
        <v>223</v>
      </c>
    </row>
    <row r="70" spans="2:7" ht="20" customHeight="1" x14ac:dyDescent="0.2">
      <c r="B70" s="23" t="s">
        <v>224</v>
      </c>
      <c r="C70" s="109" t="str">
        <f>CONCATENATE(prefix_wld_az1_cidr,"11.109")</f>
        <v>10.13.11.109</v>
      </c>
      <c r="D70" s="66"/>
      <c r="E70" s="163" t="s">
        <v>225</v>
      </c>
    </row>
    <row r="71" spans="2:7" ht="20" customHeight="1" x14ac:dyDescent="0.2">
      <c r="B71" s="23" t="s">
        <v>226</v>
      </c>
      <c r="C71" s="109" t="str">
        <f>CONCATENATE(prefix_wld_az1_cidr,"11.110")</f>
        <v>10.13.11.110</v>
      </c>
      <c r="D71" s="66"/>
      <c r="E71" s="163" t="s">
        <v>227</v>
      </c>
    </row>
    <row r="72" spans="2:7" ht="20" customHeight="1" x14ac:dyDescent="0.2">
      <c r="B72" s="23" t="s">
        <v>228</v>
      </c>
      <c r="C72" s="109" t="str">
        <f>CONCATENATE(prefix_wld_az1_cidr,"11.111")</f>
        <v>10.13.11.111</v>
      </c>
      <c r="D72" s="66"/>
      <c r="E72" s="163" t="s">
        <v>229</v>
      </c>
    </row>
    <row r="73" spans="2:7" ht="20" customHeight="1" x14ac:dyDescent="0.2">
      <c r="B73" s="23" t="s">
        <v>230</v>
      </c>
      <c r="C73" s="109" t="str">
        <f>CONCATENATE(prefix_wld_az1_cidr,"11.112")</f>
        <v>10.13.11.112</v>
      </c>
      <c r="D73" s="66"/>
      <c r="E73" s="163" t="s">
        <v>231</v>
      </c>
    </row>
    <row r="74" spans="2:7" ht="20" customHeight="1" x14ac:dyDescent="0.2">
      <c r="B74" s="23" t="s">
        <v>232</v>
      </c>
      <c r="C74" s="109" t="str">
        <f>CONCATENATE(prefix_wld_az1_cidr,"11.113")</f>
        <v>10.13.11.113</v>
      </c>
      <c r="D74" s="66"/>
      <c r="E74" s="163" t="s">
        <v>233</v>
      </c>
    </row>
    <row r="75" spans="2:7" ht="20" customHeight="1" x14ac:dyDescent="0.2">
      <c r="B75" s="23" t="s">
        <v>234</v>
      </c>
      <c r="C75" s="109" t="str">
        <f>CONCATENATE(prefix_wld_az1_cidr,"11.114")</f>
        <v>10.13.11.114</v>
      </c>
      <c r="D75" s="66"/>
      <c r="E75" s="163" t="s">
        <v>235</v>
      </c>
    </row>
    <row r="76" spans="2:7" ht="20" customHeight="1" x14ac:dyDescent="0.2">
      <c r="B76" s="23" t="s">
        <v>236</v>
      </c>
      <c r="C76" s="109" t="str">
        <f>CONCATENATE(prefix_wld_az1_cidr,"11.115")</f>
        <v>10.13.11.115</v>
      </c>
      <c r="D76" s="66"/>
      <c r="E76" s="163" t="s">
        <v>237</v>
      </c>
    </row>
    <row r="77" spans="2:7" ht="20" customHeight="1" x14ac:dyDescent="0.2">
      <c r="B77" s="23" t="s">
        <v>238</v>
      </c>
      <c r="C77" s="109" t="str">
        <f>CONCATENATE(prefix_wld_az1_cidr,"11.116")</f>
        <v>10.13.11.116</v>
      </c>
      <c r="D77" s="66"/>
      <c r="E77" s="163" t="s">
        <v>239</v>
      </c>
      <c r="G77" s="36"/>
    </row>
    <row r="78" spans="2:7" ht="16" customHeight="1" x14ac:dyDescent="0.2"/>
    <row r="79" spans="2:7" ht="34" customHeight="1" x14ac:dyDescent="0.2">
      <c r="B79" s="569" t="s">
        <v>705</v>
      </c>
      <c r="C79" s="570"/>
      <c r="D79" s="570"/>
      <c r="E79" s="571"/>
    </row>
    <row r="80" spans="2:7" ht="20" customHeight="1" x14ac:dyDescent="0.2">
      <c r="B80" s="424"/>
      <c r="C80" s="425"/>
      <c r="D80" s="425"/>
      <c r="E80" s="426"/>
    </row>
    <row r="81" spans="2:5" ht="20" customHeight="1" x14ac:dyDescent="0.2">
      <c r="B81" s="63" t="s">
        <v>18</v>
      </c>
      <c r="C81" s="63" t="s">
        <v>19</v>
      </c>
      <c r="D81" s="63" t="s">
        <v>20</v>
      </c>
      <c r="E81" s="63" t="s">
        <v>21</v>
      </c>
    </row>
    <row r="82" spans="2:5" ht="20" customHeight="1" x14ac:dyDescent="0.2">
      <c r="B82" s="23" t="s">
        <v>243</v>
      </c>
      <c r="C82" s="103" t="str">
        <f>CONCATENATE(this_instance,"01-w0",wld_domain_number_chosen,"-r01-network-pool-01")</f>
        <v>sfo01-w01-r01-network-pool-01</v>
      </c>
      <c r="D82" s="66"/>
      <c r="E82" s="42"/>
    </row>
    <row r="83" spans="2:5" ht="20" customHeight="1" x14ac:dyDescent="0.2">
      <c r="B83" s="424" t="s">
        <v>244</v>
      </c>
      <c r="C83" s="425"/>
      <c r="D83" s="425"/>
      <c r="E83" s="426"/>
    </row>
    <row r="84" spans="2:5" ht="20" customHeight="1" x14ac:dyDescent="0.2">
      <c r="B84" s="4" t="s">
        <v>3772</v>
      </c>
      <c r="C84" s="103" t="s">
        <v>3713</v>
      </c>
      <c r="D84" s="66" t="s">
        <v>3713</v>
      </c>
      <c r="E84" s="113"/>
    </row>
    <row r="85" spans="2:5" ht="20" customHeight="1" x14ac:dyDescent="0.2">
      <c r="B85" s="4" t="s">
        <v>85</v>
      </c>
      <c r="C85" s="103" t="str">
        <f>CONCATENATE(prefix_wld_az1_vlan,"12")</f>
        <v>1312</v>
      </c>
      <c r="D85" s="66"/>
      <c r="E85" s="113"/>
    </row>
    <row r="86" spans="2:5" ht="20" customHeight="1" x14ac:dyDescent="0.2">
      <c r="B86" s="4" t="s">
        <v>157</v>
      </c>
      <c r="C86" s="103">
        <v>9000</v>
      </c>
      <c r="D86" s="66"/>
      <c r="E86" s="42"/>
    </row>
    <row r="87" spans="2:5" ht="20" customHeight="1" x14ac:dyDescent="0.2">
      <c r="B87" s="4" t="s">
        <v>3781</v>
      </c>
      <c r="C87" s="103" t="s">
        <v>105</v>
      </c>
      <c r="D87" s="66" t="s">
        <v>105</v>
      </c>
      <c r="E87" s="42"/>
    </row>
    <row r="88" spans="2:5" ht="20" customHeight="1" x14ac:dyDescent="0.2">
      <c r="B88" s="4" t="s">
        <v>3775</v>
      </c>
      <c r="C88" s="103" t="str">
        <f>CONCATENATE(prefix_wld_az1_cidr,"12.1/24")</f>
        <v>10.13.12.1/24</v>
      </c>
      <c r="D88" s="66"/>
      <c r="E88" s="42"/>
    </row>
    <row r="89" spans="2:5" ht="20" customHeight="1" x14ac:dyDescent="0.2">
      <c r="B89" s="4" t="s">
        <v>3776</v>
      </c>
      <c r="C89" s="103" t="str">
        <f>CONCATENATE(prefix_mgmt_ipv6_cidr,sample_wld_az1_vmotion_vlan,"::","1","/64")</f>
        <v>2001:db8:0:1312::1/64</v>
      </c>
      <c r="D89" s="66"/>
      <c r="E89" s="42"/>
    </row>
    <row r="90" spans="2:5" ht="20" customHeight="1" x14ac:dyDescent="0.2">
      <c r="B90" s="23" t="s">
        <v>3774</v>
      </c>
      <c r="C90" s="103" t="str">
        <f>CONCATENATE(prefix_wld_az1_cidr,"12.101")</f>
        <v>10.13.12.101</v>
      </c>
      <c r="D90" s="66"/>
      <c r="E90" s="42"/>
    </row>
    <row r="91" spans="2:5" ht="20" customHeight="1" x14ac:dyDescent="0.2">
      <c r="B91" s="23" t="s">
        <v>3773</v>
      </c>
      <c r="C91" s="103" t="str">
        <f>CONCATENATE(prefix_wld_az1_cidr,"12.116")</f>
        <v>10.13.12.116</v>
      </c>
      <c r="D91" s="66"/>
      <c r="E91" s="42"/>
    </row>
    <row r="92" spans="2:5" ht="20" customHeight="1" x14ac:dyDescent="0.2">
      <c r="B92" s="23" t="s">
        <v>3777</v>
      </c>
      <c r="C92" s="103" t="str">
        <f>CONCATENATE(prefix_mgmt_ipv6_cidr,sample_wld_az1_vmotion_vlan,"::","101","/64")</f>
        <v>2001:db8:0:1312::101/64</v>
      </c>
      <c r="D92" s="66"/>
      <c r="E92" s="42"/>
    </row>
    <row r="93" spans="2:5" ht="20" customHeight="1" x14ac:dyDescent="0.2">
      <c r="B93" s="23" t="s">
        <v>3778</v>
      </c>
      <c r="C93" s="103" t="str">
        <f>CONCATENATE(prefix_mgmt_ipv6_cidr,sample_wld_az1_vmotion_vlan,"::","116","/64")</f>
        <v>2001:db8:0:1312::116/64</v>
      </c>
      <c r="D93" s="66"/>
      <c r="E93" s="42"/>
    </row>
    <row r="94" spans="2:5" ht="20" customHeight="1" x14ac:dyDescent="0.2">
      <c r="B94" s="424" t="str">
        <f>IF(wld_principal_storage_chosen="NFSv3","NFS Network","vSAN Network")</f>
        <v>vSAN Network</v>
      </c>
      <c r="C94" s="425"/>
      <c r="D94" s="425"/>
      <c r="E94" s="426"/>
    </row>
    <row r="95" spans="2:5" ht="20" customHeight="1" x14ac:dyDescent="0.2">
      <c r="B95" s="4" t="s">
        <v>3772</v>
      </c>
      <c r="C95" s="103" t="s">
        <v>3713</v>
      </c>
      <c r="D95" s="179" t="s">
        <v>3713</v>
      </c>
      <c r="E95" s="42"/>
    </row>
    <row r="96" spans="2:5" ht="20" customHeight="1" x14ac:dyDescent="0.2">
      <c r="B96" s="4" t="s">
        <v>85</v>
      </c>
      <c r="C96" s="103" t="str">
        <f>CONCATENATE(prefix_wld_az1_vlan,"13")</f>
        <v>1313</v>
      </c>
      <c r="D96" s="179"/>
      <c r="E96" s="42"/>
    </row>
    <row r="97" spans="2:5" ht="20" customHeight="1" x14ac:dyDescent="0.2">
      <c r="B97" s="4" t="s">
        <v>157</v>
      </c>
      <c r="C97" s="103">
        <v>9000</v>
      </c>
      <c r="D97" s="66"/>
      <c r="E97" s="42"/>
    </row>
    <row r="98" spans="2:5" ht="20" customHeight="1" x14ac:dyDescent="0.2">
      <c r="B98" s="4" t="s">
        <v>3781</v>
      </c>
      <c r="C98" s="103" t="s">
        <v>105</v>
      </c>
      <c r="D98" s="391" t="s">
        <v>105</v>
      </c>
      <c r="E98" s="42"/>
    </row>
    <row r="99" spans="2:5" ht="20" customHeight="1" x14ac:dyDescent="0.2">
      <c r="B99" s="23" t="s">
        <v>3775</v>
      </c>
      <c r="C99" s="103" t="str">
        <f>CONCATENATE(prefix_wld_az1_cidr,"13.1/24")</f>
        <v>10.13.13.1/24</v>
      </c>
      <c r="D99" s="66"/>
      <c r="E99" s="80"/>
    </row>
    <row r="100" spans="2:5" ht="20" customHeight="1" x14ac:dyDescent="0.2">
      <c r="B100" s="30" t="s">
        <v>3776</v>
      </c>
      <c r="C100" s="103" t="str">
        <f>CONCATENATE(prefix_mgmt_ipv6_cidr,sample_wld_az1_principal_storage_vlan,"::","1","/64")</f>
        <v>2001:db8:0:1313::1/64</v>
      </c>
      <c r="D100" s="66"/>
      <c r="E100" s="80"/>
    </row>
    <row r="101" spans="2:5" ht="20" customHeight="1" x14ac:dyDescent="0.2">
      <c r="B101" s="30" t="s">
        <v>3782</v>
      </c>
      <c r="C101" s="103" t="str">
        <f>CONCATENATE(prefix_wld_az1_cidr,"13.101")</f>
        <v>10.13.13.101</v>
      </c>
      <c r="D101" s="66"/>
      <c r="E101" s="80"/>
    </row>
    <row r="102" spans="2:5" ht="20" customHeight="1" x14ac:dyDescent="0.2">
      <c r="B102" s="30" t="s">
        <v>3783</v>
      </c>
      <c r="C102" s="103" t="str">
        <f>CONCATENATE(prefix_wld_az1_cidr,"13.116")</f>
        <v>10.13.13.116</v>
      </c>
      <c r="D102" s="66"/>
      <c r="E102" s="80"/>
    </row>
    <row r="103" spans="2:5" ht="20" customHeight="1" x14ac:dyDescent="0.2">
      <c r="B103" s="30" t="s">
        <v>3784</v>
      </c>
      <c r="C103" s="103" t="str">
        <f>CONCATENATE(prefix_mgmt_ipv6_cidr,sample_wld_az1_principal_storage_vlan,"::","101","/64")</f>
        <v>2001:db8:0:1313::101/64</v>
      </c>
      <c r="D103" s="66"/>
      <c r="E103" s="80"/>
    </row>
    <row r="104" spans="2:5" ht="20" customHeight="1" x14ac:dyDescent="0.2">
      <c r="B104" s="30" t="s">
        <v>3785</v>
      </c>
      <c r="C104" s="103" t="str">
        <f>CONCATENATE(prefix_mgmt_ipv6_cidr,sample_wld_az1_principal_storage_vlan,"::","116","/64")</f>
        <v>2001:db8:0:1313::116/64</v>
      </c>
      <c r="D104" s="66"/>
      <c r="E104" s="42"/>
    </row>
    <row r="105" spans="2:5" ht="20" customHeight="1" x14ac:dyDescent="0.2">
      <c r="B105" s="424" t="str">
        <f>IF(wld_secondary_storage_chosen="Secondary NFS Storage Network","NFS Storage Network","vSAN Storage Client")</f>
        <v>vSAN Storage Client</v>
      </c>
      <c r="C105" s="425"/>
      <c r="D105" s="425"/>
      <c r="E105" s="426"/>
    </row>
    <row r="106" spans="2:5" ht="20" customHeight="1" x14ac:dyDescent="0.2">
      <c r="B106" s="4" t="s">
        <v>3772</v>
      </c>
      <c r="C106" s="103" t="s">
        <v>3713</v>
      </c>
      <c r="D106" s="66" t="s">
        <v>3713</v>
      </c>
      <c r="E106" s="42"/>
    </row>
    <row r="107" spans="2:5" ht="20" customHeight="1" x14ac:dyDescent="0.2">
      <c r="B107" s="4" t="s">
        <v>85</v>
      </c>
      <c r="C107" s="103" t="str">
        <f>CONCATENATE(prefix_wld_az1_vlan,"15")</f>
        <v>1315</v>
      </c>
      <c r="D107" s="66"/>
      <c r="E107" s="42"/>
    </row>
    <row r="108" spans="2:5" ht="20" customHeight="1" x14ac:dyDescent="0.2">
      <c r="B108" s="4" t="s">
        <v>157</v>
      </c>
      <c r="C108" s="103">
        <v>9000</v>
      </c>
      <c r="D108" s="66"/>
      <c r="E108" s="80"/>
    </row>
    <row r="109" spans="2:5" ht="20" customHeight="1" x14ac:dyDescent="0.2">
      <c r="B109" s="4" t="s">
        <v>3781</v>
      </c>
      <c r="C109" s="103" t="s">
        <v>105</v>
      </c>
      <c r="D109" s="66" t="s">
        <v>105</v>
      </c>
      <c r="E109" s="80"/>
    </row>
    <row r="110" spans="2:5" ht="20" customHeight="1" x14ac:dyDescent="0.2">
      <c r="B110" s="23" t="s">
        <v>3775</v>
      </c>
      <c r="C110" s="103" t="str">
        <f>CONCATENATE(prefix_wld_az1_cidr,"15.1/24")</f>
        <v>10.13.15.1/24</v>
      </c>
      <c r="D110" s="66"/>
      <c r="E110" s="80"/>
    </row>
    <row r="111" spans="2:5" ht="20" customHeight="1" x14ac:dyDescent="0.2">
      <c r="B111" s="30" t="s">
        <v>3776</v>
      </c>
      <c r="C111" s="103" t="str">
        <f>CONCATENATE(prefix_mgmt_ipv6_cidr,sample_wld_az1_secondary_storage_vlan,"::","1","/64")</f>
        <v>2001:db8:0:1315::1/64</v>
      </c>
      <c r="D111" s="66"/>
      <c r="E111" s="80"/>
    </row>
    <row r="112" spans="2:5" ht="20" customHeight="1" x14ac:dyDescent="0.2">
      <c r="B112" s="30" t="s">
        <v>3782</v>
      </c>
      <c r="C112" s="103" t="str">
        <f>CONCATENATE(prefix_wld_az1_cidr,"15.101")</f>
        <v>10.13.15.101</v>
      </c>
      <c r="D112" s="66"/>
      <c r="E112" s="80"/>
    </row>
    <row r="113" spans="2:5" ht="20" customHeight="1" x14ac:dyDescent="0.2">
      <c r="B113" s="30" t="s">
        <v>3783</v>
      </c>
      <c r="C113" s="103" t="str">
        <f>CONCATENATE(prefix_wld_az1_cidr,"15.116")</f>
        <v>10.13.15.116</v>
      </c>
      <c r="D113" s="66"/>
      <c r="E113" s="80"/>
    </row>
    <row r="114" spans="2:5" ht="20" customHeight="1" x14ac:dyDescent="0.2">
      <c r="B114" s="30" t="s">
        <v>3784</v>
      </c>
      <c r="C114" s="103" t="s">
        <v>3779</v>
      </c>
      <c r="D114" s="66"/>
      <c r="E114" s="42"/>
    </row>
    <row r="115" spans="2:5" ht="20" customHeight="1" x14ac:dyDescent="0.2">
      <c r="B115" s="30" t="s">
        <v>3785</v>
      </c>
      <c r="C115" s="103" t="s">
        <v>3780</v>
      </c>
      <c r="D115" s="66"/>
      <c r="E115" s="42"/>
    </row>
    <row r="116" spans="2:5" ht="20" customHeight="1" x14ac:dyDescent="0.2">
      <c r="B116" s="424" t="s">
        <v>706</v>
      </c>
      <c r="C116" s="425"/>
      <c r="D116" s="425"/>
      <c r="E116" s="426"/>
    </row>
    <row r="117" spans="2:5" ht="20" customHeight="1" x14ac:dyDescent="0.2">
      <c r="B117" s="4" t="s">
        <v>3772</v>
      </c>
      <c r="C117" s="103" t="s">
        <v>3713</v>
      </c>
      <c r="D117" s="66" t="s">
        <v>3713</v>
      </c>
      <c r="E117" s="42"/>
    </row>
    <row r="118" spans="2:5" ht="20" customHeight="1" x14ac:dyDescent="0.2">
      <c r="B118" s="4" t="s">
        <v>85</v>
      </c>
      <c r="C118" s="103" t="str">
        <f>CONCATENATE(prefix_wld_az1_vlan,"16")</f>
        <v>1316</v>
      </c>
      <c r="D118" s="66"/>
      <c r="E118" s="42"/>
    </row>
    <row r="119" spans="2:5" ht="20" customHeight="1" x14ac:dyDescent="0.2">
      <c r="B119" s="4" t="s">
        <v>157</v>
      </c>
      <c r="C119" s="103">
        <v>9000</v>
      </c>
      <c r="D119" s="66"/>
      <c r="E119" s="80"/>
    </row>
    <row r="120" spans="2:5" ht="20" customHeight="1" x14ac:dyDescent="0.2">
      <c r="B120" s="4" t="s">
        <v>3781</v>
      </c>
      <c r="C120" s="103" t="s">
        <v>105</v>
      </c>
      <c r="D120" s="66" t="s">
        <v>105</v>
      </c>
      <c r="E120" s="80"/>
    </row>
    <row r="121" spans="2:5" ht="20" customHeight="1" x14ac:dyDescent="0.2">
      <c r="B121" s="23" t="s">
        <v>3775</v>
      </c>
      <c r="C121" s="103" t="str">
        <f>CONCATENATE(prefix_wld_az1_cidr,"16.1/24")</f>
        <v>10.13.16.1/24</v>
      </c>
      <c r="D121" s="66"/>
      <c r="E121" s="80"/>
    </row>
    <row r="122" spans="2:5" ht="20" customHeight="1" x14ac:dyDescent="0.2">
      <c r="B122" s="30" t="s">
        <v>3776</v>
      </c>
      <c r="C122" s="103" t="str">
        <f>CONCATENATE(prefix_mgmt_ipv6_cidr,sample_wld_az1_storage_cluster_vlan,"::","1","/64")</f>
        <v>2001:db8:0:1316::1/64</v>
      </c>
      <c r="D122" s="66"/>
      <c r="E122" s="80"/>
    </row>
    <row r="123" spans="2:5" ht="20" customHeight="1" x14ac:dyDescent="0.2">
      <c r="B123" s="30" t="s">
        <v>3782</v>
      </c>
      <c r="C123" s="103" t="str">
        <f>CONCATENATE(prefix_wld_az1_cidr,"16.101")</f>
        <v>10.13.16.101</v>
      </c>
      <c r="D123" s="66"/>
      <c r="E123" s="80"/>
    </row>
    <row r="124" spans="2:5" ht="20" customHeight="1" x14ac:dyDescent="0.2">
      <c r="B124" s="30" t="s">
        <v>3783</v>
      </c>
      <c r="C124" s="103" t="str">
        <f>CONCATENATE(prefix_wld_az1_cidr,"16.116")</f>
        <v>10.13.16.116</v>
      </c>
      <c r="D124" s="66"/>
      <c r="E124" s="80"/>
    </row>
    <row r="125" spans="2:5" ht="20" customHeight="1" x14ac:dyDescent="0.2">
      <c r="B125" s="30" t="s">
        <v>3784</v>
      </c>
      <c r="C125" s="103" t="str">
        <f>CONCATENATE(prefix_mgmt_ipv6_cidr,sample_wld_az1_storage_cluster_vlan,"::","101","/64")</f>
        <v>2001:db8:0:1316::101/64</v>
      </c>
      <c r="D125" s="66"/>
      <c r="E125" s="42"/>
    </row>
    <row r="126" spans="2:5" ht="20" customHeight="1" x14ac:dyDescent="0.2">
      <c r="B126" s="30" t="s">
        <v>3785</v>
      </c>
      <c r="C126" s="103" t="str">
        <f>CONCATENATE(prefix_mgmt_ipv6_cidr,sample_wld_az1_storage_cluster_vlan,"::","116","/64")</f>
        <v>2001:db8:0:1316::116/64</v>
      </c>
      <c r="D126" s="66"/>
      <c r="E126" s="42"/>
    </row>
    <row r="127" spans="2:5" ht="16" customHeight="1" x14ac:dyDescent="0.2"/>
    <row r="128" spans="2:5" ht="34" customHeight="1" x14ac:dyDescent="0.2">
      <c r="B128" s="569" t="s">
        <v>707</v>
      </c>
      <c r="C128" s="570"/>
      <c r="D128" s="570"/>
      <c r="E128" s="571"/>
    </row>
    <row r="129" spans="2:5" ht="20" customHeight="1" x14ac:dyDescent="0.2">
      <c r="B129" s="424"/>
      <c r="C129" s="425"/>
      <c r="D129" s="425"/>
      <c r="E129" s="426"/>
    </row>
    <row r="130" spans="2:5" ht="20" customHeight="1" x14ac:dyDescent="0.2">
      <c r="B130" s="63" t="s">
        <v>18</v>
      </c>
      <c r="C130" s="63" t="s">
        <v>19</v>
      </c>
      <c r="D130" s="63" t="s">
        <v>20</v>
      </c>
      <c r="E130" s="63" t="s">
        <v>21</v>
      </c>
    </row>
    <row r="131" spans="2:5" ht="20" customHeight="1" x14ac:dyDescent="0.2">
      <c r="B131" s="23" t="s">
        <v>208</v>
      </c>
      <c r="C131" s="109" t="str">
        <f>CONCATENATE(this_instance,"01-w0",wld_domain_number_chosen,"-r01-esx01",".",sample_child_dns_zone)</f>
        <v>sfo01-w01-r01-esx01.sfo.rainpole.io</v>
      </c>
      <c r="D131" s="66"/>
      <c r="E131" s="42"/>
    </row>
    <row r="132" spans="2:5" ht="20" customHeight="1" x14ac:dyDescent="0.2">
      <c r="B132" s="23" t="s">
        <v>210</v>
      </c>
      <c r="C132" s="180" t="str">
        <f>CONCATENATE(this_instance,"01-w0",wld_domain_number_chosen,"-r01-esx02",".",sample_child_dns_zone)</f>
        <v>sfo01-w01-r01-esx02.sfo.rainpole.io</v>
      </c>
      <c r="D132" s="66"/>
      <c r="E132" s="42"/>
    </row>
    <row r="133" spans="2:5" ht="20" customHeight="1" x14ac:dyDescent="0.2">
      <c r="B133" s="23" t="s">
        <v>212</v>
      </c>
      <c r="C133" s="180" t="str">
        <f>CONCATENATE(this_instance,"01-w0",wld_domain_number_chosen,"-r01-esx03",".",sample_child_dns_zone)</f>
        <v>sfo01-w01-r01-esx03.sfo.rainpole.io</v>
      </c>
      <c r="D133" s="66"/>
      <c r="E133" s="42"/>
    </row>
    <row r="134" spans="2:5" ht="20" customHeight="1" x14ac:dyDescent="0.2">
      <c r="B134" s="23" t="s">
        <v>214</v>
      </c>
      <c r="C134" s="180" t="str">
        <f>CONCATENATE(this_instance,"01-w0",wld_domain_number_chosen,"-r01-esx04",".",sample_child_dns_zone)</f>
        <v>sfo01-w01-r01-esx04.sfo.rainpole.io</v>
      </c>
      <c r="D134" s="66"/>
      <c r="E134" s="42"/>
    </row>
    <row r="135" spans="2:5" ht="20" customHeight="1" x14ac:dyDescent="0.2">
      <c r="B135" s="23" t="s">
        <v>216</v>
      </c>
      <c r="C135" s="180" t="str">
        <f>CONCATENATE(this_instance,"01-w0",wld_domain_number_chosen,"-r01-esx05",".",sample_child_dns_zone)</f>
        <v>sfo01-w01-r01-esx05.sfo.rainpole.io</v>
      </c>
      <c r="D135" s="66"/>
      <c r="E135" s="42"/>
    </row>
    <row r="136" spans="2:5" ht="20" customHeight="1" x14ac:dyDescent="0.2">
      <c r="B136" s="23" t="s">
        <v>218</v>
      </c>
      <c r="C136" s="180" t="str">
        <f>CONCATENATE(this_instance,"01-w0",wld_domain_number_chosen,"-r01-esx06",".",sample_child_dns_zone)</f>
        <v>sfo01-w01-r01-esx06.sfo.rainpole.io</v>
      </c>
      <c r="D136" s="66"/>
      <c r="E136" s="42"/>
    </row>
    <row r="137" spans="2:5" ht="20" customHeight="1" x14ac:dyDescent="0.2">
      <c r="B137" s="23" t="s">
        <v>220</v>
      </c>
      <c r="C137" s="180" t="str">
        <f>CONCATENATE(this_instance,"01-w0",wld_domain_number_chosen,"-r01-esx07",".",sample_child_dns_zone)</f>
        <v>sfo01-w01-r01-esx07.sfo.rainpole.io</v>
      </c>
      <c r="D137" s="66"/>
      <c r="E137" s="42"/>
    </row>
    <row r="138" spans="2:5" ht="20" customHeight="1" x14ac:dyDescent="0.2">
      <c r="B138" s="23" t="s">
        <v>222</v>
      </c>
      <c r="C138" s="180" t="str">
        <f>CONCATENATE(this_instance,"01-w0",wld_domain_number_chosen,"-r01-esx08",".",sample_child_dns_zone)</f>
        <v>sfo01-w01-r01-esx08.sfo.rainpole.io</v>
      </c>
      <c r="D138" s="66"/>
      <c r="E138" s="42"/>
    </row>
    <row r="139" spans="2:5" ht="20" customHeight="1" x14ac:dyDescent="0.2">
      <c r="B139" s="23" t="s">
        <v>224</v>
      </c>
      <c r="C139" s="180" t="str">
        <f>CONCATENATE(this_instance,"01-w0",wld_domain_number_chosen,"-r01-esx09",".",sample_child_dns_zone)</f>
        <v>sfo01-w01-r01-esx09.sfo.rainpole.io</v>
      </c>
      <c r="D139" s="66"/>
      <c r="E139" s="42"/>
    </row>
    <row r="140" spans="2:5" ht="20" customHeight="1" x14ac:dyDescent="0.2">
      <c r="B140" s="23" t="s">
        <v>226</v>
      </c>
      <c r="C140" s="180" t="str">
        <f>CONCATENATE(this_instance,"01-w0",wld_domain_number_chosen,"-r01-esx10",".",sample_child_dns_zone)</f>
        <v>sfo01-w01-r01-esx10.sfo.rainpole.io</v>
      </c>
      <c r="D140" s="66"/>
      <c r="E140" s="42"/>
    </row>
    <row r="141" spans="2:5" ht="20" customHeight="1" x14ac:dyDescent="0.2">
      <c r="B141" s="23" t="s">
        <v>228</v>
      </c>
      <c r="C141" s="180" t="str">
        <f>CONCATENATE(this_instance,"01-w0",wld_domain_number_chosen,"-r01-esx11",".",sample_child_dns_zone)</f>
        <v>sfo01-w01-r01-esx11.sfo.rainpole.io</v>
      </c>
      <c r="D141" s="66"/>
      <c r="E141" s="42"/>
    </row>
    <row r="142" spans="2:5" ht="20" customHeight="1" x14ac:dyDescent="0.2">
      <c r="B142" s="23" t="s">
        <v>230</v>
      </c>
      <c r="C142" s="180" t="str">
        <f>CONCATENATE(this_instance,"01-w0",wld_domain_number_chosen,"-r01-esx12",".",sample_child_dns_zone)</f>
        <v>sfo01-w01-r01-esx12.sfo.rainpole.io</v>
      </c>
      <c r="D142" s="66"/>
      <c r="E142" s="42"/>
    </row>
    <row r="143" spans="2:5" ht="20" customHeight="1" x14ac:dyDescent="0.2">
      <c r="B143" s="23" t="s">
        <v>232</v>
      </c>
      <c r="C143" s="180" t="str">
        <f>CONCATENATE(this_instance,"01-w0",wld_domain_number_chosen,"-r01-esx13",".",sample_child_dns_zone)</f>
        <v>sfo01-w01-r01-esx13.sfo.rainpole.io</v>
      </c>
      <c r="D143" s="66"/>
      <c r="E143" s="42"/>
    </row>
    <row r="144" spans="2:5" ht="20" customHeight="1" x14ac:dyDescent="0.2">
      <c r="B144" s="23" t="s">
        <v>234</v>
      </c>
      <c r="C144" s="180" t="str">
        <f>CONCATENATE(this_instance,"01-w0",wld_domain_number_chosen,"-r01-esx14",".",sample_child_dns_zone)</f>
        <v>sfo01-w01-r01-esx14.sfo.rainpole.io</v>
      </c>
      <c r="D144" s="66"/>
      <c r="E144" s="42"/>
    </row>
    <row r="145" spans="2:9" ht="20" customHeight="1" x14ac:dyDescent="0.2">
      <c r="B145" s="23" t="s">
        <v>236</v>
      </c>
      <c r="C145" s="180" t="str">
        <f>CONCATENATE(this_instance,"01-w0",wld_domain_number_chosen,"-r01-esx15",".",sample_child_dns_zone)</f>
        <v>sfo01-w01-r01-esx15.sfo.rainpole.io</v>
      </c>
      <c r="D145" s="66"/>
      <c r="E145" s="42"/>
    </row>
    <row r="146" spans="2:9" ht="20" customHeight="1" x14ac:dyDescent="0.2">
      <c r="B146" s="23" t="s">
        <v>238</v>
      </c>
      <c r="C146" s="180" t="str">
        <f>CONCATENATE(this_instance,"01-w0",wld_domain_number_chosen,"-r01-esx16",".",sample_child_dns_zone)</f>
        <v>sfo01-w01-r01-esx16.sfo.rainpole.io</v>
      </c>
      <c r="D146" s="66"/>
      <c r="E146" s="42"/>
    </row>
    <row r="147" spans="2:9" ht="20" customHeight="1" x14ac:dyDescent="0.2">
      <c r="B147" s="23" t="s">
        <v>257</v>
      </c>
      <c r="C147" s="100" t="s">
        <v>258</v>
      </c>
      <c r="D147" s="8" t="str">
        <f>IF(OR(wld_principal_storage_chosen="vSAN-ESA",wld_principal_storage_chosen="vSAN Storage Cluster",wld_principal_storage_chosen="vSAN-OSA",wld_principal_storage_chosen="vSAN Compute Cluster"),"vSAN",
IF(wld_principal_storage_chosen="VMFS on Fibre Channel (FC)","VMFS on FC",
IF(wld_principal_storage_chosen="NFSv3","NFS")))</f>
        <v>vSAN</v>
      </c>
      <c r="E147" s="43" t="s">
        <v>4120</v>
      </c>
    </row>
    <row r="148" spans="2:9" ht="20" customHeight="1" x14ac:dyDescent="0.2">
      <c r="B148" s="23" t="s">
        <v>259</v>
      </c>
      <c r="C148" s="100" t="s">
        <v>260</v>
      </c>
      <c r="D148" s="8" t="str">
        <f>IF(wld_principal_storage_chosen="vSAN Storage Cluster","vSAN Storage",IF(wld_principal_storage_chosen="vSAN Compute Cluster","Compute Cluster",IF(OR(wld_principal_storage_chosen="vSAN-ESA",wld_principal_storage_chosen="vSAN-OSA"),"vSAN HCI","")))</f>
        <v>vSAN HCI</v>
      </c>
      <c r="E148" s="43" t="s">
        <v>4120</v>
      </c>
    </row>
    <row r="149" spans="2:9" ht="20" customHeight="1" x14ac:dyDescent="0.2">
      <c r="B149" s="23" t="s">
        <v>261</v>
      </c>
      <c r="C149" s="100" t="s">
        <v>156</v>
      </c>
      <c r="D149" s="8" t="str">
        <f>IF(OR(wld_principal_storage_chosen="vSAN-ESA",wld_principal_storage_chosen="vSAN Storage Cluster",wld_principal_storage_chosen="vSAN Compute Cluster"),"Selected","Unselected")</f>
        <v>Selected</v>
      </c>
      <c r="E149" s="43" t="s">
        <v>4120</v>
      </c>
    </row>
    <row r="150" spans="2:9" ht="20" customHeight="1" x14ac:dyDescent="0.2">
      <c r="B150" s="23" t="s">
        <v>243</v>
      </c>
      <c r="C150" s="100" t="str">
        <f>sample_wld_az1_pool_name</f>
        <v>sfo01-w01-r01-network-pool-01</v>
      </c>
      <c r="D150" s="8" t="str">
        <f>wld_az1_pool_name</f>
        <v>Value Missing</v>
      </c>
      <c r="E150" s="42"/>
    </row>
    <row r="151" spans="2:9" ht="20" customHeight="1" x14ac:dyDescent="0.2">
      <c r="B151" s="23" t="s">
        <v>47</v>
      </c>
      <c r="C151" s="100" t="s">
        <v>262</v>
      </c>
      <c r="D151" s="66"/>
      <c r="E151" s="42"/>
    </row>
    <row r="152" spans="2:9" s="7" customFormat="1" ht="20" customHeight="1" x14ac:dyDescent="0.2">
      <c r="B152" s="23" t="s">
        <v>30</v>
      </c>
      <c r="C152" s="100" t="s">
        <v>31</v>
      </c>
      <c r="D152" s="66"/>
      <c r="E152" s="42"/>
      <c r="I152" s="53"/>
    </row>
    <row r="153" spans="2:9" ht="16" customHeight="1" x14ac:dyDescent="0.2">
      <c r="B153" s="7"/>
      <c r="C153" s="7"/>
      <c r="D153" s="7"/>
      <c r="E153" s="7"/>
    </row>
    <row r="154" spans="2:9" ht="34" customHeight="1" x14ac:dyDescent="0.2">
      <c r="B154" s="569" t="s">
        <v>3994</v>
      </c>
      <c r="C154" s="570"/>
      <c r="D154" s="570"/>
      <c r="E154" s="571"/>
    </row>
    <row r="155" spans="2:9" ht="16" customHeight="1" x14ac:dyDescent="0.2">
      <c r="B155" s="7"/>
      <c r="C155" s="7"/>
      <c r="D155" s="7"/>
      <c r="E155" s="7"/>
    </row>
    <row r="156" spans="2:9" ht="34" customHeight="1" x14ac:dyDescent="0.2">
      <c r="B156" s="427" t="s">
        <v>708</v>
      </c>
      <c r="C156" s="428"/>
      <c r="D156" s="428"/>
      <c r="E156" s="429"/>
    </row>
    <row r="157" spans="2:9" ht="20" customHeight="1" x14ac:dyDescent="0.2">
      <c r="B157" s="424" t="s">
        <v>670</v>
      </c>
      <c r="C157" s="425"/>
      <c r="D157" s="425"/>
      <c r="E157" s="426"/>
    </row>
    <row r="158" spans="2:9" ht="20" customHeight="1" x14ac:dyDescent="0.2">
      <c r="B158" s="63" t="s">
        <v>18</v>
      </c>
      <c r="C158" s="63" t="s">
        <v>19</v>
      </c>
      <c r="D158" s="63" t="s">
        <v>20</v>
      </c>
      <c r="E158" s="63" t="s">
        <v>21</v>
      </c>
    </row>
    <row r="159" spans="2:9" ht="20" customHeight="1" x14ac:dyDescent="0.2">
      <c r="B159" s="23" t="s">
        <v>671</v>
      </c>
      <c r="C159" s="65" t="str">
        <f>CONCATENATE(this_instance,"-w0",wld_domain_number_chosen)</f>
        <v>sfo-w01</v>
      </c>
      <c r="D159" s="66"/>
      <c r="E159" s="42"/>
    </row>
    <row r="160" spans="2:9" ht="20" customHeight="1" x14ac:dyDescent="0.2">
      <c r="B160" s="23" t="s">
        <v>1081</v>
      </c>
      <c r="C160" s="65" t="s">
        <v>3800</v>
      </c>
      <c r="D160" s="8" t="str">
        <f>IF(wld_domain_chosen="Deploy infrastructure only","Deploy infrastructure only","Full deployment with cluster")</f>
        <v>Full deployment with cluster</v>
      </c>
      <c r="E160" s="42"/>
    </row>
    <row r="161" spans="2:5" ht="20" customHeight="1" x14ac:dyDescent="0.2">
      <c r="B161" s="181" t="s">
        <v>709</v>
      </c>
      <c r="C161" s="65" t="s">
        <v>178</v>
      </c>
      <c r="D161" s="8" t="str">
        <f>wld_iaas_chosen</f>
        <v>Exclude</v>
      </c>
      <c r="E161" s="366" t="str">
        <f>IF(wld_domain_deployment_type="Deploy infrastructure only","Requires full deployment type to deploy now, but can be added later through vSphere UI after cluster creation.","Value is set based on choice in the Virtual Infrastructure (VI) Workload Domain: Deployment Options")</f>
        <v>Value is set based on choice in the Virtual Infrastructure (VI) Workload Domain: Deployment Options</v>
      </c>
    </row>
    <row r="162" spans="2:5" ht="20" customHeight="1" x14ac:dyDescent="0.2">
      <c r="B162" s="181" t="s">
        <v>3786</v>
      </c>
      <c r="C162" s="65" t="s">
        <v>13</v>
      </c>
      <c r="D162" s="8" t="s">
        <v>13</v>
      </c>
      <c r="E162" s="366" t="s">
        <v>3967</v>
      </c>
    </row>
    <row r="163" spans="2:5" ht="16" customHeight="1" x14ac:dyDescent="0.2">
      <c r="B163" s="7"/>
      <c r="C163" s="7"/>
      <c r="D163" s="7"/>
      <c r="E163" s="7"/>
    </row>
    <row r="164" spans="2:5" ht="34" customHeight="1" x14ac:dyDescent="0.2">
      <c r="B164" s="427" t="s">
        <v>713</v>
      </c>
      <c r="C164" s="428"/>
      <c r="D164" s="428"/>
      <c r="E164" s="429"/>
    </row>
    <row r="165" spans="2:5" ht="20" customHeight="1" x14ac:dyDescent="0.2">
      <c r="B165" s="424" t="s">
        <v>713</v>
      </c>
      <c r="C165" s="425"/>
      <c r="D165" s="425"/>
      <c r="E165" s="426"/>
    </row>
    <row r="166" spans="2:5" ht="20" customHeight="1" x14ac:dyDescent="0.2">
      <c r="B166" s="63" t="s">
        <v>18</v>
      </c>
      <c r="C166" s="63" t="s">
        <v>19</v>
      </c>
      <c r="D166" s="63" t="s">
        <v>20</v>
      </c>
      <c r="E166" s="63" t="s">
        <v>21</v>
      </c>
    </row>
    <row r="167" spans="2:5" ht="19" customHeight="1" x14ac:dyDescent="0.2">
      <c r="B167" s="23" t="s">
        <v>714</v>
      </c>
      <c r="C167" s="154" t="str">
        <f>CONCATENATE(this_instance,"-w0",wld_domain_number_chosen,"-vc01",".",sample_child_dns_zone)</f>
        <v>sfo-w01-vc01.sfo.rainpole.io</v>
      </c>
      <c r="D167" s="66"/>
      <c r="E167" s="42"/>
    </row>
    <row r="168" spans="2:5" ht="20" customHeight="1" x14ac:dyDescent="0.2">
      <c r="B168" s="23" t="s">
        <v>710</v>
      </c>
      <c r="C168" s="65" t="str">
        <f>CONCATENATE(this_instance,"-w0",wld_domain_number_chosen,".local")</f>
        <v>sfo-w01.local</v>
      </c>
      <c r="D168" s="66"/>
      <c r="E168" s="42"/>
    </row>
    <row r="169" spans="2:5" ht="16" customHeight="1" x14ac:dyDescent="0.2">
      <c r="B169" s="7"/>
      <c r="C169" s="7"/>
      <c r="D169" s="7"/>
      <c r="E169" s="7"/>
    </row>
    <row r="170" spans="2:5" ht="34" customHeight="1" x14ac:dyDescent="0.2">
      <c r="B170" s="427" t="s">
        <v>646</v>
      </c>
      <c r="C170" s="428"/>
      <c r="D170" s="428"/>
      <c r="E170" s="429"/>
    </row>
    <row r="171" spans="2:5" ht="20" customHeight="1" x14ac:dyDescent="0.2">
      <c r="B171" s="424" t="s">
        <v>716</v>
      </c>
      <c r="C171" s="425"/>
      <c r="D171" s="425"/>
      <c r="E171" s="426"/>
    </row>
    <row r="172" spans="2:5" ht="20" customHeight="1" x14ac:dyDescent="0.2">
      <c r="B172" s="63" t="s">
        <v>18</v>
      </c>
      <c r="C172" s="63" t="s">
        <v>19</v>
      </c>
      <c r="D172" s="63" t="s">
        <v>20</v>
      </c>
      <c r="E172" s="63" t="s">
        <v>21</v>
      </c>
    </row>
    <row r="173" spans="2:5" ht="20" customHeight="1" x14ac:dyDescent="0.2">
      <c r="B173" s="23" t="s">
        <v>204</v>
      </c>
      <c r="C173" s="65" t="str">
        <f>CONCATENATE(this_instance,"-w0",wld_domain_number_chosen,"-cl01")</f>
        <v>sfo-w01-cl01</v>
      </c>
      <c r="D173" s="66"/>
      <c r="E173" s="42"/>
    </row>
    <row r="174" spans="2:5" ht="19" customHeight="1" x14ac:dyDescent="0.2">
      <c r="B174" s="23" t="s">
        <v>717</v>
      </c>
      <c r="C174" s="65" t="str">
        <f>CONCATENATE(this_instance,"-w0",wld_domain_number_chosen,"-zn01")</f>
        <v>sfo-w01-zn01</v>
      </c>
      <c r="D174" s="66"/>
      <c r="E174" s="8" t="str">
        <f>IF(wld_iaas_chosen="Exclude","This value is masked out as you have chosen not to deploy vSphere Supervisor with NSX VPC Networking","")</f>
        <v>This value is masked out as you have chosen not to deploy vSphere Supervisor with NSX VPC Networking</v>
      </c>
    </row>
    <row r="175" spans="2:5" ht="16" customHeight="1" x14ac:dyDescent="0.2">
      <c r="B175" s="7"/>
      <c r="C175" s="7"/>
      <c r="D175" s="7"/>
      <c r="E175" s="7"/>
    </row>
    <row r="176" spans="2:5" ht="34" customHeight="1" x14ac:dyDescent="0.2">
      <c r="B176" s="427" t="s">
        <v>718</v>
      </c>
      <c r="C176" s="428"/>
      <c r="D176" s="428"/>
      <c r="E176" s="429"/>
    </row>
    <row r="177" spans="2:5" ht="20" customHeight="1" x14ac:dyDescent="0.2">
      <c r="B177" s="424" t="s">
        <v>719</v>
      </c>
      <c r="C177" s="425"/>
      <c r="D177" s="425"/>
      <c r="E177" s="426"/>
    </row>
    <row r="178" spans="2:5" ht="19" customHeight="1" x14ac:dyDescent="0.2">
      <c r="B178" s="23" t="s">
        <v>718</v>
      </c>
      <c r="C178" s="65" t="str">
        <f>CONCATENATE(this_instance,"-w0",wld_domain_number_chosen,"-cl01")</f>
        <v>sfo-w01-cl01</v>
      </c>
      <c r="D178" s="66"/>
      <c r="E178" s="42"/>
    </row>
    <row r="179" spans="2:5" ht="16" customHeight="1" x14ac:dyDescent="0.2">
      <c r="B179" s="7"/>
      <c r="C179" s="7"/>
      <c r="D179" s="7"/>
      <c r="E179" s="7"/>
    </row>
    <row r="180" spans="2:5" ht="34" customHeight="1" x14ac:dyDescent="0.2">
      <c r="B180" s="427" t="s">
        <v>680</v>
      </c>
      <c r="C180" s="428"/>
      <c r="D180" s="428"/>
      <c r="E180" s="429"/>
    </row>
    <row r="181" spans="2:5" ht="20" customHeight="1" x14ac:dyDescent="0.2">
      <c r="B181" s="424" t="s">
        <v>681</v>
      </c>
      <c r="C181" s="425"/>
      <c r="D181" s="425"/>
      <c r="E181" s="426"/>
    </row>
    <row r="182" spans="2:5" ht="20" customHeight="1" x14ac:dyDescent="0.2">
      <c r="B182" s="63" t="s">
        <v>18</v>
      </c>
      <c r="C182" s="63" t="s">
        <v>19</v>
      </c>
      <c r="D182" s="63" t="s">
        <v>20</v>
      </c>
      <c r="E182" s="63" t="s">
        <v>21</v>
      </c>
    </row>
    <row r="183" spans="2:5" ht="20" customHeight="1" x14ac:dyDescent="0.2">
      <c r="B183" s="23" t="s">
        <v>682</v>
      </c>
      <c r="C183" s="65" t="s">
        <v>3788</v>
      </c>
      <c r="D183" s="66" t="s">
        <v>3788</v>
      </c>
      <c r="E183" s="43" t="str">
        <f>IF(wld_cl01_nsxt_deployent_type_chosen="Create new NSX Manager instance","Recommended if creating a domain that does not need workload mobility with an existing domain", "Recommended if workload mobility and common networking policy with an existing domain is required")</f>
        <v>Recommended if creating a domain that does not need workload mobility with an existing domain</v>
      </c>
    </row>
    <row r="184" spans="2:5" ht="20" customHeight="1" x14ac:dyDescent="0.2">
      <c r="B184" s="424" t="s">
        <v>3787</v>
      </c>
      <c r="C184" s="425"/>
      <c r="D184" s="425"/>
      <c r="E184" s="426"/>
    </row>
    <row r="185" spans="2:5" ht="20" customHeight="1" x14ac:dyDescent="0.2">
      <c r="B185" s="63" t="s">
        <v>18</v>
      </c>
      <c r="C185" s="63" t="s">
        <v>19</v>
      </c>
      <c r="D185" s="63" t="s">
        <v>20</v>
      </c>
      <c r="E185" s="63" t="s">
        <v>21</v>
      </c>
    </row>
    <row r="186" spans="2:5" ht="20" customHeight="1" x14ac:dyDescent="0.2">
      <c r="B186" s="23" t="s">
        <v>684</v>
      </c>
      <c r="C186" s="65" t="s">
        <v>720</v>
      </c>
      <c r="D186" s="66" t="s">
        <v>720</v>
      </c>
      <c r="E186" s="8"/>
    </row>
    <row r="187" spans="2:5" ht="20" customHeight="1" x14ac:dyDescent="0.2">
      <c r="B187" s="23" t="s">
        <v>686</v>
      </c>
      <c r="C187" s="65" t="s">
        <v>92</v>
      </c>
      <c r="D187" s="66" t="s">
        <v>92</v>
      </c>
      <c r="E187" s="8"/>
    </row>
    <row r="188" spans="2:5" ht="20" customHeight="1" x14ac:dyDescent="0.2">
      <c r="B188" s="23" t="s">
        <v>687</v>
      </c>
      <c r="C188" s="154" t="str">
        <f>CONCATENATE(this_instance,"-w0",wld_domain_number_chosen,"-nsx01a",".",sample_child_dns_zone)</f>
        <v>sfo-w01-nsx01a.sfo.rainpole.io</v>
      </c>
      <c r="D188" s="182"/>
      <c r="E188" s="8" t="s">
        <v>688</v>
      </c>
    </row>
    <row r="189" spans="2:5" ht="20" customHeight="1" x14ac:dyDescent="0.2">
      <c r="B189" s="23" t="s">
        <v>721</v>
      </c>
      <c r="C189" s="154" t="str">
        <f>IF(mgmt_dpg_reuse_result="Included",CONCATENATE(prefix_mgmt_az1_cidr,"10.",(132 + (30*(wld_domain_number_chosen - 1)))),CONCATENATE(prefix_mgmt_az1_cidr,"11.",(132 + (30*(wld_domain_number_chosen - 1)))))</f>
        <v>10.11.10.132</v>
      </c>
      <c r="D189" s="66"/>
      <c r="E189" s="8" t="s">
        <v>3651</v>
      </c>
    </row>
    <row r="190" spans="2:5" ht="20" customHeight="1" x14ac:dyDescent="0.2">
      <c r="B190" s="23" t="s">
        <v>689</v>
      </c>
      <c r="C190" s="154" t="str">
        <f>CONCATENATE(this_instance,"-w0",wld_domain_number_chosen,"-nsx01b",".",sample_child_dns_zone)</f>
        <v>sfo-w01-nsx01b.sfo.rainpole.io</v>
      </c>
      <c r="D190" s="66"/>
      <c r="E190" s="8" t="s">
        <v>690</v>
      </c>
    </row>
    <row r="191" spans="2:5" ht="20" customHeight="1" x14ac:dyDescent="0.2">
      <c r="B191" s="23" t="s">
        <v>722</v>
      </c>
      <c r="C191" s="154" t="str">
        <f>IF(mgmt_dpg_reuse_result="Included",CONCATENATE(prefix_mgmt_az1_cidr,"10.",(133 + (30*(wld_domain_number_chosen - 1)))),CONCATENATE(prefix_mgmt_az1_cidr,"11.",(133 + (30*(wld_domain_number_chosen - 1)))))</f>
        <v>10.11.10.133</v>
      </c>
      <c r="D191" s="66"/>
      <c r="E191" s="8" t="s">
        <v>3651</v>
      </c>
    </row>
    <row r="192" spans="2:5" ht="20" customHeight="1" x14ac:dyDescent="0.2">
      <c r="B192" s="23" t="s">
        <v>691</v>
      </c>
      <c r="C192" s="154" t="str">
        <f>CONCATENATE(this_instance,"-w0",wld_domain_number_chosen,"-nsx01c",".",sample_child_dns_zone)</f>
        <v>sfo-w01-nsx01c.sfo.rainpole.io</v>
      </c>
      <c r="D192" s="66"/>
      <c r="E192" s="8" t="s">
        <v>692</v>
      </c>
    </row>
    <row r="193" spans="2:5" ht="20" customHeight="1" x14ac:dyDescent="0.2">
      <c r="B193" s="23" t="s">
        <v>723</v>
      </c>
      <c r="C193" s="154" t="str">
        <f>IF(mgmt_dpg_reuse_result="Included",CONCATENATE(prefix_mgmt_az1_cidr,"10.",(134 + (30*(wld_domain_number_chosen - 1)))),CONCATENATE(prefix_mgmt_az1_cidr,"11.",(134 + (30*(wld_domain_number_chosen - 1)))))</f>
        <v>10.11.10.134</v>
      </c>
      <c r="D193" s="66"/>
      <c r="E193" s="8" t="s">
        <v>3651</v>
      </c>
    </row>
    <row r="194" spans="2:5" ht="20" customHeight="1" x14ac:dyDescent="0.2">
      <c r="B194" s="23" t="s">
        <v>693</v>
      </c>
      <c r="C194" s="154" t="str">
        <f>CONCATENATE(this_instance,"-w0",wld_domain_number_chosen,"-nsx01",".",sample_child_dns_zone)</f>
        <v>sfo-w01-nsx01.sfo.rainpole.io</v>
      </c>
      <c r="D194" s="182"/>
      <c r="E194" s="8" t="str">
        <f>IF(wld_cl01_nsxt_deployent_type_chosen="Join existing NSX Manager instance","VPCs will span across workload domains that are connected to this NSX Manager instance. NSX Manager VIP","NSX Manager / Local Manager VIP")</f>
        <v>NSX Manager / Local Manager VIP</v>
      </c>
    </row>
    <row r="195" spans="2:5" ht="20" customHeight="1" x14ac:dyDescent="0.2">
      <c r="B195" s="23" t="s">
        <v>724</v>
      </c>
      <c r="C195" s="154" t="str">
        <f>IF(mgmt_dpg_reuse_result="Included",CONCATENATE(prefix_mgmt_az1_cidr,"10.",(131+(30*(wld_domain_number_chosen-1)))),CONCATENATE(prefix_mgmt_az1_cidr,"11.",(131+(30*(wld_domain_number_chosen-1)))))</f>
        <v>10.11.10.131</v>
      </c>
      <c r="D195" s="66"/>
      <c r="E195" s="8" t="s">
        <v>3651</v>
      </c>
    </row>
    <row r="196" spans="2:5" ht="20" customHeight="1" x14ac:dyDescent="0.2">
      <c r="B196" s="23" t="s">
        <v>726</v>
      </c>
      <c r="C196" s="65" t="s">
        <v>83</v>
      </c>
      <c r="D196" s="66" t="s">
        <v>3789</v>
      </c>
      <c r="E196" s="8" t="str">
        <f>IF(wld_centralized_connectivity_chosen="Centralized connectivity","Centralized connectivity will be configured after WLD deployed is complete by a secondary workflow","Distributed connectivity will place the VNA appliances on the ESX Management network.")</f>
        <v>Distributed connectivity will place the VNA appliances on the ESX Management network.</v>
      </c>
    </row>
    <row r="197" spans="2:5" ht="20" customHeight="1" x14ac:dyDescent="0.2">
      <c r="B197" s="23" t="s">
        <v>85</v>
      </c>
      <c r="C197" s="65" t="str">
        <f>_xlfn.CONCAT(prefix_wld_az1_vlan,98)</f>
        <v>1398</v>
      </c>
      <c r="D197" s="66"/>
      <c r="E197" s="8"/>
    </row>
    <row r="198" spans="2:5" ht="20" customHeight="1" x14ac:dyDescent="0.2">
      <c r="B198" s="23" t="s">
        <v>727</v>
      </c>
      <c r="C198" s="65" t="str">
        <f>CONCATENATE(prefix_wld_az1_cidr,"98.1/24")</f>
        <v>10.13.98.1/24</v>
      </c>
      <c r="D198" s="66"/>
      <c r="E198" s="8"/>
    </row>
    <row r="199" spans="2:5" ht="20" customHeight="1" x14ac:dyDescent="0.2">
      <c r="B199" s="23" t="s">
        <v>3790</v>
      </c>
      <c r="C199" s="65" t="str">
        <f>CONCATENATE(this_instance,"-w0",wld_domain_number_chosen,"-vna01",".",sample_child_dns_zone)</f>
        <v>sfo-w01-vna01.sfo.rainpole.io</v>
      </c>
      <c r="D199" s="66"/>
      <c r="E199" s="8" t="s">
        <v>3830</v>
      </c>
    </row>
    <row r="200" spans="2:5" ht="20" customHeight="1" x14ac:dyDescent="0.2">
      <c r="B200" s="23" t="s">
        <v>3791</v>
      </c>
      <c r="C200" s="65" t="str">
        <f>CONCATENATE(this_instance,"-w0",wld_domain_number_chosen,"-vna02",".",sample_child_dns_zone)</f>
        <v>sfo-w01-vna02.sfo.rainpole.io</v>
      </c>
      <c r="D200" s="66"/>
      <c r="E200" s="8" t="s">
        <v>3830</v>
      </c>
    </row>
    <row r="201" spans="2:5" ht="16" customHeight="1" x14ac:dyDescent="0.2">
      <c r="B201" s="7"/>
      <c r="C201" s="7"/>
      <c r="D201" s="7"/>
      <c r="E201" s="7"/>
    </row>
    <row r="202" spans="2:5" ht="34" customHeight="1" x14ac:dyDescent="0.2">
      <c r="B202" s="427" t="s">
        <v>728</v>
      </c>
      <c r="C202" s="428"/>
      <c r="D202" s="428"/>
      <c r="E202" s="429"/>
    </row>
    <row r="203" spans="2:5" ht="20" customHeight="1" x14ac:dyDescent="0.2">
      <c r="B203" s="424" t="s">
        <v>719</v>
      </c>
      <c r="C203" s="425"/>
      <c r="D203" s="425"/>
      <c r="E203" s="426"/>
    </row>
    <row r="204" spans="2:5" ht="20" customHeight="1" x14ac:dyDescent="0.2">
      <c r="B204" s="63" t="s">
        <v>18</v>
      </c>
      <c r="C204" s="63" t="s">
        <v>19</v>
      </c>
      <c r="D204" s="63" t="s">
        <v>20</v>
      </c>
      <c r="E204" s="63" t="s">
        <v>21</v>
      </c>
    </row>
    <row r="205" spans="2:5" ht="19" customHeight="1" x14ac:dyDescent="0.2">
      <c r="B205" s="23" t="s">
        <v>729</v>
      </c>
      <c r="C205" s="65" t="s">
        <v>258</v>
      </c>
      <c r="D205" s="8" t="str">
        <f>D147</f>
        <v>vSAN</v>
      </c>
      <c r="E205" s="43" t="s">
        <v>4021</v>
      </c>
    </row>
    <row r="206" spans="2:5" ht="19" customHeight="1" x14ac:dyDescent="0.2">
      <c r="B206" s="23" t="s">
        <v>730</v>
      </c>
      <c r="C206" s="65" t="s">
        <v>156</v>
      </c>
      <c r="D206" s="8" t="str">
        <f>IF(OR(wld_principal_storage_chosen="vSAN-ESA",wld_principal_storage_chosen="vSAN Storage Cluster",wld_principal_storage_chosen="vSAN Compute Cluster"),"Selected","Unselected")</f>
        <v>Selected</v>
      </c>
      <c r="E206" s="43" t="s">
        <v>4021</v>
      </c>
    </row>
    <row r="207" spans="2:5" ht="16" customHeight="1" x14ac:dyDescent="0.2">
      <c r="B207" s="7"/>
      <c r="C207" s="7"/>
      <c r="D207" s="7"/>
      <c r="E207" s="7"/>
    </row>
    <row r="208" spans="2:5" ht="34" customHeight="1" x14ac:dyDescent="0.2">
      <c r="B208" s="427" t="str">
        <f>IF(OR(wld_principal_storage_chosen="vSAN-ESA",wld_principal_storage_chosen="vSAN Storage Cluster",wld_principal_storage_chosen="vSAN-OSA"),"vSAN Storage",IF(wld_principal_storage_chosen="NFSv3","NFS Storage",""))</f>
        <v>vSAN Storage</v>
      </c>
      <c r="C208" s="428"/>
      <c r="D208" s="428"/>
      <c r="E208" s="429"/>
    </row>
    <row r="209" spans="2:5" ht="20" customHeight="1" x14ac:dyDescent="0.2">
      <c r="B209" s="424" t="s">
        <v>731</v>
      </c>
      <c r="C209" s="425"/>
      <c r="D209" s="425"/>
      <c r="E209" s="426"/>
    </row>
    <row r="210" spans="2:5" ht="20" customHeight="1" x14ac:dyDescent="0.2">
      <c r="B210" s="63" t="s">
        <v>18</v>
      </c>
      <c r="C210" s="63" t="s">
        <v>19</v>
      </c>
      <c r="D210" s="63" t="s">
        <v>20</v>
      </c>
      <c r="E210" s="63" t="s">
        <v>21</v>
      </c>
    </row>
    <row r="211" spans="2:5" ht="20" customHeight="1" x14ac:dyDescent="0.2">
      <c r="B211" s="4" t="s">
        <v>732</v>
      </c>
      <c r="C211" s="65" t="s">
        <v>733</v>
      </c>
      <c r="D211" s="8" t="str">
        <f>D148</f>
        <v>vSAN HCI</v>
      </c>
      <c r="E211" s="8" t="str">
        <f>IF(D148="vSAN Storage","A dedicated cluster of hosts providing a distributed decoupled storage solution for vSphere cluster","A software-defined infrastructure that combines compute and storage into a single integrated system.")</f>
        <v>A software-defined infrastructure that combines compute and storage into a single integrated system.</v>
      </c>
    </row>
    <row r="212" spans="2:5" ht="20" customHeight="1" x14ac:dyDescent="0.2">
      <c r="B212" s="4" t="s">
        <v>272</v>
      </c>
      <c r="C212" s="65" t="str">
        <f>CONCATENATE(sample_wld_sddc_domain,"-",sample_wld_cl01_cluster,"-vsan01")</f>
        <v>sfo-w01-sfo-w01-cl01-vsan01</v>
      </c>
      <c r="D212" s="66"/>
      <c r="E212" s="8" t="s">
        <v>3652</v>
      </c>
    </row>
    <row r="213" spans="2:5" ht="20" customHeight="1" x14ac:dyDescent="0.2">
      <c r="B213" s="4" t="s">
        <v>734</v>
      </c>
      <c r="C213" s="65" t="s">
        <v>142</v>
      </c>
      <c r="D213" s="8" t="str">
        <f>IF(wld_secondary_storage_chosen="vSAN Storage Client Network","Selected","Unselected")</f>
        <v>Unselected</v>
      </c>
      <c r="E213" s="366" t="s">
        <v>4019</v>
      </c>
    </row>
    <row r="214" spans="2:5" ht="20" customHeight="1" x14ac:dyDescent="0.2">
      <c r="B214" s="4" t="str">
        <f>IF(wld_principal_storage_chosen="vSAN-ESA","Storage Policy", "vSAN: Failures to Tolerate (FTT)")</f>
        <v>Storage Policy</v>
      </c>
      <c r="C214" s="65">
        <v>1</v>
      </c>
      <c r="D214" s="66">
        <v>1</v>
      </c>
      <c r="E214" s="366" t="s">
        <v>4020</v>
      </c>
    </row>
    <row r="215" spans="2:5" ht="20" customHeight="1" x14ac:dyDescent="0.2">
      <c r="B215" s="4" t="s">
        <v>3792</v>
      </c>
      <c r="C215" s="65" t="s">
        <v>142</v>
      </c>
      <c r="D215" s="66" t="s">
        <v>156</v>
      </c>
      <c r="E215" s="42"/>
    </row>
    <row r="216" spans="2:5" ht="20" customHeight="1" x14ac:dyDescent="0.2">
      <c r="B216" s="4" t="s">
        <v>3793</v>
      </c>
      <c r="C216" s="65" t="s">
        <v>745</v>
      </c>
      <c r="D216" s="66" t="s">
        <v>4016</v>
      </c>
      <c r="E216" s="43"/>
    </row>
    <row r="217" spans="2:5" ht="20" customHeight="1" x14ac:dyDescent="0.2">
      <c r="B217" s="23" t="s">
        <v>3808</v>
      </c>
      <c r="C217" s="65" t="s">
        <v>3794</v>
      </c>
      <c r="D217" s="66" t="s">
        <v>3794</v>
      </c>
      <c r="E217" s="42"/>
    </row>
    <row r="218" spans="2:5" ht="20" customHeight="1" x14ac:dyDescent="0.2">
      <c r="B218" s="23" t="s">
        <v>3809</v>
      </c>
      <c r="C218" s="65">
        <v>1440</v>
      </c>
      <c r="D218" s="66"/>
      <c r="E218" s="43" t="s">
        <v>3802</v>
      </c>
    </row>
    <row r="219" spans="2:5" ht="20" customHeight="1" x14ac:dyDescent="0.2">
      <c r="B219" s="4" t="s">
        <v>736</v>
      </c>
      <c r="C219" s="65" t="s">
        <v>142</v>
      </c>
      <c r="D219" s="66" t="s">
        <v>142</v>
      </c>
      <c r="E219" s="42"/>
    </row>
    <row r="220" spans="2:5" ht="20" customHeight="1" x14ac:dyDescent="0.2">
      <c r="B220" s="183" t="s">
        <v>737</v>
      </c>
      <c r="C220" s="65" t="str">
        <f>CONCATENATE(this_instance,"-w0",wld_domain_number_chosen,"-cl01-ds-vmfs01")</f>
        <v>sfo-w01-cl01-ds-vmfs01</v>
      </c>
      <c r="D220" s="66"/>
      <c r="E220" s="42"/>
    </row>
    <row r="221" spans="2:5" ht="20" customHeight="1" x14ac:dyDescent="0.2">
      <c r="B221" s="30" t="s">
        <v>738</v>
      </c>
      <c r="C221" s="65" t="str">
        <f>CONCATENATE(this_instance,"-w0",wld_domain_number_chosen,"-cl01-ds-nfs01")</f>
        <v>sfo-w01-cl01-ds-nfs01</v>
      </c>
      <c r="D221" s="66"/>
      <c r="E221" s="42"/>
    </row>
    <row r="222" spans="2:5" ht="20" customHeight="1" x14ac:dyDescent="0.2">
      <c r="B222" s="30" t="s">
        <v>3795</v>
      </c>
      <c r="C222" s="65" t="str">
        <f>CONCATENATE(this_instance,"-w0",wld_domain_number_chosen,"-cl01-ds-nfs01-share")</f>
        <v>sfo-w01-cl01-ds-nfs01-share</v>
      </c>
      <c r="D222" s="66"/>
      <c r="E222" s="42"/>
    </row>
    <row r="223" spans="2:5" ht="19" customHeight="1" x14ac:dyDescent="0.2">
      <c r="B223" s="30" t="s">
        <v>3796</v>
      </c>
      <c r="C223" s="65" t="str">
        <f>CONCATENATE(prefix_wld_az1_cidr,"15.4")</f>
        <v>10.13.15.4</v>
      </c>
      <c r="D223" s="66"/>
      <c r="E223" s="42"/>
    </row>
    <row r="224" spans="2:5" ht="16" customHeight="1" x14ac:dyDescent="0.2">
      <c r="B224" s="7"/>
      <c r="C224" s="7"/>
      <c r="D224" s="7"/>
      <c r="E224" s="7"/>
    </row>
    <row r="225" spans="2:5" ht="34" customHeight="1" x14ac:dyDescent="0.2">
      <c r="B225" s="427" t="s">
        <v>741</v>
      </c>
      <c r="C225" s="428"/>
      <c r="D225" s="428"/>
      <c r="E225" s="429"/>
    </row>
    <row r="226" spans="2:5" ht="20" customHeight="1" x14ac:dyDescent="0.2">
      <c r="B226" s="424"/>
      <c r="C226" s="425"/>
      <c r="D226" s="425"/>
      <c r="E226" s="426"/>
    </row>
    <row r="227" spans="2:5" ht="20" customHeight="1" x14ac:dyDescent="0.2">
      <c r="B227" s="63" t="s">
        <v>18</v>
      </c>
      <c r="C227" s="63" t="s">
        <v>19</v>
      </c>
      <c r="D227" s="63" t="s">
        <v>20</v>
      </c>
      <c r="E227" s="63" t="s">
        <v>21</v>
      </c>
    </row>
    <row r="228" spans="2:5" ht="20" customHeight="1" x14ac:dyDescent="0.2">
      <c r="B228" s="23" t="s">
        <v>208</v>
      </c>
      <c r="C228" s="65" t="str">
        <f t="array" ref="C228:C243">sample_wld_az1_host_fqdns</f>
        <v>sfo01-w01-r01-esx01.sfo.rainpole.io</v>
      </c>
      <c r="D228" s="8" t="str">
        <f t="array" ref="D228:D243">wld_az1_host_fqdns</f>
        <v>Value Missing</v>
      </c>
      <c r="E228" s="42"/>
    </row>
    <row r="229" spans="2:5" ht="20" customHeight="1" x14ac:dyDescent="0.2">
      <c r="B229" s="23" t="s">
        <v>210</v>
      </c>
      <c r="C229" s="65" t="str">
        <v>sfo01-w01-r01-esx02.sfo.rainpole.io</v>
      </c>
      <c r="D229" s="8" t="str">
        <v>Value Missing</v>
      </c>
      <c r="E229" s="42"/>
    </row>
    <row r="230" spans="2:5" ht="20" customHeight="1" x14ac:dyDescent="0.2">
      <c r="B230" s="23" t="s">
        <v>212</v>
      </c>
      <c r="C230" s="65" t="str">
        <v>sfo01-w01-r01-esx03.sfo.rainpole.io</v>
      </c>
      <c r="D230" s="8" t="str">
        <v>Value Missing</v>
      </c>
      <c r="E230" s="42"/>
    </row>
    <row r="231" spans="2:5" ht="20" customHeight="1" x14ac:dyDescent="0.2">
      <c r="B231" s="23" t="s">
        <v>214</v>
      </c>
      <c r="C231" s="65" t="str">
        <v>sfo01-w01-r01-esx04.sfo.rainpole.io</v>
      </c>
      <c r="D231" s="8" t="str">
        <v>Value Missing</v>
      </c>
      <c r="E231" s="42"/>
    </row>
    <row r="232" spans="2:5" ht="20" customHeight="1" x14ac:dyDescent="0.2">
      <c r="B232" s="23" t="s">
        <v>216</v>
      </c>
      <c r="C232" s="65" t="str">
        <v>sfo01-w01-r01-esx05.sfo.rainpole.io</v>
      </c>
      <c r="D232" s="8" t="str">
        <v>Value Missing</v>
      </c>
      <c r="E232" s="23"/>
    </row>
    <row r="233" spans="2:5" ht="20" customHeight="1" x14ac:dyDescent="0.2">
      <c r="B233" s="23" t="s">
        <v>218</v>
      </c>
      <c r="C233" s="65" t="str">
        <v>sfo01-w01-r01-esx06.sfo.rainpole.io</v>
      </c>
      <c r="D233" s="8" t="str">
        <v>Value Missing</v>
      </c>
      <c r="E233" s="23"/>
    </row>
    <row r="234" spans="2:5" ht="20" customHeight="1" x14ac:dyDescent="0.2">
      <c r="B234" s="23" t="s">
        <v>220</v>
      </c>
      <c r="C234" s="65" t="str">
        <v>sfo01-w01-r01-esx07.sfo.rainpole.io</v>
      </c>
      <c r="D234" s="8" t="str">
        <v>Value Missing</v>
      </c>
      <c r="E234" s="23"/>
    </row>
    <row r="235" spans="2:5" ht="20" customHeight="1" x14ac:dyDescent="0.2">
      <c r="B235" s="23" t="s">
        <v>222</v>
      </c>
      <c r="C235" s="65" t="str">
        <v>sfo01-w01-r01-esx08.sfo.rainpole.io</v>
      </c>
      <c r="D235" s="8" t="str">
        <v>Value Missing</v>
      </c>
      <c r="E235" s="23"/>
    </row>
    <row r="236" spans="2:5" ht="20" customHeight="1" x14ac:dyDescent="0.2">
      <c r="B236" s="23" t="s">
        <v>224</v>
      </c>
      <c r="C236" s="65" t="str">
        <v>sfo01-w01-r01-esx09.sfo.rainpole.io</v>
      </c>
      <c r="D236" s="8" t="str">
        <v>Value Missing</v>
      </c>
      <c r="E236" s="23"/>
    </row>
    <row r="237" spans="2:5" ht="20" customHeight="1" x14ac:dyDescent="0.2">
      <c r="B237" s="23" t="s">
        <v>226</v>
      </c>
      <c r="C237" s="65" t="str">
        <v>sfo01-w01-r01-esx10.sfo.rainpole.io</v>
      </c>
      <c r="D237" s="8" t="str">
        <v>Value Missing</v>
      </c>
      <c r="E237" s="184"/>
    </row>
    <row r="238" spans="2:5" ht="20" customHeight="1" x14ac:dyDescent="0.2">
      <c r="B238" s="23" t="s">
        <v>228</v>
      </c>
      <c r="C238" s="65" t="str">
        <v>sfo01-w01-r01-esx11.sfo.rainpole.io</v>
      </c>
      <c r="D238" s="8" t="str">
        <v>Value Missing</v>
      </c>
      <c r="E238" s="23"/>
    </row>
    <row r="239" spans="2:5" ht="20" customHeight="1" x14ac:dyDescent="0.2">
      <c r="B239" s="23" t="s">
        <v>230</v>
      </c>
      <c r="C239" s="65" t="str">
        <v>sfo01-w01-r01-esx12.sfo.rainpole.io</v>
      </c>
      <c r="D239" s="8" t="str">
        <v>Value Missing</v>
      </c>
      <c r="E239" s="23"/>
    </row>
    <row r="240" spans="2:5" ht="20" customHeight="1" x14ac:dyDescent="0.2">
      <c r="B240" s="23" t="s">
        <v>232</v>
      </c>
      <c r="C240" s="65" t="str">
        <v>sfo01-w01-r01-esx13.sfo.rainpole.io</v>
      </c>
      <c r="D240" s="8" t="str">
        <v>Value Missing</v>
      </c>
      <c r="E240" s="23"/>
    </row>
    <row r="241" spans="2:5" ht="20" customHeight="1" x14ac:dyDescent="0.2">
      <c r="B241" s="23" t="s">
        <v>234</v>
      </c>
      <c r="C241" s="65" t="str">
        <v>sfo01-w01-r01-esx14.sfo.rainpole.io</v>
      </c>
      <c r="D241" s="8" t="str">
        <v>Value Missing</v>
      </c>
      <c r="E241" s="23"/>
    </row>
    <row r="242" spans="2:5" ht="20" customHeight="1" x14ac:dyDescent="0.2">
      <c r="B242" s="23" t="s">
        <v>236</v>
      </c>
      <c r="C242" s="65" t="str">
        <v>sfo01-w01-r01-esx15.sfo.rainpole.io</v>
      </c>
      <c r="D242" s="8" t="str">
        <v>Value Missing</v>
      </c>
      <c r="E242" s="23"/>
    </row>
    <row r="243" spans="2:5" ht="19" customHeight="1" x14ac:dyDescent="0.2">
      <c r="B243" s="23" t="s">
        <v>238</v>
      </c>
      <c r="C243" s="65" t="str">
        <v>sfo01-w01-r01-esx16.sfo.rainpole.io</v>
      </c>
      <c r="D243" s="8" t="str">
        <v>Value Missing</v>
      </c>
      <c r="E243" s="23"/>
    </row>
    <row r="244" spans="2:5" ht="16" customHeight="1" x14ac:dyDescent="0.2">
      <c r="B244" s="7"/>
      <c r="C244" s="7"/>
      <c r="D244" s="7"/>
      <c r="E244" s="7"/>
    </row>
    <row r="245" spans="2:5" ht="34" customHeight="1" x14ac:dyDescent="0.2">
      <c r="B245" s="427" t="s">
        <v>742</v>
      </c>
      <c r="C245" s="428"/>
      <c r="D245" s="428"/>
      <c r="E245" s="429"/>
    </row>
    <row r="246" spans="2:5" ht="20" customHeight="1" x14ac:dyDescent="0.2">
      <c r="B246" s="424" t="s">
        <v>743</v>
      </c>
      <c r="C246" s="425"/>
      <c r="D246" s="425"/>
      <c r="E246" s="426"/>
    </row>
    <row r="247" spans="2:5" ht="20" customHeight="1" x14ac:dyDescent="0.2">
      <c r="B247" s="63" t="s">
        <v>18</v>
      </c>
      <c r="C247" s="63" t="s">
        <v>19</v>
      </c>
      <c r="D247" s="63" t="s">
        <v>20</v>
      </c>
      <c r="E247" s="63" t="s">
        <v>21</v>
      </c>
    </row>
    <row r="248" spans="2:5" ht="20" customHeight="1" x14ac:dyDescent="0.2">
      <c r="B248" s="23" t="s">
        <v>3452</v>
      </c>
      <c r="C248" s="65" t="s">
        <v>745</v>
      </c>
      <c r="D248" s="66" t="s">
        <v>745</v>
      </c>
      <c r="E248" s="42"/>
    </row>
    <row r="249" spans="2:5" ht="20" customHeight="1" x14ac:dyDescent="0.2">
      <c r="B249" s="23" t="s">
        <v>746</v>
      </c>
      <c r="C249" s="65" t="s">
        <v>142</v>
      </c>
      <c r="D249" s="66" t="s">
        <v>156</v>
      </c>
      <c r="E249" s="8" t="s">
        <v>3649</v>
      </c>
    </row>
    <row r="250" spans="2:5" ht="16" customHeight="1" x14ac:dyDescent="0.2"/>
    <row r="251" spans="2:5" ht="34" customHeight="1" x14ac:dyDescent="0.2">
      <c r="B251" s="185" t="s">
        <v>747</v>
      </c>
      <c r="C251" s="186"/>
      <c r="D251" s="186"/>
      <c r="E251" s="187"/>
    </row>
    <row r="252" spans="2:5" ht="20" customHeight="1" x14ac:dyDescent="0.2">
      <c r="B252" s="188" t="s">
        <v>3588</v>
      </c>
      <c r="C252" s="189"/>
      <c r="D252" s="189"/>
      <c r="E252" s="190"/>
    </row>
    <row r="253" spans="2:5" ht="20" customHeight="1" x14ac:dyDescent="0.2">
      <c r="B253" s="191" t="s">
        <v>18</v>
      </c>
      <c r="C253" s="192" t="s">
        <v>19</v>
      </c>
      <c r="D253" s="192" t="s">
        <v>20</v>
      </c>
      <c r="E253" s="192" t="s">
        <v>21</v>
      </c>
    </row>
    <row r="254" spans="2:5" ht="20" customHeight="1" x14ac:dyDescent="0.2">
      <c r="B254" s="23" t="s">
        <v>749</v>
      </c>
      <c r="C254" s="65" t="str">
        <f>CONCATENATE(sample_wld_cl01_cluster,"-vds01")</f>
        <v>sfo-w01-cl01-vds01</v>
      </c>
      <c r="D254" s="66"/>
      <c r="E254" s="42"/>
    </row>
    <row r="255" spans="2:5" ht="20" customHeight="1" x14ac:dyDescent="0.2">
      <c r="B255" s="23" t="s">
        <v>157</v>
      </c>
      <c r="C255" s="65">
        <v>9000</v>
      </c>
      <c r="D255" s="66"/>
      <c r="E255" s="42"/>
    </row>
    <row r="256" spans="2:5" ht="20" customHeight="1" x14ac:dyDescent="0.2">
      <c r="B256" s="23" t="s">
        <v>3316</v>
      </c>
      <c r="C256" s="65" t="s">
        <v>3560</v>
      </c>
      <c r="D256" s="66" t="s">
        <v>3560</v>
      </c>
      <c r="E256" s="387" t="str">
        <f>IF(wld_cl01_vds01_link_type_chosen="VDS Lag","Only supported via API. Use VCF.JSONGenerator to generate the JSON File once PnP is complete","Option is not visable VCF Operations UI")</f>
        <v>Option is not visable VCF Operations UI</v>
      </c>
    </row>
    <row r="257" spans="2:5" ht="20" customHeight="1" x14ac:dyDescent="0.2">
      <c r="B257" s="4" t="s">
        <v>3561</v>
      </c>
      <c r="C257" s="105" t="str">
        <f>CONCATENATE("w01-cl01-vds1-lg")</f>
        <v>w01-cl01-vds1-lg</v>
      </c>
      <c r="D257" s="66"/>
      <c r="E257" s="387" t="str">
        <f>IF(wld_cl01_vds01_link_type_chosen="VDS Uplinks","This input is masked out as you have chosen to configure VDS Uplinks","Option is not visable in VCF Operations UI. There is a 16 Character Limit for LAG Name")</f>
        <v>This input is masked out as you have chosen to configure VDS Uplinks</v>
      </c>
    </row>
    <row r="258" spans="2:5" ht="20" customHeight="1" x14ac:dyDescent="0.2">
      <c r="B258" s="4" t="s">
        <v>3562</v>
      </c>
      <c r="C258" s="168" t="s">
        <v>760</v>
      </c>
      <c r="D258" s="66" t="s">
        <v>760</v>
      </c>
      <c r="E258" s="387" t="str">
        <f>IF(wld_cl01_vds01_link_type_chosen="VDS Uplinks","This input is masked out as you have chosen to configure VDS Uplinks","Option is not visable in VCF Operations UI")</f>
        <v>This input is masked out as you have chosen to configure VDS Uplinks</v>
      </c>
    </row>
    <row r="259" spans="2:5" ht="20" customHeight="1" x14ac:dyDescent="0.2">
      <c r="B259" s="4" t="s">
        <v>3563</v>
      </c>
      <c r="C259" s="168" t="s">
        <v>3580</v>
      </c>
      <c r="D259" s="66" t="s">
        <v>3580</v>
      </c>
      <c r="E259" s="387" t="str">
        <f>IF(wld_cl01_vds01_link_type_chosen="VDS Uplinks","This input is masked out as you have chosen to configure VDS Uplinks","Option is not visable in VCF Operations UI")</f>
        <v>This input is masked out as you have chosen to configure VDS Uplinks</v>
      </c>
    </row>
    <row r="260" spans="2:5" ht="20" customHeight="1" x14ac:dyDescent="0.2">
      <c r="B260" s="4" t="s">
        <v>3564</v>
      </c>
      <c r="C260" s="168" t="s">
        <v>3565</v>
      </c>
      <c r="D260" s="66" t="s">
        <v>3589</v>
      </c>
      <c r="E260" s="387" t="str">
        <f>IF(wld_cl01_vds01_link_type_chosen="VDS Uplinks","This input is masked out as you have chosen to configure VDS Uplinks","Option is not visable in VCF Operations UI")</f>
        <v>This input is masked out as you have chosen to configure VDS Uplinks</v>
      </c>
    </row>
    <row r="261" spans="2:5" ht="20" customHeight="1" x14ac:dyDescent="0.2">
      <c r="B261" s="30" t="s">
        <v>750</v>
      </c>
      <c r="C261" s="193">
        <v>2</v>
      </c>
      <c r="D261" s="101"/>
      <c r="E261" s="194"/>
    </row>
    <row r="262" spans="2:5" ht="20" customHeight="1" x14ac:dyDescent="0.2">
      <c r="B262" s="23" t="s">
        <v>751</v>
      </c>
      <c r="C262" s="65" t="s">
        <v>752</v>
      </c>
      <c r="D262" s="66"/>
      <c r="E262" s="194"/>
    </row>
    <row r="263" spans="2:5" ht="20" customHeight="1" x14ac:dyDescent="0.2">
      <c r="B263" s="23" t="s">
        <v>753</v>
      </c>
      <c r="C263" s="65" t="s">
        <v>754</v>
      </c>
      <c r="D263" s="8" t="str">
        <f>wld_cl01_vds01_traffic_type</f>
        <v>Management vMotion vSAN NSX-Overlay</v>
      </c>
      <c r="E263" s="42" t="s">
        <v>4121</v>
      </c>
    </row>
    <row r="264" spans="2:5" ht="20" customHeight="1" x14ac:dyDescent="0.2">
      <c r="B264" s="424" t="s">
        <v>787</v>
      </c>
      <c r="C264" s="425"/>
      <c r="D264" s="425"/>
      <c r="E264" s="426"/>
    </row>
    <row r="265" spans="2:5" ht="20" customHeight="1" x14ac:dyDescent="0.2">
      <c r="B265" s="23" t="s">
        <v>788</v>
      </c>
      <c r="C265" s="65" t="str">
        <f>CONCATENATE(sample_wld_cl01_cluster,"-vds02")</f>
        <v>sfo-w01-cl01-vds02</v>
      </c>
      <c r="D265" s="66"/>
      <c r="E265" s="43" t="str">
        <f>IF(OR(wld_cl01_vds_profile_chosen="Default",wld_cl01_vds_profile_chosen="Custom Switch Configuration"),"This input is masked out due to VDS Profile selected","")</f>
        <v>This input is masked out due to VDS Profile selected</v>
      </c>
    </row>
    <row r="266" spans="2:5" ht="20" customHeight="1" x14ac:dyDescent="0.2">
      <c r="B266" s="23" t="s">
        <v>157</v>
      </c>
      <c r="C266" s="65">
        <v>9000</v>
      </c>
      <c r="D266" s="66"/>
      <c r="E266" s="43" t="str">
        <f>IF(OR(wld_cl01_vds_profile_chosen="Default",wld_cl01_vds_profile_chosen="Custom Switch Configuration"),"This input is masked out due to VDS Profile selected","")</f>
        <v>This input is masked out due to VDS Profile selected</v>
      </c>
    </row>
    <row r="267" spans="2:5" ht="20" customHeight="1" x14ac:dyDescent="0.2">
      <c r="B267" s="23" t="s">
        <v>3316</v>
      </c>
      <c r="C267" s="65" t="s">
        <v>3560</v>
      </c>
      <c r="D267" s="66" t="s">
        <v>3560</v>
      </c>
      <c r="E267" s="254" t="str">
        <f>IF(wld_cl01_vds_profile_chosen="Default","This input is masked out due to VDS Profile selected",IF(wld_cl01_vds02_link_type_chosen="VDS Lag","Only supported via API. Use VCF.JSONGenerator to generate the JSON File once PnP is complete","Option is not visable in VCF Operations UI. There is a 16 Character Limit for LAG Name"))</f>
        <v>This input is masked out due to VDS Profile selected</v>
      </c>
    </row>
    <row r="268" spans="2:5" ht="20" customHeight="1" x14ac:dyDescent="0.2">
      <c r="B268" s="4" t="s">
        <v>3561</v>
      </c>
      <c r="C268" s="105" t="str">
        <f>CONCATENATE("w01-cl01-vds2-lg")</f>
        <v>w01-cl01-vds2-lg</v>
      </c>
      <c r="D268" s="66"/>
      <c r="E268" s="254" t="str">
        <f>IF(OR(wld_cl01_vds_profile_chosen="Default",wld_cl01_vds_profile_chosen="Custom Switch Configuration"),"This input is masked out due to VDS Profile selected",IF(wld_cl01_vds02_link_type_chosen="VDS Uplinks","This input is masked out as you have chosen to configure VDS Uplinks","Option is not visable in VCF Operations UI. There is a 16 Character Limit for LAG Name"))</f>
        <v>This input is masked out due to VDS Profile selected</v>
      </c>
    </row>
    <row r="269" spans="2:5" ht="20" customHeight="1" x14ac:dyDescent="0.2">
      <c r="B269" s="4" t="s">
        <v>3562</v>
      </c>
      <c r="C269" s="168" t="s">
        <v>760</v>
      </c>
      <c r="D269" s="66" t="s">
        <v>760</v>
      </c>
      <c r="E269" s="254" t="str">
        <f>IF(OR(wld_cl01_vds_profile_chosen="Default",wld_cl01_vds_profile_chosen="Custom Switch Configuration"),"This input is masked out due to VDS Profile selected",IF(wld_cl01_vds02_link_type_chosen="VDS Uplinks","This input is masked out as you have chosen to configure VDS Uplinks","Option is not visable in VCF Operations UI"))</f>
        <v>This input is masked out due to VDS Profile selected</v>
      </c>
    </row>
    <row r="270" spans="2:5" ht="20" customHeight="1" x14ac:dyDescent="0.2">
      <c r="B270" s="4" t="s">
        <v>3563</v>
      </c>
      <c r="C270" s="168" t="s">
        <v>3580</v>
      </c>
      <c r="D270" s="66" t="s">
        <v>3580</v>
      </c>
      <c r="E270" s="254" t="str">
        <f>IF(OR(wld_cl01_vds_profile_chosen="Default",wld_cl01_vds_profile_chosen="Custom Switch Configuration"),"This input is masked out due to VDS Profile selected",IF(wld_cl01_vds02_link_type_chosen="VDS Uplinks","This input is masked out as you have chosen to configure VDS Uplinks","Option is not visable in VCF Operations UI"))</f>
        <v>This input is masked out due to VDS Profile selected</v>
      </c>
    </row>
    <row r="271" spans="2:5" ht="20" customHeight="1" x14ac:dyDescent="0.2">
      <c r="B271" s="4" t="s">
        <v>3564</v>
      </c>
      <c r="C271" s="168" t="s">
        <v>3565</v>
      </c>
      <c r="D271" s="66" t="s">
        <v>3589</v>
      </c>
      <c r="E271" s="254" t="str">
        <f>IF(OR(wld_cl01_vds_profile_chosen="Default",wld_cl01_vds_profile_chosen="Custom Switch Configuration"),"This input is masked out due to VDS Profile selected",IF(wld_cl01_vds02_link_type_chosen="VDS Uplinks","This input is masked out as you have chosen to configure VDS Uplinks","Option is not visable in VCF Operations UI"))</f>
        <v>This input is masked out due to VDS Profile selected</v>
      </c>
    </row>
    <row r="272" spans="2:5" ht="20" customHeight="1" x14ac:dyDescent="0.2">
      <c r="B272" s="30" t="s">
        <v>750</v>
      </c>
      <c r="C272" s="193">
        <v>2</v>
      </c>
      <c r="D272" s="66"/>
      <c r="E272" s="254" t="str">
        <f>IF(OR(wld_cl01_vds_profile_chosen="Default",wld_cl01_vds_profile_chosen="Custom Switch Configuration"),"This input is masked out due to VDS Profile selected","")</f>
        <v>This input is masked out due to VDS Profile selected</v>
      </c>
    </row>
    <row r="273" spans="2:5" ht="20" customHeight="1" x14ac:dyDescent="0.2">
      <c r="B273" s="23" t="s">
        <v>751</v>
      </c>
      <c r="C273" s="65" t="s">
        <v>789</v>
      </c>
      <c r="D273" s="66"/>
      <c r="E273" s="43" t="str">
        <f>IF(OR(wld_cl01_vds_profile_chosen="Default",wld_cl01_vds_profile_chosen="Custom Switch Configuration"),"This input is masked out due to VDS Profile selected","")</f>
        <v>This input is masked out due to VDS Profile selected</v>
      </c>
    </row>
    <row r="274" spans="2:5" ht="20" customHeight="1" x14ac:dyDescent="0.2">
      <c r="B274" s="23" t="s">
        <v>753</v>
      </c>
      <c r="C274" s="65" t="s">
        <v>258</v>
      </c>
      <c r="D274" s="8" t="str">
        <f>wld_cl01_vds02_traffic_type</f>
        <v>Value Missing</v>
      </c>
      <c r="E274" s="43" t="str">
        <f>IF(OR(wld_cl01_vds_profile_chosen="Default",wld_cl01_vds_profile_chosen="Custom Switch Configuration"),"This input is masked out due to VDS Profile selected","Traffic Type is set based on your Selected VDS Profile")</f>
        <v>This input is masked out due to VDS Profile selected</v>
      </c>
    </row>
    <row r="275" spans="2:5" ht="20" customHeight="1" x14ac:dyDescent="0.2">
      <c r="B275" s="424" t="s">
        <v>790</v>
      </c>
      <c r="C275" s="425"/>
      <c r="D275" s="425"/>
      <c r="E275" s="426"/>
    </row>
    <row r="276" spans="2:5" ht="20" customHeight="1" x14ac:dyDescent="0.2">
      <c r="B276" s="23" t="s">
        <v>791</v>
      </c>
      <c r="C276" s="65" t="str">
        <f>CONCATENATE(sample_wld_cl01_cluster,"-vds03")</f>
        <v>sfo-w01-cl01-vds03</v>
      </c>
      <c r="D276" s="66"/>
      <c r="E276" s="43" t="str">
        <f>IF(wld_cl01_vds_profile_chosen&lt;&gt;"Storage Traffic and NSX Traffic Separation","This input is masked out due to VDS Profile selected","")</f>
        <v>This input is masked out due to VDS Profile selected</v>
      </c>
    </row>
    <row r="277" spans="2:5" ht="20" customHeight="1" x14ac:dyDescent="0.2">
      <c r="B277" s="23" t="s">
        <v>157</v>
      </c>
      <c r="C277" s="65">
        <v>9000</v>
      </c>
      <c r="D277" s="66"/>
      <c r="E277" s="43" t="str">
        <f>IF(wld_cl01_vds_profile_chosen&lt;&gt;"Storage Traffic and NSX Traffic Separation","This input is masked out due to VDS Profile selected","")</f>
        <v>This input is masked out due to VDS Profile selected</v>
      </c>
    </row>
    <row r="278" spans="2:5" ht="20" customHeight="1" x14ac:dyDescent="0.2">
      <c r="B278" s="23" t="s">
        <v>3316</v>
      </c>
      <c r="C278" s="65" t="s">
        <v>3560</v>
      </c>
      <c r="D278" s="66" t="s">
        <v>3560</v>
      </c>
      <c r="E278" s="387" t="str">
        <f>IF(wld_cl01_vds_profile_chosen&lt;&gt;"Storage Traffic and NSX Traffic Separation","This input is masked out due to VDS Profile selected",IF(wld_cl01_vds03_link_type_chosen="VDS Lag","Only supported via API. Use VCF.JSONGenerator to generate the JSON File once PnP is complete","Option is not visable VCF Operations UI"))</f>
        <v>This input is masked out due to VDS Profile selected</v>
      </c>
    </row>
    <row r="279" spans="2:5" ht="20" customHeight="1" x14ac:dyDescent="0.2">
      <c r="B279" s="4" t="s">
        <v>3561</v>
      </c>
      <c r="C279" s="105" t="str">
        <f>CONCATENATE("w01-cl01-vds3-lg")</f>
        <v>w01-cl01-vds3-lg</v>
      </c>
      <c r="D279" s="66"/>
      <c r="E279" s="387" t="str">
        <f>IF(wld_cl01_vds_profile_chosen&lt;&gt;"Storage Traffic and NSX Traffic Separation","This input is masked out due to VDS Profile selected",IF(wld_cl01_vds03_link_type_chosen="VDS Uplinks","This input is masked out as you have chosen to configure VDS Uplinks","Option is not visable in VCF Operations UI. There is a 16 Character Limit for LAG Name"))</f>
        <v>This input is masked out due to VDS Profile selected</v>
      </c>
    </row>
    <row r="280" spans="2:5" ht="20" customHeight="1" x14ac:dyDescent="0.2">
      <c r="B280" s="4" t="s">
        <v>3562</v>
      </c>
      <c r="C280" s="168" t="s">
        <v>760</v>
      </c>
      <c r="D280" s="66" t="s">
        <v>760</v>
      </c>
      <c r="E280" s="387" t="str">
        <f>IF(wld_cl01_vds_profile_chosen&lt;&gt;"Storage Traffic and NSX Traffic Separation","This input is masked out due to VDS Profile selected",IF(wld_cl01_vds03_link_type_chosen="VDS Uplinks","This input is masked out as you have chosen to configure VDS Uplinks","Option is not visable in VCF Operations UI"))</f>
        <v>This input is masked out due to VDS Profile selected</v>
      </c>
    </row>
    <row r="281" spans="2:5" ht="20" customHeight="1" x14ac:dyDescent="0.2">
      <c r="B281" s="4" t="s">
        <v>3563</v>
      </c>
      <c r="C281" s="168" t="s">
        <v>3580</v>
      </c>
      <c r="D281" s="66" t="s">
        <v>3580</v>
      </c>
      <c r="E281" s="387" t="str">
        <f>IF(wld_cl01_vds_profile_chosen&lt;&gt;"Storage Traffic and NSX Traffic Separation","This input is masked out due to VDS Profile selected",IF(wld_cl01_vds03_link_type_chosen="VDS Uplinks","This input is masked out as you have chosen to configure VDS Uplinks","Option is not visable in VCF Operations UI"))</f>
        <v>This input is masked out due to VDS Profile selected</v>
      </c>
    </row>
    <row r="282" spans="2:5" ht="20" customHeight="1" x14ac:dyDescent="0.2">
      <c r="B282" s="4" t="s">
        <v>3564</v>
      </c>
      <c r="C282" s="168" t="s">
        <v>3565</v>
      </c>
      <c r="D282" s="66" t="s">
        <v>3589</v>
      </c>
      <c r="E282" s="387" t="str">
        <f>IF(wld_cl01_vds_profile_chosen&lt;&gt;"Storage Traffic and NSX Traffic Separation","This input is masked out due to VDS Profile selected",IF(wld_cl01_vds03_link_type_chosen="VDS Uplinks","This input is masked out as you have chosen to configure VDS Uplinks","Option is not visable in VCF Operations UI"))</f>
        <v>This input is masked out due to VDS Profile selected</v>
      </c>
    </row>
    <row r="283" spans="2:5" ht="20" customHeight="1" x14ac:dyDescent="0.2">
      <c r="B283" s="30" t="s">
        <v>750</v>
      </c>
      <c r="C283" s="193">
        <v>2</v>
      </c>
      <c r="D283" s="66"/>
      <c r="E283" s="387" t="str">
        <f>IF(wld_cl01_vds_profile_chosen&lt;&gt;"Storage Traffic and NSX Traffic Separation","This input is masked out due to VDS Profile selected","")</f>
        <v>This input is masked out due to VDS Profile selected</v>
      </c>
    </row>
    <row r="284" spans="2:5" ht="20" customHeight="1" x14ac:dyDescent="0.2">
      <c r="B284" s="23" t="s">
        <v>751</v>
      </c>
      <c r="C284" s="65" t="s">
        <v>792</v>
      </c>
      <c r="D284" s="66"/>
      <c r="E284" s="43" t="str">
        <f>IF(wld_cl01_vds_profile_chosen&lt;&gt;"Storage Traffic and NSX Traffic Separation","This input is masked out due to VDS Profile selected","")</f>
        <v>This input is masked out due to VDS Profile selected</v>
      </c>
    </row>
    <row r="285" spans="2:5" ht="20" customHeight="1" x14ac:dyDescent="0.2">
      <c r="B285" s="23" t="s">
        <v>753</v>
      </c>
      <c r="C285" s="65" t="s">
        <v>793</v>
      </c>
      <c r="D285" s="8" t="str">
        <f>wld_cl01_vds03_traffic_type</f>
        <v>Value Missing</v>
      </c>
      <c r="E285" s="43" t="str">
        <f>IF(wld_cl01_vds_profile_chosen&lt;&gt;"Storage Traffic and NSX Traffic Separation","This input is masked out due to VDS Profile selected","Traffic Type is set based on your Selected VDS Profile")</f>
        <v>This input is masked out due to VDS Profile selected</v>
      </c>
    </row>
    <row r="286" spans="2:5" ht="20" customHeight="1" x14ac:dyDescent="0.2">
      <c r="B286" s="188" t="s">
        <v>755</v>
      </c>
      <c r="C286" s="189"/>
      <c r="D286" s="189"/>
      <c r="E286" s="190"/>
    </row>
    <row r="287" spans="2:5" ht="20" customHeight="1" x14ac:dyDescent="0.2">
      <c r="B287" s="30" t="s">
        <v>180</v>
      </c>
      <c r="C287" s="65" t="str">
        <f>CONCATENATE(sample_wld_cl01_vds01_name,"-pg-esx-mgmt")</f>
        <v>sfo-w01-cl01-vds01-pg-esx-mgmt</v>
      </c>
      <c r="D287" s="66"/>
      <c r="E287" s="8" t="s">
        <v>756</v>
      </c>
    </row>
    <row r="288" spans="2:5" ht="20" customHeight="1" x14ac:dyDescent="0.2">
      <c r="B288" s="30" t="s">
        <v>757</v>
      </c>
      <c r="C288" s="193" t="s">
        <v>758</v>
      </c>
      <c r="D288" s="101" t="s">
        <v>758</v>
      </c>
      <c r="E288" s="195" t="str">
        <f>IF(wld_cl01_vds01_link_type_chosen="VDS Lag","This input is masked out as you have chosen to configure VDS LAG","")</f>
        <v/>
      </c>
    </row>
    <row r="289" spans="2:5" ht="20" customHeight="1" x14ac:dyDescent="0.2">
      <c r="B289" s="30" t="s">
        <v>759</v>
      </c>
      <c r="C289" s="193" t="s">
        <v>760</v>
      </c>
      <c r="D289" s="101" t="s">
        <v>760</v>
      </c>
      <c r="E289" s="195" t="str">
        <f>IF(wld_cl01_vds01_link_type_chosen="VDS Lag","This input is masked out as you have chosen to configure VDS LAG","")</f>
        <v/>
      </c>
    </row>
    <row r="290" spans="2:5" ht="20" customHeight="1" x14ac:dyDescent="0.2">
      <c r="B290" s="30" t="s">
        <v>761</v>
      </c>
      <c r="C290" s="193" t="s">
        <v>760</v>
      </c>
      <c r="D290" s="101" t="s">
        <v>760</v>
      </c>
      <c r="E290" s="195" t="str">
        <f>IF(wld_cl01_vds01_link_type_chosen="VDS Lag","This input is masked out as you have chosen to configure VDS LAG","")</f>
        <v/>
      </c>
    </row>
    <row r="291" spans="2:5" ht="20" customHeight="1" x14ac:dyDescent="0.2">
      <c r="B291" s="188" t="s">
        <v>762</v>
      </c>
      <c r="C291" s="189"/>
      <c r="D291" s="189"/>
      <c r="E291" s="190"/>
    </row>
    <row r="292" spans="2:5" ht="20" customHeight="1" x14ac:dyDescent="0.2">
      <c r="B292" s="30" t="s">
        <v>180</v>
      </c>
      <c r="C292" s="65" t="str">
        <f>CONCATENATE(sample_wld_cl01_vds01_name,"-pg-vm-mgmt")</f>
        <v>sfo-w01-cl01-vds01-pg-vm-mgmt</v>
      </c>
      <c r="D292" s="66"/>
      <c r="E292" s="195" t="s">
        <v>3650</v>
      </c>
    </row>
    <row r="293" spans="2:5" ht="20" customHeight="1" x14ac:dyDescent="0.2">
      <c r="B293" s="30" t="s">
        <v>757</v>
      </c>
      <c r="C293" s="193" t="s">
        <v>758</v>
      </c>
      <c r="D293" s="101" t="s">
        <v>758</v>
      </c>
      <c r="E293" s="195" t="str">
        <f>IF(wld_cl01_vds01_link_type_chosen="VDS Lag","This input is masked out as you have chosen to configure VDS LAG","")</f>
        <v/>
      </c>
    </row>
    <row r="294" spans="2:5" ht="20" customHeight="1" x14ac:dyDescent="0.2">
      <c r="B294" s="30" t="s">
        <v>759</v>
      </c>
      <c r="C294" s="193" t="s">
        <v>760</v>
      </c>
      <c r="D294" s="101" t="s">
        <v>760</v>
      </c>
      <c r="E294" s="195" t="str">
        <f>IF(wld_cl01_vds01_link_type_chosen="VDS Lag","This input is masked out as you have chosen to configure VDS LAG","")</f>
        <v/>
      </c>
    </row>
    <row r="295" spans="2:5" ht="20" customHeight="1" x14ac:dyDescent="0.2">
      <c r="B295" s="30" t="s">
        <v>761</v>
      </c>
      <c r="C295" s="193" t="s">
        <v>760</v>
      </c>
      <c r="D295" s="101" t="s">
        <v>760</v>
      </c>
      <c r="E295" s="195" t="str">
        <f>IF(wld_cl01_vds01_link_type_chosen="VDS Lag","This input is masked out as you have chosen to configure VDS LAG","")</f>
        <v/>
      </c>
    </row>
    <row r="296" spans="2:5" ht="20" customHeight="1" x14ac:dyDescent="0.2">
      <c r="B296" s="188" t="s">
        <v>763</v>
      </c>
      <c r="C296" s="189"/>
      <c r="D296" s="189"/>
      <c r="E296" s="190"/>
    </row>
    <row r="297" spans="2:5" ht="20" customHeight="1" x14ac:dyDescent="0.2">
      <c r="B297" s="30" t="s">
        <v>180</v>
      </c>
      <c r="C297" s="65" t="str">
        <f>CONCATENATE(sample_wld_cl01_vds01_name,"-pg-vmotion")</f>
        <v>sfo-w01-cl01-vds01-pg-vmotion</v>
      </c>
      <c r="D297" s="66"/>
      <c r="E297" s="8" t="str">
        <f>IF(wld_cl01_vds_profile_chosen="Storage Traffic Separation","Portgroup will be created on Primary Distributed Switch",
IF(wld_cl01_vds_profile_chosen="NSX Traffic Separation","Portgroup will be created on Primary Distributed Switch",
IF(wld_cl01_vds_profile_chosen="Storage Traffic and NSX Traffic Separation","Portgroup will be created on Primary Distributed Switch",
IF(wld_cl01_vds_profile_chosen="Custom","","Portgroup will be created on Primary Distributed Switch"))))</f>
        <v>Portgroup will be created on Primary Distributed Switch</v>
      </c>
    </row>
    <row r="298" spans="2:5" ht="20" customHeight="1" x14ac:dyDescent="0.2">
      <c r="B298" s="30" t="s">
        <v>757</v>
      </c>
      <c r="C298" s="193" t="s">
        <v>758</v>
      </c>
      <c r="D298" s="101" t="s">
        <v>758</v>
      </c>
      <c r="E298" s="195" t="str">
        <f>IF(wld_cl01_vds01_link_type_chosen="VDS Lag","This input is masked out as you have chosen to configure VDS LAG","")</f>
        <v/>
      </c>
    </row>
    <row r="299" spans="2:5" ht="20" customHeight="1" x14ac:dyDescent="0.2">
      <c r="B299" s="30" t="s">
        <v>759</v>
      </c>
      <c r="C299" s="193" t="s">
        <v>760</v>
      </c>
      <c r="D299" s="101" t="s">
        <v>760</v>
      </c>
      <c r="E299" s="195" t="str">
        <f>IF(wld_cl01_vds01_link_type_chosen="VDS Lag","This input is masked out as you have chosen to configure VDS LAG","")</f>
        <v/>
      </c>
    </row>
    <row r="300" spans="2:5" ht="20" customHeight="1" x14ac:dyDescent="0.2">
      <c r="B300" s="30" t="s">
        <v>761</v>
      </c>
      <c r="C300" s="193" t="s">
        <v>760</v>
      </c>
      <c r="D300" s="101" t="s">
        <v>760</v>
      </c>
      <c r="E300" s="195" t="str">
        <f>IF(wld_cl01_vds01_link_type_chosen="VDS Lag","This input is masked out as you have chosen to configure VDS LAG","")</f>
        <v/>
      </c>
    </row>
    <row r="301" spans="2:5" ht="20" customHeight="1" x14ac:dyDescent="0.2">
      <c r="B301" s="188" t="str">
        <f>IF(wld_principal_storage_chosen="NFSv3","Network Traffic: NFS","Network Traffic: vSAN")</f>
        <v>Network Traffic: vSAN</v>
      </c>
      <c r="C301" s="189"/>
      <c r="D301" s="189"/>
      <c r="E301" s="190"/>
    </row>
    <row r="302" spans="2:5" ht="20" customHeight="1" x14ac:dyDescent="0.2">
      <c r="B302" s="30" t="s">
        <v>180</v>
      </c>
      <c r="C302" s="65" t="str">
        <f>CONCATENATE(sample_wld_cl01_vds01_name,"-pg-vsan")</f>
        <v>sfo-w01-cl01-vds01-pg-vsan</v>
      </c>
      <c r="D302" s="66"/>
      <c r="E302" s="8" t="str">
        <f>IF(wld_cl01_vds_profile_chosen="Storage Traffic Separation","Portgroup will be created on Secondary Distributed Switch",
IF(wld_cl01_vds_profile_chosen="vSAN Max Storage Traffic Separation","Portgroup will be created on Secondary Distributed Switch",
IF(wld_cl01_vds_profile_chosen="vSAN Max Storage Traffic and NSX Traffic Separation","Portgroup will be created on Secondary Distributed Switch",
IF(wld_cl01_vds_profile_chosen="NSX Traffic Separation","Portgroup will be created on Primary Distributed Switch",
IF(wld_cl01_vds_profile_chosen="Storage Traffic and NSX Traffic Separation","Portgroup will be created on Secondary Distributed Switch",
IF(wld_cl01_vds_profile_chosen="Custom","","Portgroup will be created on Primary Distributed Switch"))))))</f>
        <v>Portgroup will be created on Primary Distributed Switch</v>
      </c>
    </row>
    <row r="303" spans="2:5" ht="20" customHeight="1" x14ac:dyDescent="0.2">
      <c r="B303" s="30" t="s">
        <v>757</v>
      </c>
      <c r="C303" s="193" t="s">
        <v>758</v>
      </c>
      <c r="D303" s="101" t="s">
        <v>758</v>
      </c>
      <c r="E303" s="195" t="str">
        <f>IF(AND(wld_cl01_vds_profile_chosen="Default",wld_cl01_vds01_link_type_chosen="VDS Lag"),"This input is masked out as you have chosen to configure VDS LAG",
IF(AND(wld_cl01_vds_profile_chosen="NSX Traffic Separation",wld_cl01_vds01_link_type_chosen="VDS Lag"),"This input is masked out as you have chosen to configure VDS LAG",
IF(AND(wld_cl01_vds_profile_chosen="Storage Traffic and NSX Traffic Separation",wld_cl01_vds02_link_type_chosen="VDS Lag"),"This input is masked out as you have chosen to configure VDS LAG",
IF(AND(wld_cl01_vds_profile_chosen="Storage Traffic Separation",wld_cl01_vds02_link_type_chosen="VDS Lag"),"This input is masked out as you have chosen to configure VDS LAG",""))))</f>
        <v/>
      </c>
    </row>
    <row r="304" spans="2:5" ht="20" customHeight="1" x14ac:dyDescent="0.2">
      <c r="B304" s="30" t="s">
        <v>759</v>
      </c>
      <c r="C304" s="193" t="s">
        <v>760</v>
      </c>
      <c r="D304" s="101" t="s">
        <v>760</v>
      </c>
      <c r="E304" s="195" t="str">
        <f>IF(AND(wld_cl01_vds_profile_chosen="Default",wld_cl01_vds01_link_type_chosen="VDS Lag"),"This input is masked out as you have chosen to configure VDS LAG",
IF(AND(wld_cl01_vds_profile_chosen="NSX Traffic Separation",wld_cl01_vds01_link_type_chosen="VDS Lag"),"This input is masked out as you have chosen to configure VDS LAG",
IF(AND(wld_cl01_vds_profile_chosen="Storage Traffic and NSX Traffic Separation",wld_cl01_vds02_link_type_chosen="VDS Lag"),"This input is masked out as you have chosen to configure VDS LAG",
IF(AND(wld_cl01_vds_profile_chosen="Storage Traffic Separation",wld_cl01_vds02_link_type_chosen="VDS Lag"),"This input is masked out as you have chosen to configure VDS LAG",""))))</f>
        <v/>
      </c>
    </row>
    <row r="305" spans="2:5" ht="20" customHeight="1" x14ac:dyDescent="0.2">
      <c r="B305" s="30" t="s">
        <v>761</v>
      </c>
      <c r="C305" s="193" t="s">
        <v>760</v>
      </c>
      <c r="D305" s="101" t="s">
        <v>760</v>
      </c>
      <c r="E305" s="195" t="str">
        <f>IF(AND(wld_cl01_vds_profile_chosen="Default",wld_cl01_vds01_link_type_chosen="VDS Lag"),"This input is masked out as you have chosen to configure VDS LAG",
IF(AND(wld_cl01_vds_profile_chosen="NSX Traffic Separation",wld_cl01_vds01_link_type_chosen="VDS Lag"),"This input is masked out as you have chosen to configure VDS LAG",
IF(AND(wld_cl01_vds_profile_chosen="Storage Traffic and NSX Traffic Separation",wld_cl01_vds02_link_type_chosen="VDS Lag"),"This input is masked out as you have chosen to configure VDS LAG",
IF(AND(wld_cl01_vds_profile_chosen="Storage Traffic Separation",wld_cl01_vds02_link_type_chosen="VDS Lag"),"This input is masked out as you have chosen to configure VDS LAG",""))))</f>
        <v/>
      </c>
    </row>
    <row r="306" spans="2:5" ht="20" customHeight="1" x14ac:dyDescent="0.2">
      <c r="B306" s="188" t="s">
        <v>765</v>
      </c>
      <c r="C306" s="189"/>
      <c r="D306" s="189"/>
      <c r="E306" s="190"/>
    </row>
    <row r="307" spans="2:5" ht="20" customHeight="1" x14ac:dyDescent="0.2">
      <c r="B307" s="30" t="s">
        <v>180</v>
      </c>
      <c r="C307" s="65" t="str">
        <f>CONCATENATE(sample_wld_cl01_vds01_name,"-pg-vsan-client")</f>
        <v>sfo-w01-cl01-vds01-pg-vsan-client</v>
      </c>
      <c r="D307" s="66"/>
      <c r="E307" s="8" t="str">
        <f>IF(OR((wld_domain_result="Excluded"),(wld_secondary_storage_result="Excluded")),"This input is masked out as vSAN Storage Client Network in not enabled",
IF(wld_cl01_vds_profile_chosen="vSAN Max Storage Traffic Separation","Portgroup will be created on Primary Distributed Switch",
IF(wld_cl01_vds_profile_chosen="vSAN Max Storage Traffic and NSX Traffic Separation","Portgroup will be created on Primary Distributed Switch",
IF(wld_cl01_vds_profile_chosen="Custom","","Portgroup will be created on Primary Distributed Switch"))))</f>
        <v>This input is masked out as vSAN Storage Client Network in not enabled</v>
      </c>
    </row>
    <row r="308" spans="2:5" ht="20" customHeight="1" x14ac:dyDescent="0.2">
      <c r="B308" s="30" t="s">
        <v>757</v>
      </c>
      <c r="C308" s="193" t="s">
        <v>758</v>
      </c>
      <c r="D308" s="101" t="s">
        <v>758</v>
      </c>
      <c r="E308" s="195" t="str">
        <f>IF(wld_secondary_storage_result="Excluded","This input is masked out as vSAN Storage Client Network in not enabled ",IF(wld_cl01_vds01_link_type_chosen="VDS Lag","This input is masked out as you have chosen to configure VDS LAG",""))</f>
        <v xml:space="preserve">This input is masked out as vSAN Storage Client Network in not enabled </v>
      </c>
    </row>
    <row r="309" spans="2:5" ht="20" customHeight="1" x14ac:dyDescent="0.2">
      <c r="B309" s="30" t="s">
        <v>759</v>
      </c>
      <c r="C309" s="193" t="s">
        <v>760</v>
      </c>
      <c r="D309" s="101" t="s">
        <v>760</v>
      </c>
      <c r="E309" s="195" t="str">
        <f>IF(wld_secondary_storage_result="Excluded","This input is masked out as vSAN Storage Client Network in not enabled ",IF(wld_cl01_vds01_link_type_chosen="VDS Lag","This input is masked out as you have chosen to configure VDS LAG",""))</f>
        <v xml:space="preserve">This input is masked out as vSAN Storage Client Network in not enabled </v>
      </c>
    </row>
    <row r="310" spans="2:5" ht="20" customHeight="1" x14ac:dyDescent="0.2">
      <c r="B310" s="30" t="s">
        <v>761</v>
      </c>
      <c r="C310" s="193" t="s">
        <v>760</v>
      </c>
      <c r="D310" s="101" t="s">
        <v>760</v>
      </c>
      <c r="E310" s="195" t="str">
        <f>IF(wld_secondary_storage_result="Excluded","This input is masked out as vSAN Storage Client Network in not enabled ",IF(wld_cl01_vds01_link_type_chosen="VDS Lag","This input is masked out as you have chosen to configure VDS LAG",""))</f>
        <v xml:space="preserve">This input is masked out as vSAN Storage Client Network in not enabled </v>
      </c>
    </row>
    <row r="311" spans="2:5" ht="20" customHeight="1" x14ac:dyDescent="0.2">
      <c r="B311" s="424" t="s">
        <v>766</v>
      </c>
      <c r="C311" s="425"/>
      <c r="D311" s="425"/>
      <c r="E311" s="426"/>
    </row>
    <row r="312" spans="2:5" ht="20" customHeight="1" x14ac:dyDescent="0.2">
      <c r="B312" s="4" t="s">
        <v>767</v>
      </c>
      <c r="C312" s="65" t="s">
        <v>156</v>
      </c>
      <c r="D312" s="66" t="s">
        <v>156</v>
      </c>
      <c r="E312" s="43" t="s">
        <v>3803</v>
      </c>
    </row>
    <row r="313" spans="2:5" ht="20" customHeight="1" x14ac:dyDescent="0.2">
      <c r="B313" s="4" t="s">
        <v>3456</v>
      </c>
      <c r="C313" s="65" t="s">
        <v>3456</v>
      </c>
      <c r="D313" s="66" t="s">
        <v>3456</v>
      </c>
      <c r="E313" s="43" t="str">
        <f>IF(wld_nsx_default_operation_mode_chosen="Selected","Inputs are masked out as you have opted to apply the default operational mode  - Enhanced Datapath Standard","")</f>
        <v>Inputs are masked out as you have opted to apply the default operational mode  - Enhanced Datapath Standard</v>
      </c>
    </row>
    <row r="314" spans="2:5" ht="20" customHeight="1" x14ac:dyDescent="0.2">
      <c r="B314" s="4" t="s">
        <v>768</v>
      </c>
      <c r="C314" s="65" t="s">
        <v>156</v>
      </c>
      <c r="D314" s="66" t="s">
        <v>156</v>
      </c>
      <c r="E314" s="42"/>
    </row>
    <row r="315" spans="2:5" ht="20" customHeight="1" x14ac:dyDescent="0.2">
      <c r="B315" s="4" t="s">
        <v>769</v>
      </c>
      <c r="C315" s="65" t="s">
        <v>156</v>
      </c>
      <c r="D315" s="66" t="s">
        <v>156</v>
      </c>
      <c r="E315" s="42"/>
    </row>
    <row r="316" spans="2:5" ht="20" customHeight="1" x14ac:dyDescent="0.2">
      <c r="B316" s="424" t="s">
        <v>770</v>
      </c>
      <c r="C316" s="425"/>
      <c r="D316" s="425"/>
      <c r="E316" s="426"/>
    </row>
    <row r="317" spans="2:5" ht="20" customHeight="1" x14ac:dyDescent="0.2">
      <c r="B317" s="4" t="s">
        <v>771</v>
      </c>
      <c r="C317" s="65" t="str">
        <f>CONCATENATE("overlay-tz-",this_instance,"-w0",wld_domain_number_chosen,"-nsx01")</f>
        <v>overlay-tz-sfo-w01-nsx01</v>
      </c>
      <c r="D317" s="66"/>
      <c r="E317" s="43" t="str">
        <f>IF(wld_cl01_vds_profile_chosen="Storage Traffic Separation","Overlay Traffic will be configured on Primary Distributed Switch",
IF(wld_cl01_vds_profile_chosen="NSX Traffic Separation","Overlay Traffic will be configured on Secondary Distributed Switch",
IF(wld_cl01_vds_profile_chosen="Storage Traffic and NSX Traffic Separation","Overlay Traffic will be configured on Tertiary Distributed Switch",
IF(wld_cl01_vds_profile_chosen="vSAN Max Storage Traffic and NSX Traffic Separation","Overlay Traffic will be configured on Tertiary Distributed Switch",
IF(wld_cl01_vds_profile_chosen="Custom","","Overlay Traffic will be configured on Primary Distributed Switch")))))</f>
        <v>Overlay Traffic will be configured on Primary Distributed Switch</v>
      </c>
    </row>
    <row r="318" spans="2:5" ht="20" customHeight="1" x14ac:dyDescent="0.2">
      <c r="B318" s="4" t="s">
        <v>85</v>
      </c>
      <c r="C318" s="65" t="str">
        <f>CONCATENATE(prefix_wld_az1_vlan,"14")</f>
        <v>1314</v>
      </c>
      <c r="D318" s="66"/>
      <c r="E318" s="42"/>
    </row>
    <row r="319" spans="2:5" ht="20" customHeight="1" x14ac:dyDescent="0.2">
      <c r="B319" s="4" t="s">
        <v>772</v>
      </c>
      <c r="C319" s="65" t="s">
        <v>773</v>
      </c>
      <c r="D319" s="116" t="s">
        <v>773</v>
      </c>
      <c r="E319" s="8" t="str">
        <f>IF(wld_host_overlay_addressing_chosen="Static IP Pool","If Static Pools for Host TEP assignment is required then use COPY FROM PRECONFIGURED PROFILE option","")</f>
        <v>If Static Pools for Host TEP assignment is required then use COPY FROM PRECONFIGURED PROFILE option</v>
      </c>
    </row>
    <row r="320" spans="2:5" ht="20" customHeight="1" x14ac:dyDescent="0.2">
      <c r="B320" s="4" t="s">
        <v>773</v>
      </c>
      <c r="C320" s="65" t="s">
        <v>331</v>
      </c>
      <c r="D320" s="66" t="s">
        <v>331</v>
      </c>
      <c r="E320" s="8" t="str">
        <f>IF(AND(wld_az1_host_overlay_new_pool_chosen="Re-use an existing Pool",wld_host_overlay_addressing_chosen="Static IP Pool"),"An exisitng Pool will be reused for Host TEP assignment",IF(AND(wld_az1_host_overlay_new_pool_chosen="Create New Static IP Pool",wld_host_overlay_addressing_chosen="Static IP Pool"),"A new Pool will be created for Host TEP assignment",""))</f>
        <v>A new Pool will be created for Host TEP assignment</v>
      </c>
    </row>
    <row r="321" spans="2:5" ht="20" customHeight="1" x14ac:dyDescent="0.2">
      <c r="B321" s="4" t="s">
        <v>774</v>
      </c>
      <c r="C321" s="154" t="str">
        <f>CONCATENATE(this_instance,"01-w0",wld_domain_number_chosen,"-r01-ip-pool01-host")</f>
        <v>sfo01-w01-r01-ip-pool01-host</v>
      </c>
      <c r="D321" s="66"/>
      <c r="E321" s="42"/>
    </row>
    <row r="322" spans="2:5" ht="20" customHeight="1" x14ac:dyDescent="0.2">
      <c r="B322" s="4" t="s">
        <v>256</v>
      </c>
      <c r="C322" s="154" t="s">
        <v>775</v>
      </c>
      <c r="D322" s="66"/>
      <c r="E322" s="42"/>
    </row>
    <row r="323" spans="2:5" ht="20" customHeight="1" x14ac:dyDescent="0.2">
      <c r="B323" s="4" t="s">
        <v>451</v>
      </c>
      <c r="C323" s="65" t="str">
        <f>CONCATENATE(prefix_wld_az1_cidr,"14.0/24")</f>
        <v>10.13.14.0/24</v>
      </c>
      <c r="D323" s="66"/>
      <c r="E323" s="42"/>
    </row>
    <row r="324" spans="2:5" ht="20" customHeight="1" x14ac:dyDescent="0.2">
      <c r="B324" s="4" t="s">
        <v>248</v>
      </c>
      <c r="C324" s="65" t="str">
        <f>CONCATENATE(prefix_wld_az1_cidr,"14.101")</f>
        <v>10.13.14.101</v>
      </c>
      <c r="D324" s="66"/>
      <c r="E324" s="42"/>
    </row>
    <row r="325" spans="2:5" ht="20" customHeight="1" x14ac:dyDescent="0.2">
      <c r="B325" s="4" t="s">
        <v>249</v>
      </c>
      <c r="C325" s="65" t="str">
        <f>CONCATENATE(prefix_wld_az1_cidr,"14.132")</f>
        <v>10.13.14.132</v>
      </c>
      <c r="D325" s="66"/>
      <c r="E325" s="42"/>
    </row>
    <row r="326" spans="2:5" ht="20" customHeight="1" x14ac:dyDescent="0.2">
      <c r="B326" s="4" t="s">
        <v>452</v>
      </c>
      <c r="C326" s="65" t="str">
        <f>CONCATENATE(prefix_wld_az1_cidr,"14.1")</f>
        <v>10.13.14.1</v>
      </c>
      <c r="D326" s="66"/>
      <c r="E326" s="42"/>
    </row>
    <row r="327" spans="2:5" ht="20" customHeight="1" x14ac:dyDescent="0.2">
      <c r="B327" s="4" t="s">
        <v>776</v>
      </c>
      <c r="C327" s="65" t="s">
        <v>777</v>
      </c>
      <c r="D327" s="66"/>
      <c r="E327" s="42"/>
    </row>
    <row r="328" spans="2:5" ht="20" customHeight="1" x14ac:dyDescent="0.2">
      <c r="B328" s="424" t="s">
        <v>778</v>
      </c>
      <c r="C328" s="425"/>
      <c r="D328" s="425"/>
      <c r="E328" s="426"/>
    </row>
    <row r="329" spans="2:5" ht="20" customHeight="1" x14ac:dyDescent="0.2">
      <c r="B329" s="23" t="s">
        <v>782</v>
      </c>
      <c r="C329" s="154" t="str">
        <f>CONCATENATE(this_instance,"01-w0",wld_domain_number_chosen,"-r01-uplink-profile01")</f>
        <v>sfo01-w01-r01-uplink-profile01</v>
      </c>
      <c r="D329" s="66"/>
      <c r="E329" s="42"/>
    </row>
    <row r="330" spans="2:5" ht="20" customHeight="1" x14ac:dyDescent="0.2">
      <c r="B330" s="4" t="s">
        <v>779</v>
      </c>
      <c r="C330" s="65">
        <v>2</v>
      </c>
      <c r="D330" s="66"/>
      <c r="E330" s="42"/>
    </row>
    <row r="331" spans="2:5" ht="20" customHeight="1" x14ac:dyDescent="0.2">
      <c r="B331" s="4" t="s">
        <v>780</v>
      </c>
      <c r="C331" s="65" t="s">
        <v>759</v>
      </c>
      <c r="D331" s="66"/>
      <c r="E331" s="42"/>
    </row>
    <row r="332" spans="2:5" ht="20" customHeight="1" x14ac:dyDescent="0.2">
      <c r="B332" s="4" t="s">
        <v>781</v>
      </c>
      <c r="C332" s="65" t="s">
        <v>761</v>
      </c>
      <c r="D332" s="66"/>
      <c r="E332" s="42"/>
    </row>
    <row r="333" spans="2:5" ht="20" customHeight="1" x14ac:dyDescent="0.2">
      <c r="B333" s="4" t="s">
        <v>329</v>
      </c>
      <c r="C333" s="65" t="str">
        <f>CONCATENATE(this_instance,"01-",sample_wld_cl01_cluster,"-r01-network-profile")</f>
        <v>sfo01-sfo-w01-cl01-r01-network-profile</v>
      </c>
      <c r="D333" s="66"/>
      <c r="E333" s="42"/>
    </row>
    <row r="334" spans="2:5" ht="20" customHeight="1" x14ac:dyDescent="0.2">
      <c r="B334" s="4" t="s">
        <v>783</v>
      </c>
      <c r="C334" s="65" t="s">
        <v>784</v>
      </c>
      <c r="D334" s="66" t="s">
        <v>784</v>
      </c>
      <c r="E334" s="43" t="str">
        <f>IF(AND(wld_cl01_vds_profile_chosen="Default",wld_cl01_vds01_link_type_chosen="VDS Lag"),"This input is masked out as you have chosen to configure VDS LAG",
IF(AND(wld_cl01_vds_profile_chosen="NSX Traffic Separation",wld_cl01_vds02_link_type_chosen="VDS Lag"),"This input is masked out as you have chosen to configure VDS LAG",
IF(AND(wld_cl01_vds_profile_chosen="Storage Traffic and NSX Traffic Separation",wld_cl01_vds03_link_type_chosen="VDS Lag"),"This input is masked out as you have chosen to configure VDS LAG",
IF(AND(wld_cl01_vds_profile_chosen="Storage Traffic Separation",wld_cl01_vds01_link_type_chosen="VDS Lag"),"This input is masked out as you have chosen to configure VDS LAG",""))))</f>
        <v/>
      </c>
    </row>
    <row r="335" spans="2:5" ht="20" customHeight="1" x14ac:dyDescent="0.2">
      <c r="B335" s="4" t="s">
        <v>785</v>
      </c>
      <c r="C335" s="65" t="s">
        <v>156</v>
      </c>
      <c r="D335" s="66" t="s">
        <v>156</v>
      </c>
      <c r="E335" s="43" t="str">
        <f>IF(AND(wld_cl01_vds_profile_chosen="Default",wld_cl01_vds01_link_type_chosen="VDS Lag"),"This input is masked out as you have chosen to configure VDS LAG",
IF(AND(wld_cl01_vds_profile_chosen="NSX Traffic Separation",wld_cl01_vds02_link_type_chosen="VDS Lag"),"This input is masked out as you have chosen to configure VDS LAG",
IF(AND(wld_cl01_vds_profile_chosen="Storage Traffic and NSX Traffic Separation",wld_cl01_vds03_link_type_chosen="VDS Lag"),"This input is masked out as you have chosen to configure VDS LAG",
IF(AND(wld_cl01_vds_profile_chosen="Storage Traffic Separation",wld_cl01_vds01_link_type_chosen="VDS Lag"),"This input is masked out as you have chosen to configure VDS LAG",""))))</f>
        <v/>
      </c>
    </row>
    <row r="336" spans="2:5" ht="20" customHeight="1" x14ac:dyDescent="0.2">
      <c r="B336" s="4" t="s">
        <v>786</v>
      </c>
      <c r="C336" s="65" t="s">
        <v>156</v>
      </c>
      <c r="D336" s="66" t="s">
        <v>156</v>
      </c>
      <c r="E336" s="43" t="str">
        <f>IF(AND(wld_cl01_vds_profile_chosen="Default",wld_cl01_vds01_link_type_chosen="VDS Lag"),"This input is masked out as you have chosen to configure VDS LAG",
IF(AND(wld_cl01_vds_profile_chosen="NSX Traffic Separation",wld_cl01_vds02_link_type_chosen="VDS Lag"),"This input is masked out as you have chosen to configure VDS LAG",
IF(AND(wld_cl01_vds_profile_chosen="Storage Traffic and NSX Traffic Separation",wld_cl01_vds03_link_type_chosen="VDS Lag"),"This input is masked out as you have chosen to configure VDS LAG",
IF(AND(wld_cl01_vds_profile_chosen="Storage Traffic Separation",wld_cl01_vds01_link_type_chosen="VDS Lag"),"This input is masked out as you have chosen to configure VDS LAG",""))))</f>
        <v/>
      </c>
    </row>
    <row r="338" spans="2:6" ht="34" customHeight="1" x14ac:dyDescent="0.2">
      <c r="B338" s="427" t="s">
        <v>794</v>
      </c>
      <c r="C338" s="428"/>
      <c r="D338" s="428"/>
      <c r="E338" s="429"/>
    </row>
    <row r="339" spans="2:6" ht="20" customHeight="1" x14ac:dyDescent="0.2">
      <c r="B339" s="63" t="s">
        <v>18</v>
      </c>
      <c r="C339" s="63" t="s">
        <v>19</v>
      </c>
      <c r="D339" s="63" t="s">
        <v>20</v>
      </c>
      <c r="E339" s="63" t="s">
        <v>21</v>
      </c>
    </row>
    <row r="340" spans="2:6" ht="20" customHeight="1" x14ac:dyDescent="0.2">
      <c r="B340" s="424" t="s">
        <v>795</v>
      </c>
      <c r="C340" s="425"/>
      <c r="D340" s="425"/>
      <c r="E340" s="426"/>
    </row>
    <row r="341" spans="2:6" ht="20" customHeight="1" x14ac:dyDescent="0.2">
      <c r="B341" s="405" t="s">
        <v>796</v>
      </c>
      <c r="C341" s="154" t="str">
        <f>CONCATENATE(sample_wld_sddc_domain,"-sn01")</f>
        <v>sfo-w01-sn01</v>
      </c>
      <c r="D341" s="66"/>
      <c r="E341" s="325" t="s">
        <v>3804</v>
      </c>
      <c r="F341" s="112" t="s">
        <v>3805</v>
      </c>
    </row>
    <row r="342" spans="2:6" ht="20" customHeight="1" x14ac:dyDescent="0.2">
      <c r="B342" s="405" t="s">
        <v>797</v>
      </c>
      <c r="C342" s="154" t="s">
        <v>3797</v>
      </c>
      <c r="D342" s="66"/>
      <c r="E342" s="406"/>
    </row>
    <row r="343" spans="2:6" ht="20" customHeight="1" x14ac:dyDescent="0.2">
      <c r="B343" s="405" t="s">
        <v>798</v>
      </c>
      <c r="C343" s="154" t="s">
        <v>142</v>
      </c>
      <c r="D343" s="66" t="s">
        <v>142</v>
      </c>
      <c r="E343" s="80"/>
    </row>
    <row r="344" spans="2:6" ht="20" customHeight="1" x14ac:dyDescent="0.2">
      <c r="B344" s="405" t="s">
        <v>799</v>
      </c>
      <c r="C344" s="154" t="str">
        <f>IF(wld_cl01_supervisor_use_mgmt_vmk_chosen="Unselected",CONCATENATE(prefix_wld_az1_cidr,"10.201","-",prefix_wld_az1_cidr,"10.205"),CONCATENATE(prefix_wld_az1_cidr,"11.201","-",prefix_wld_az1_cidr,"11.205"))</f>
        <v>10.13.10.201-10.13.10.205</v>
      </c>
      <c r="D344" s="66"/>
      <c r="E344" s="80"/>
    </row>
    <row r="345" spans="2:6" ht="20" customHeight="1" x14ac:dyDescent="0.2">
      <c r="B345" s="405" t="s">
        <v>246</v>
      </c>
      <c r="C345" s="154" t="s">
        <v>126</v>
      </c>
      <c r="D345" s="66"/>
      <c r="E345" s="80"/>
    </row>
    <row r="346" spans="2:6" ht="20" customHeight="1" x14ac:dyDescent="0.2">
      <c r="B346" s="405" t="s">
        <v>3964</v>
      </c>
      <c r="C346" s="166" t="str">
        <f>IF(wld_dpg_separation_result="Included",CONCATENATE(prefix_wld_az1_cidr,"10.1"),CONCATENATE(prefix_wld_az1_cidr,"11.1"))</f>
        <v>10.13.11.1</v>
      </c>
      <c r="D346" s="66"/>
      <c r="E346" s="80"/>
    </row>
    <row r="347" spans="2:6" ht="20" customHeight="1" x14ac:dyDescent="0.2">
      <c r="B347" s="405" t="s">
        <v>3965</v>
      </c>
      <c r="C347" s="154" t="str">
        <f>CONCATENATE(sample_wld_cl01_cluster,"-vds01")</f>
        <v>sfo-w01-cl01-vds01</v>
      </c>
      <c r="D347" s="66"/>
      <c r="E347" s="80"/>
    </row>
    <row r="348" spans="2:6" ht="20" customHeight="1" x14ac:dyDescent="0.2">
      <c r="B348" s="424" t="s">
        <v>800</v>
      </c>
      <c r="C348" s="425"/>
      <c r="D348" s="425"/>
      <c r="E348" s="426"/>
    </row>
    <row r="349" spans="2:6" ht="20" customHeight="1" x14ac:dyDescent="0.2">
      <c r="B349" s="23" t="s">
        <v>801</v>
      </c>
      <c r="C349" s="154" t="s">
        <v>3828</v>
      </c>
      <c r="D349" s="66"/>
      <c r="E349" s="42"/>
    </row>
    <row r="350" spans="2:6" ht="20" customHeight="1" x14ac:dyDescent="0.2">
      <c r="B350" s="23" t="s">
        <v>802</v>
      </c>
      <c r="C350" s="154" t="s">
        <v>803</v>
      </c>
      <c r="D350" s="66"/>
      <c r="E350" s="42"/>
    </row>
    <row r="351" spans="2:6" ht="20" customHeight="1" x14ac:dyDescent="0.2">
      <c r="B351" s="23" t="s">
        <v>804</v>
      </c>
      <c r="C351" s="154" t="s">
        <v>3966</v>
      </c>
      <c r="D351" s="66"/>
      <c r="E351" s="8" t="s">
        <v>805</v>
      </c>
    </row>
    <row r="352" spans="2:6" ht="20" customHeight="1" x14ac:dyDescent="0.2">
      <c r="B352" s="23" t="s">
        <v>807</v>
      </c>
      <c r="C352" s="154" t="str">
        <f>CONCATENATE(sample_region_dns1_ip,",",sample_region_dns2_ip)</f>
        <v>10.11.10.4,10.11.10.5</v>
      </c>
      <c r="D352" s="66"/>
      <c r="E352" s="42"/>
    </row>
    <row r="353" spans="2:5" ht="20" customHeight="1" x14ac:dyDescent="0.2">
      <c r="B353" s="23" t="s">
        <v>808</v>
      </c>
      <c r="C353" s="154" t="str">
        <f>CONCATENATE(sample_region_ntp1_server,",",sample_region_ntp2_server)</f>
        <v>ntp0.sfo.rainpole.io,ntp1.sfo.rainpole.io</v>
      </c>
      <c r="D353" s="66"/>
      <c r="E353" s="42"/>
    </row>
    <row r="354" spans="2:5" ht="16" customHeight="1" x14ac:dyDescent="0.2"/>
    <row r="355" spans="2:5" ht="32" customHeight="1" x14ac:dyDescent="0.2">
      <c r="B355" s="427" t="s">
        <v>3806</v>
      </c>
      <c r="C355" s="428"/>
      <c r="D355" s="428"/>
      <c r="E355" s="429"/>
    </row>
    <row r="356" spans="2:5" ht="16" customHeight="1" x14ac:dyDescent="0.2">
      <c r="B356" s="63" t="s">
        <v>18</v>
      </c>
      <c r="C356" s="63" t="s">
        <v>19</v>
      </c>
      <c r="D356" s="63" t="s">
        <v>20</v>
      </c>
      <c r="E356" s="63" t="s">
        <v>21</v>
      </c>
    </row>
    <row r="357" spans="2:5" ht="20" customHeight="1" x14ac:dyDescent="0.2">
      <c r="B357" s="23" t="s">
        <v>711</v>
      </c>
      <c r="C357" s="65" t="s">
        <v>142</v>
      </c>
      <c r="D357" s="66" t="s">
        <v>156</v>
      </c>
      <c r="E357" s="42"/>
    </row>
    <row r="358" spans="2:5" ht="20" customHeight="1" x14ac:dyDescent="0.2">
      <c r="B358" s="424" t="s">
        <v>713</v>
      </c>
      <c r="C358" s="425"/>
      <c r="D358" s="425"/>
      <c r="E358" s="426"/>
    </row>
    <row r="359" spans="2:5" ht="20" customHeight="1" x14ac:dyDescent="0.2">
      <c r="B359" s="23" t="s">
        <v>712</v>
      </c>
      <c r="C359" s="65" t="s">
        <v>139</v>
      </c>
      <c r="D359" s="66"/>
      <c r="E359" s="42"/>
    </row>
    <row r="360" spans="2:5" ht="19" customHeight="1" x14ac:dyDescent="0.2">
      <c r="B360" s="23" t="s">
        <v>715</v>
      </c>
      <c r="C360" s="154" t="s">
        <v>139</v>
      </c>
      <c r="D360" s="66"/>
      <c r="E360" s="42"/>
    </row>
    <row r="361" spans="2:5" ht="16" customHeight="1" x14ac:dyDescent="0.2">
      <c r="B361" s="424" t="s">
        <v>3787</v>
      </c>
      <c r="C361" s="425"/>
      <c r="D361" s="425"/>
      <c r="E361" s="426"/>
    </row>
    <row r="362" spans="2:5" ht="20" customHeight="1" x14ac:dyDescent="0.2">
      <c r="B362" s="23" t="s">
        <v>193</v>
      </c>
      <c r="C362" s="65" t="s">
        <v>139</v>
      </c>
      <c r="D362" s="66"/>
      <c r="E362" s="42"/>
    </row>
    <row r="363" spans="2:5" ht="20" customHeight="1" x14ac:dyDescent="0.2">
      <c r="B363" s="23" t="s">
        <v>725</v>
      </c>
      <c r="C363" s="65" t="s">
        <v>139</v>
      </c>
      <c r="D363" s="66"/>
      <c r="E363" s="42"/>
    </row>
    <row r="364" spans="2:5" ht="20" customHeight="1" x14ac:dyDescent="0.2">
      <c r="B364" s="202"/>
      <c r="C364" s="173"/>
      <c r="D364" s="202"/>
    </row>
    <row r="365" spans="2:5" ht="34" customHeight="1" x14ac:dyDescent="0.2">
      <c r="B365" s="196" t="s">
        <v>809</v>
      </c>
      <c r="C365" s="187"/>
      <c r="D365" s="187"/>
      <c r="E365" s="187"/>
    </row>
    <row r="366" spans="2:5" ht="20" customHeight="1" x14ac:dyDescent="0.2">
      <c r="B366" s="63" t="s">
        <v>18</v>
      </c>
      <c r="C366" s="63" t="s">
        <v>19</v>
      </c>
      <c r="D366" s="63" t="s">
        <v>20</v>
      </c>
      <c r="E366" s="63" t="s">
        <v>21</v>
      </c>
    </row>
    <row r="367" spans="2:5" ht="20" customHeight="1" x14ac:dyDescent="0.2">
      <c r="B367" s="424" t="s">
        <v>206</v>
      </c>
      <c r="C367" s="425"/>
      <c r="D367" s="425"/>
      <c r="E367" s="426"/>
    </row>
    <row r="368" spans="2:5" ht="20" customHeight="1" x14ac:dyDescent="0.2">
      <c r="B368" s="156" t="s">
        <v>85</v>
      </c>
      <c r="C368" s="65" t="str">
        <f>sample_wld_az1_mgmt_vlan</f>
        <v>1311</v>
      </c>
      <c r="D368" s="197" t="str">
        <f>wld_az1_mgmt_vlan</f>
        <v>Value Missing</v>
      </c>
      <c r="E368" s="43"/>
    </row>
    <row r="369" spans="2:5" ht="20" customHeight="1" x14ac:dyDescent="0.2">
      <c r="B369" s="4" t="s">
        <v>3775</v>
      </c>
      <c r="C369" s="65" t="str">
        <f>sample_wld_az1_mgmt_gateway_cidr</f>
        <v>10.13.11.1/24</v>
      </c>
      <c r="D369" s="197" t="str">
        <f>wld_az1_mgmt_gateway_cidr</f>
        <v>Value Missing</v>
      </c>
      <c r="E369" s="43"/>
    </row>
    <row r="370" spans="2:5" ht="20" customHeight="1" x14ac:dyDescent="0.2">
      <c r="B370" s="4" t="s">
        <v>157</v>
      </c>
      <c r="C370" s="65">
        <f>sample_wld_az1_mgmt_mtu</f>
        <v>1500</v>
      </c>
      <c r="D370" s="197" t="str">
        <f>wld_az1_mgmt_mtu</f>
        <v>Value Missing</v>
      </c>
      <c r="E370" s="43"/>
    </row>
    <row r="371" spans="2:5" ht="20" customHeight="1" x14ac:dyDescent="0.2">
      <c r="B371" s="550" t="s">
        <v>810</v>
      </c>
      <c r="C371" s="551"/>
      <c r="D371" s="551"/>
      <c r="E371" s="552"/>
    </row>
    <row r="372" spans="2:5" ht="20" customHeight="1" x14ac:dyDescent="0.2">
      <c r="B372" s="156" t="s">
        <v>85</v>
      </c>
      <c r="C372" s="103" t="str">
        <f>IF(wld_dpg_separation_result="Included",CONCATENATE(prefix_wld_az1_vlan,"10"),CONCATENATE(prefix_wld_az1_vlan,"11"))</f>
        <v>1311</v>
      </c>
      <c r="D372" s="66"/>
      <c r="E372" s="325" t="s">
        <v>3799</v>
      </c>
    </row>
    <row r="373" spans="2:5" ht="20" customHeight="1" x14ac:dyDescent="0.2">
      <c r="B373" s="392" t="s">
        <v>183</v>
      </c>
      <c r="C373" s="103" t="str">
        <f>IF(wld_dpg_separation_result="Included",CONCATENATE(prefix_wld_az1_cidr,"10.1/24"),CONCATENATE(prefix_wld_az1_cidr,"11.1/24"))</f>
        <v>10.13.11.1/24</v>
      </c>
      <c r="D373" s="66"/>
      <c r="E373" s="325"/>
    </row>
    <row r="374" spans="2:5" ht="20" customHeight="1" x14ac:dyDescent="0.2">
      <c r="B374" s="4" t="s">
        <v>157</v>
      </c>
      <c r="C374" s="103">
        <v>1500</v>
      </c>
      <c r="D374" s="66"/>
      <c r="E374" s="325"/>
    </row>
    <row r="375" spans="2:5" ht="20" customHeight="1" x14ac:dyDescent="0.2">
      <c r="B375" s="424" t="s">
        <v>244</v>
      </c>
      <c r="C375" s="425"/>
      <c r="D375" s="425"/>
      <c r="E375" s="426"/>
    </row>
    <row r="376" spans="2:5" ht="20" customHeight="1" x14ac:dyDescent="0.2">
      <c r="B376" s="4" t="s">
        <v>85</v>
      </c>
      <c r="C376" s="103" t="str">
        <f>sample_wld_az1_vmotion_vlan</f>
        <v>1312</v>
      </c>
      <c r="D376" s="197" t="str">
        <f>wld_az1_vmotion_vlan</f>
        <v>Value Missing</v>
      </c>
      <c r="E376" s="113"/>
    </row>
    <row r="377" spans="2:5" ht="20" customHeight="1" x14ac:dyDescent="0.2">
      <c r="B377" s="4" t="s">
        <v>3775</v>
      </c>
      <c r="C377" s="103" t="str">
        <f>sample_wld_az1_vmotion_gateway_cidr</f>
        <v>10.13.12.1/24</v>
      </c>
      <c r="D377" s="197" t="str">
        <f>wld_az1_vmotion_gateway_cidr</f>
        <v>Value Missing</v>
      </c>
      <c r="E377" s="42"/>
    </row>
    <row r="378" spans="2:5" ht="20" customHeight="1" x14ac:dyDescent="0.2">
      <c r="B378" s="4" t="s">
        <v>157</v>
      </c>
      <c r="C378" s="103">
        <f>sample_wld_az1_vmotion_mtu</f>
        <v>9000</v>
      </c>
      <c r="D378" s="197" t="str">
        <f>wld_az1_vmotion_mtu</f>
        <v>Value Missing</v>
      </c>
      <c r="E378" s="42"/>
    </row>
    <row r="379" spans="2:5" ht="20" customHeight="1" x14ac:dyDescent="0.2">
      <c r="B379" s="23" t="s">
        <v>248</v>
      </c>
      <c r="C379" s="103" t="s">
        <v>811</v>
      </c>
      <c r="D379" s="197" t="str">
        <f>wld_az1_vmotion_pool_start_ip</f>
        <v>Value Missing</v>
      </c>
      <c r="E379" s="42"/>
    </row>
    <row r="380" spans="2:5" ht="20" customHeight="1" x14ac:dyDescent="0.2">
      <c r="B380" s="23" t="s">
        <v>249</v>
      </c>
      <c r="C380" s="103" t="s">
        <v>812</v>
      </c>
      <c r="D380" s="197" t="str">
        <f>wld_az1_vmotion_pool_end_ip</f>
        <v>Value Missing</v>
      </c>
      <c r="E380" s="42"/>
    </row>
    <row r="381" spans="2:5" ht="20" customHeight="1" x14ac:dyDescent="0.2">
      <c r="B381" s="424" t="str">
        <f>IF(wld_principal_storage_chosen="NFSv3","NFS Network","vSAN Network")</f>
        <v>vSAN Network</v>
      </c>
      <c r="C381" s="425"/>
      <c r="D381" s="425"/>
      <c r="E381" s="426"/>
    </row>
    <row r="382" spans="2:5" ht="20" customHeight="1" x14ac:dyDescent="0.2">
      <c r="B382" s="4" t="s">
        <v>85</v>
      </c>
      <c r="C382" s="103" t="str">
        <f>sample_wld_az1_principal_storage_vlan</f>
        <v>1313</v>
      </c>
      <c r="D382" s="197" t="str">
        <f>wld_az1_principal_storage_vlan</f>
        <v>Value Missing</v>
      </c>
      <c r="E382" s="80"/>
    </row>
    <row r="383" spans="2:5" ht="20" customHeight="1" x14ac:dyDescent="0.2">
      <c r="B383" s="4" t="s">
        <v>3775</v>
      </c>
      <c r="C383" s="103" t="str">
        <f>sample_wld_az1_principal_storage_gateway_cidr</f>
        <v>10.13.13.1/24</v>
      </c>
      <c r="D383" s="197" t="str">
        <f>wld_az1_principal_storage_gateway_cidr</f>
        <v>Value Missing</v>
      </c>
      <c r="E383" s="80" t="str">
        <f>IF(AND(mgmt_stretched_cluster_result="Included",mgmt_dpg_reuse_result="Excluded"),"Stretched L2","")</f>
        <v/>
      </c>
    </row>
    <row r="384" spans="2:5" ht="20" customHeight="1" x14ac:dyDescent="0.2">
      <c r="B384" s="4" t="s">
        <v>157</v>
      </c>
      <c r="C384" s="103">
        <f>sample_wld_az1_principal_storage_mtu</f>
        <v>9000</v>
      </c>
      <c r="D384" s="197" t="str">
        <f>wld_az1_principal_storage_mtu</f>
        <v>Value Missing</v>
      </c>
      <c r="E384" s="80"/>
    </row>
    <row r="385" spans="2:5" ht="20" customHeight="1" x14ac:dyDescent="0.2">
      <c r="B385" s="23" t="s">
        <v>248</v>
      </c>
      <c r="C385" s="103" t="s">
        <v>813</v>
      </c>
      <c r="D385" s="197" t="str">
        <f>wld_az1_principal_storage_pool_start_ip</f>
        <v>Value Missing</v>
      </c>
      <c r="E385" s="80"/>
    </row>
    <row r="386" spans="2:5" ht="20" customHeight="1" x14ac:dyDescent="0.2">
      <c r="B386" s="23" t="s">
        <v>249</v>
      </c>
      <c r="C386" s="103" t="s">
        <v>814</v>
      </c>
      <c r="D386" s="197" t="str">
        <f>wld_az1_principal_storage_pool_end_ip</f>
        <v>Value Missing</v>
      </c>
      <c r="E386" s="80"/>
    </row>
    <row r="387" spans="2:5" ht="20" customHeight="1" x14ac:dyDescent="0.2">
      <c r="B387" s="424" t="s">
        <v>815</v>
      </c>
      <c r="C387" s="425"/>
      <c r="D387" s="425"/>
      <c r="E387" s="426"/>
    </row>
    <row r="388" spans="2:5" ht="20" customHeight="1" x14ac:dyDescent="0.2">
      <c r="B388" s="4" t="s">
        <v>85</v>
      </c>
      <c r="C388" s="103" t="str">
        <f>sample_wld_az1_host_overlay_vlan</f>
        <v>1314</v>
      </c>
      <c r="D388" s="197" t="str">
        <f>wld_az1_host_overlay_vlan</f>
        <v>Value Missing</v>
      </c>
      <c r="E388" s="42"/>
    </row>
    <row r="389" spans="2:5" ht="20" customHeight="1" x14ac:dyDescent="0.2">
      <c r="B389" s="4" t="s">
        <v>3775</v>
      </c>
      <c r="C389" s="103" t="str">
        <f>sample_wld_az1_host_overlay_gateway_ip</f>
        <v>10.13.14.1</v>
      </c>
      <c r="D389" s="197" t="str">
        <f>wld_az1_host_overlay_gateway_ip</f>
        <v>Value Missing</v>
      </c>
      <c r="E389" s="42"/>
    </row>
    <row r="390" spans="2:5" ht="20" customHeight="1" x14ac:dyDescent="0.2">
      <c r="B390" s="4" t="s">
        <v>183</v>
      </c>
      <c r="C390" s="103" t="str">
        <f>sample_wld_az1_host_overlay_cidr</f>
        <v>10.13.14.0/24</v>
      </c>
      <c r="D390" s="197" t="str">
        <f>wld_az1_host_overlay_cidr</f>
        <v>Value Missing</v>
      </c>
      <c r="E390" s="42"/>
    </row>
    <row r="391" spans="2:5" ht="20" customHeight="1" x14ac:dyDescent="0.2">
      <c r="B391" s="4" t="s">
        <v>157</v>
      </c>
      <c r="C391" s="103">
        <v>9000</v>
      </c>
      <c r="D391" s="198"/>
      <c r="E391" s="42"/>
    </row>
    <row r="392" spans="2:5" ht="20" customHeight="1" x14ac:dyDescent="0.2">
      <c r="B392" s="23" t="s">
        <v>248</v>
      </c>
      <c r="C392" s="103" t="str">
        <f>sample_wld_az1_host_overlay_pool_start_ip</f>
        <v>10.13.14.101</v>
      </c>
      <c r="D392" s="197" t="str">
        <f>wld_az1_host_overlay_pool_start_ip</f>
        <v>Value Missing</v>
      </c>
      <c r="E392" s="42"/>
    </row>
    <row r="393" spans="2:5" ht="20" customHeight="1" x14ac:dyDescent="0.2">
      <c r="B393" s="23" t="s">
        <v>249</v>
      </c>
      <c r="C393" s="103" t="str">
        <f>sample_wld_az1_host_overlay_pool_end_ip</f>
        <v>10.13.14.132</v>
      </c>
      <c r="D393" s="197" t="str">
        <f>wld_az1_host_overlay_pool_end_ip</f>
        <v>Value Missing</v>
      </c>
      <c r="E393" s="42"/>
    </row>
    <row r="394" spans="2:5" ht="20" customHeight="1" x14ac:dyDescent="0.2">
      <c r="B394" s="550" t="s">
        <v>816</v>
      </c>
      <c r="C394" s="551"/>
      <c r="D394" s="551"/>
      <c r="E394" s="552"/>
    </row>
    <row r="395" spans="2:5" ht="20" customHeight="1" x14ac:dyDescent="0.2">
      <c r="B395" s="191" t="s">
        <v>713</v>
      </c>
      <c r="C395" s="192" t="s">
        <v>817</v>
      </c>
      <c r="D395" s="192" t="s">
        <v>818</v>
      </c>
      <c r="E395" s="192" t="s">
        <v>21</v>
      </c>
    </row>
    <row r="396" spans="2:5" ht="20" customHeight="1" x14ac:dyDescent="0.2">
      <c r="B396" s="199" t="str">
        <f>wld_vc_fqdn</f>
        <v>Value Missing</v>
      </c>
      <c r="C396" s="162" t="str">
        <f>IF(mgmt_dpg_reuse_result="Included",CONCATENATE(prefix_mgmt_az1_cidr,"10.",(130 + (30*(wld_domain_number_chosen - 1)))),CONCATENATE(prefix_mgmt_az1_cidr,"11.",(130 + (30*(wld_domain_number_chosen - 1)))))</f>
        <v>10.11.10.130</v>
      </c>
      <c r="D396" s="198"/>
      <c r="E396" s="163" t="s">
        <v>3651</v>
      </c>
    </row>
    <row r="397" spans="2:5" ht="20" customHeight="1" x14ac:dyDescent="0.2">
      <c r="B397" s="191" t="s">
        <v>819</v>
      </c>
      <c r="C397" s="192" t="s">
        <v>817</v>
      </c>
      <c r="D397" s="192" t="s">
        <v>818</v>
      </c>
      <c r="E397" s="192" t="s">
        <v>21</v>
      </c>
    </row>
    <row r="398" spans="2:5" ht="20" customHeight="1" x14ac:dyDescent="0.2">
      <c r="B398" s="199" t="str">
        <f>wld_nsxt_vip_fqdn</f>
        <v>Value Missing</v>
      </c>
      <c r="C398" s="162" t="str">
        <f>sample_wld_nsxt_vip_ip</f>
        <v>10.11.10.131</v>
      </c>
      <c r="D398" s="197" t="str">
        <f>wld_nsxt_vip_ip</f>
        <v>Value Missing</v>
      </c>
      <c r="E398" s="163" t="s">
        <v>694</v>
      </c>
    </row>
    <row r="399" spans="2:5" ht="20" customHeight="1" x14ac:dyDescent="0.2">
      <c r="B399" s="199" t="str">
        <f>wld_nsxt_mgra_fqdn</f>
        <v>Value Missing</v>
      </c>
      <c r="C399" s="162" t="str">
        <f>sample_wld_nsxt_mgra_ip</f>
        <v>10.11.10.132</v>
      </c>
      <c r="D399" s="197" t="str">
        <f>wld_nsxt_mgra_ip</f>
        <v>Value Missing</v>
      </c>
      <c r="E399" s="163" t="s">
        <v>688</v>
      </c>
    </row>
    <row r="400" spans="2:5" ht="20" customHeight="1" x14ac:dyDescent="0.2">
      <c r="B400" s="199" t="str">
        <f>wld_nsxt_mgrb_fqdn</f>
        <v>Value Missing</v>
      </c>
      <c r="C400" s="162" t="str">
        <f>sample_wld_nsxt_mgrb_ip</f>
        <v>10.11.10.133</v>
      </c>
      <c r="D400" s="197" t="str">
        <f>wld_nsxt_mgrb_ip</f>
        <v>Value Missing</v>
      </c>
      <c r="E400" s="163" t="s">
        <v>690</v>
      </c>
    </row>
    <row r="401" spans="2:5" ht="20" customHeight="1" x14ac:dyDescent="0.2">
      <c r="B401" s="199" t="str">
        <f>wld_nsxt_mgrc_fqdn</f>
        <v>Value Missing</v>
      </c>
      <c r="C401" s="162" t="str">
        <f>sample_wld_nsxt_mgrc_ip</f>
        <v>10.11.10.134</v>
      </c>
      <c r="D401" s="197" t="str">
        <f>wld_nsxt_mgrc_ip</f>
        <v>Value Missing</v>
      </c>
      <c r="E401" s="163" t="s">
        <v>692</v>
      </c>
    </row>
    <row r="402" spans="2:5" ht="20" customHeight="1" x14ac:dyDescent="0.2">
      <c r="B402" s="191" t="s">
        <v>3888</v>
      </c>
      <c r="C402" s="192" t="s">
        <v>817</v>
      </c>
      <c r="D402" s="192" t="s">
        <v>818</v>
      </c>
      <c r="E402" s="192" t="s">
        <v>21</v>
      </c>
    </row>
    <row r="403" spans="2:5" ht="20" customHeight="1" x14ac:dyDescent="0.2">
      <c r="B403" s="401" t="str" cm="1">
        <f t="array" ref="B403">wld_vnab_fqdn</f>
        <v>Value Missing</v>
      </c>
      <c r="C403" s="162" t="str">
        <f>CONCATENATE(prefix_mgmt_az1_cidr,"11.",(137 + (30*(wld_domain_number_chosen - 1))))</f>
        <v>10.11.11.137</v>
      </c>
      <c r="D403" s="409"/>
      <c r="E403" s="184" t="s">
        <v>3886</v>
      </c>
    </row>
    <row r="404" spans="2:5" ht="20" customHeight="1" x14ac:dyDescent="0.2">
      <c r="B404" s="401" t="str" cm="1">
        <f t="array" ref="B404">wld_vnab_fqdn</f>
        <v>Value Missing</v>
      </c>
      <c r="C404" s="162" t="str">
        <f>CONCATENATE(prefix_mgmt_az1_cidr,"11.",(138 + (30*(wld_domain_number_chosen - 1))))</f>
        <v>10.11.11.138</v>
      </c>
      <c r="D404" s="409"/>
      <c r="E404" s="184" t="s">
        <v>3887</v>
      </c>
    </row>
    <row r="405" spans="2:5" ht="20" customHeight="1" x14ac:dyDescent="0.2">
      <c r="B405" s="191" t="s">
        <v>207</v>
      </c>
      <c r="C405" s="192" t="s">
        <v>817</v>
      </c>
      <c r="D405" s="192" t="s">
        <v>818</v>
      </c>
      <c r="E405" s="192" t="s">
        <v>21</v>
      </c>
    </row>
    <row r="406" spans="2:5" ht="20" customHeight="1" x14ac:dyDescent="0.2">
      <c r="B406" s="199" t="str">
        <f>wld_az1_host1_fqdn</f>
        <v>Value Missing</v>
      </c>
      <c r="C406" s="109" t="str">
        <f t="shared" ref="C406:C421" si="0">sample_wld_az1_host1_mgmt_ip</f>
        <v>10.13.11.101</v>
      </c>
      <c r="D406" s="197" t="str">
        <f>wld_az1_host1_mgmt_ip</f>
        <v>Value Missing</v>
      </c>
      <c r="E406" s="121" t="s">
        <v>820</v>
      </c>
    </row>
    <row r="407" spans="2:5" ht="20" customHeight="1" x14ac:dyDescent="0.2">
      <c r="B407" s="199" t="str">
        <f>wld_az1_host2_fqdn</f>
        <v>Value Missing</v>
      </c>
      <c r="C407" s="109" t="str">
        <f t="shared" si="0"/>
        <v>10.13.11.101</v>
      </c>
      <c r="D407" s="197" t="str">
        <f>wld_az1_host2_mgmt_ip</f>
        <v>Value Missing</v>
      </c>
      <c r="E407" s="121" t="s">
        <v>821</v>
      </c>
    </row>
    <row r="408" spans="2:5" ht="20" customHeight="1" x14ac:dyDescent="0.2">
      <c r="B408" s="199" t="str">
        <f>wld_az1_host3_fqdn</f>
        <v>Value Missing</v>
      </c>
      <c r="C408" s="109" t="str">
        <f t="shared" si="0"/>
        <v>10.13.11.101</v>
      </c>
      <c r="D408" s="197" t="str">
        <f>wld_az1_host3_mgmt_ip</f>
        <v>Value Missing</v>
      </c>
      <c r="E408" s="121" t="s">
        <v>822</v>
      </c>
    </row>
    <row r="409" spans="2:5" ht="20" customHeight="1" x14ac:dyDescent="0.2">
      <c r="B409" s="199" t="str">
        <f>wld_az1_host4_fqdn</f>
        <v>Value Missing</v>
      </c>
      <c r="C409" s="109" t="str">
        <f t="shared" si="0"/>
        <v>10.13.11.101</v>
      </c>
      <c r="D409" s="197" t="str">
        <f>wld_az1_host4_mgmt_ip</f>
        <v>Value Missing</v>
      </c>
      <c r="E409" s="121" t="s">
        <v>823</v>
      </c>
    </row>
    <row r="410" spans="2:5" ht="20" customHeight="1" x14ac:dyDescent="0.2">
      <c r="B410" s="199" t="str">
        <f>wld_az1_host5_fqdn</f>
        <v>Value Missing</v>
      </c>
      <c r="C410" s="109" t="str">
        <f t="shared" si="0"/>
        <v>10.13.11.101</v>
      </c>
      <c r="D410" s="197" t="str">
        <f>wld_az1_host5_mgmt_ip</f>
        <v>Value Missing</v>
      </c>
      <c r="E410" s="121" t="s">
        <v>824</v>
      </c>
    </row>
    <row r="411" spans="2:5" ht="20" customHeight="1" x14ac:dyDescent="0.2">
      <c r="B411" s="199" t="str">
        <f>wld_az1_host6_fqdn</f>
        <v>Value Missing</v>
      </c>
      <c r="C411" s="109" t="str">
        <f t="shared" si="0"/>
        <v>10.13.11.101</v>
      </c>
      <c r="D411" s="197" t="str">
        <f>wld_az1_host6_mgmt_ip</f>
        <v>Value Missing</v>
      </c>
      <c r="E411" s="121" t="s">
        <v>825</v>
      </c>
    </row>
    <row r="412" spans="2:5" ht="20" customHeight="1" x14ac:dyDescent="0.2">
      <c r="B412" s="199" t="str">
        <f>wld_az1_host7_fqdn</f>
        <v>Value Missing</v>
      </c>
      <c r="C412" s="109" t="str">
        <f t="shared" si="0"/>
        <v>10.13.11.101</v>
      </c>
      <c r="D412" s="197" t="str">
        <f>wld_az1_host7_mgmt_ip</f>
        <v>Value Missing</v>
      </c>
      <c r="E412" s="121" t="s">
        <v>826</v>
      </c>
    </row>
    <row r="413" spans="2:5" ht="20" customHeight="1" x14ac:dyDescent="0.2">
      <c r="B413" s="199" t="str">
        <f>wld_az1_host8_fqdn</f>
        <v>Value Missing</v>
      </c>
      <c r="C413" s="109" t="str">
        <f t="shared" si="0"/>
        <v>10.13.11.101</v>
      </c>
      <c r="D413" s="197" t="str">
        <f>wld_az1_host8_mgmt_ip</f>
        <v>Value Missing</v>
      </c>
      <c r="E413" s="121" t="s">
        <v>827</v>
      </c>
    </row>
    <row r="414" spans="2:5" ht="20" customHeight="1" x14ac:dyDescent="0.2">
      <c r="B414" s="199" t="str">
        <f>wld_az1_host9_fqdn</f>
        <v>Value Missing</v>
      </c>
      <c r="C414" s="109" t="str">
        <f t="shared" si="0"/>
        <v>10.13.11.101</v>
      </c>
      <c r="D414" s="197" t="str">
        <f>wld_az1_host9_mgmt_ip</f>
        <v>Value Missing</v>
      </c>
      <c r="E414" s="121" t="s">
        <v>828</v>
      </c>
    </row>
    <row r="415" spans="2:5" ht="20" customHeight="1" x14ac:dyDescent="0.2">
      <c r="B415" s="199" t="str">
        <f>wld_az1_host10_fqdn</f>
        <v>Value Missing</v>
      </c>
      <c r="C415" s="109" t="str">
        <f t="shared" si="0"/>
        <v>10.13.11.101</v>
      </c>
      <c r="D415" s="197" t="str">
        <f>wld_az1_host10_mgmt_ip</f>
        <v>Value Missing</v>
      </c>
      <c r="E415" s="121" t="s">
        <v>829</v>
      </c>
    </row>
    <row r="416" spans="2:5" ht="20" customHeight="1" x14ac:dyDescent="0.2">
      <c r="B416" s="199" t="str">
        <f>wld_az1_host11_fqdn</f>
        <v>Value Missing</v>
      </c>
      <c r="C416" s="109" t="str">
        <f t="shared" si="0"/>
        <v>10.13.11.101</v>
      </c>
      <c r="D416" s="197" t="str">
        <f>wld_az1_host11_mgmt_ip</f>
        <v>Value Missing</v>
      </c>
      <c r="E416" s="121" t="s">
        <v>830</v>
      </c>
    </row>
    <row r="417" spans="2:5" ht="16" customHeight="1" x14ac:dyDescent="0.2">
      <c r="B417" s="199" t="str">
        <f>wld_az1_host12_fqdn</f>
        <v>Value Missing</v>
      </c>
      <c r="C417" s="109" t="str">
        <f t="shared" si="0"/>
        <v>10.13.11.101</v>
      </c>
      <c r="D417" s="197" t="str">
        <f>wld_az1_host12_mgmt_ip</f>
        <v>Value Missing</v>
      </c>
      <c r="E417" s="121" t="s">
        <v>831</v>
      </c>
    </row>
    <row r="418" spans="2:5" ht="20" customHeight="1" x14ac:dyDescent="0.2">
      <c r="B418" s="199" t="str">
        <f>wld_az1_host13_fqdn</f>
        <v>Value Missing</v>
      </c>
      <c r="C418" s="109" t="str">
        <f t="shared" si="0"/>
        <v>10.13.11.101</v>
      </c>
      <c r="D418" s="197" t="str">
        <f>wld_az1_host13_mgmt_ip</f>
        <v>Value Missing</v>
      </c>
      <c r="E418" s="121" t="s">
        <v>832</v>
      </c>
    </row>
    <row r="419" spans="2:5" ht="20" customHeight="1" x14ac:dyDescent="0.2">
      <c r="B419" s="199" t="str">
        <f>wld_az1_host14_fqdn</f>
        <v>Value Missing</v>
      </c>
      <c r="C419" s="109" t="str">
        <f t="shared" si="0"/>
        <v>10.13.11.101</v>
      </c>
      <c r="D419" s="197" t="str">
        <f>wld_az1_host14_mgmt_ip</f>
        <v>Value Missing</v>
      </c>
      <c r="E419" s="121" t="s">
        <v>833</v>
      </c>
    </row>
    <row r="420" spans="2:5" ht="20" customHeight="1" x14ac:dyDescent="0.2">
      <c r="B420" s="199" t="str">
        <f>wld_az1_host15_fqdn</f>
        <v>Value Missing</v>
      </c>
      <c r="C420" s="109" t="str">
        <f t="shared" si="0"/>
        <v>10.13.11.101</v>
      </c>
      <c r="D420" s="197" t="str">
        <f>wld_az1_host15_mgmt_ip</f>
        <v>Value Missing</v>
      </c>
      <c r="E420" s="121" t="s">
        <v>834</v>
      </c>
    </row>
    <row r="421" spans="2:5" ht="20" customHeight="1" x14ac:dyDescent="0.2">
      <c r="B421" s="199" t="str">
        <f>wld_az1_host16_fqdn</f>
        <v>Value Missing</v>
      </c>
      <c r="C421" s="109" t="str">
        <f t="shared" si="0"/>
        <v>10.13.11.101</v>
      </c>
      <c r="D421" s="197" t="str">
        <f>wld_az1_host16_mgmt_ip</f>
        <v>Value Missing</v>
      </c>
      <c r="E421" s="121" t="s">
        <v>835</v>
      </c>
    </row>
    <row r="422" spans="2:5" ht="20" customHeight="1" x14ac:dyDescent="0.2"/>
    <row r="423" spans="2:5" ht="20" customHeight="1" x14ac:dyDescent="0.2"/>
    <row r="424" spans="2:5" ht="20" customHeight="1" x14ac:dyDescent="0.2"/>
    <row r="425" spans="2:5" ht="20" customHeight="1" x14ac:dyDescent="0.2">
      <c r="B425" s="202"/>
      <c r="C425" s="202"/>
      <c r="D425" s="2"/>
    </row>
    <row r="426" spans="2:5" ht="20" customHeight="1" x14ac:dyDescent="0.2"/>
    <row r="427" spans="2:5" ht="20" customHeight="1" x14ac:dyDescent="0.2"/>
    <row r="428" spans="2:5" ht="20" customHeight="1" x14ac:dyDescent="0.2"/>
    <row r="429" spans="2:5" ht="20" customHeight="1" x14ac:dyDescent="0.2"/>
    <row r="430" spans="2:5" ht="20" customHeight="1" x14ac:dyDescent="0.2"/>
    <row r="431" spans="2:5" ht="20" customHeight="1" x14ac:dyDescent="0.2"/>
    <row r="432" spans="2:5" ht="20" customHeight="1" x14ac:dyDescent="0.2"/>
    <row r="433" ht="20" customHeight="1" x14ac:dyDescent="0.2"/>
    <row r="434" ht="20" customHeight="1" x14ac:dyDescent="0.2"/>
    <row r="435" ht="20" customHeight="1" x14ac:dyDescent="0.2"/>
    <row r="436" ht="20" customHeight="1" x14ac:dyDescent="0.2"/>
    <row r="437" ht="20" customHeight="1" x14ac:dyDescent="0.2"/>
    <row r="438" ht="20" customHeight="1" x14ac:dyDescent="0.2"/>
    <row r="439" ht="20" customHeight="1" x14ac:dyDescent="0.2"/>
    <row r="440" ht="20" customHeight="1" x14ac:dyDescent="0.2"/>
    <row r="441" ht="20" customHeight="1" x14ac:dyDescent="0.2"/>
    <row r="442" ht="20" customHeight="1" x14ac:dyDescent="0.2"/>
    <row r="443" ht="20" customHeight="1" x14ac:dyDescent="0.2"/>
    <row r="444" ht="20" customHeight="1" x14ac:dyDescent="0.2"/>
    <row r="445" ht="20" customHeight="1" x14ac:dyDescent="0.2"/>
    <row r="446" ht="20" customHeight="1" x14ac:dyDescent="0.2"/>
    <row r="447" ht="20" customHeight="1" x14ac:dyDescent="0.2"/>
    <row r="448" ht="20" customHeight="1" x14ac:dyDescent="0.2"/>
    <row r="449" ht="20" customHeight="1" x14ac:dyDescent="0.2"/>
    <row r="450" ht="20" customHeight="1" x14ac:dyDescent="0.2"/>
    <row r="451" ht="20" customHeight="1" x14ac:dyDescent="0.2"/>
    <row r="452" ht="20" customHeight="1" x14ac:dyDescent="0.2"/>
    <row r="453" ht="20" customHeight="1" x14ac:dyDescent="0.2"/>
    <row r="454" ht="20" customHeight="1" x14ac:dyDescent="0.2"/>
    <row r="455" ht="20" customHeight="1" x14ac:dyDescent="0.2"/>
    <row r="456" ht="20" customHeight="1" x14ac:dyDescent="0.2"/>
    <row r="457" ht="20" customHeight="1" x14ac:dyDescent="0.2"/>
    <row r="458" ht="20" customHeight="1" x14ac:dyDescent="0.2"/>
    <row r="459" ht="16" customHeight="1" x14ac:dyDescent="0.2"/>
    <row r="460" ht="20" customHeight="1" x14ac:dyDescent="0.2"/>
    <row r="461" ht="16" customHeight="1" x14ac:dyDescent="0.2"/>
    <row r="462" ht="34" customHeight="1" x14ac:dyDescent="0.2"/>
    <row r="463" ht="20" customHeight="1" x14ac:dyDescent="0.2"/>
    <row r="464" ht="20" customHeight="1" x14ac:dyDescent="0.2"/>
    <row r="465" ht="20" customHeight="1" x14ac:dyDescent="0.2"/>
    <row r="466" ht="20" customHeight="1" x14ac:dyDescent="0.2"/>
    <row r="467" ht="20" customHeight="1" x14ac:dyDescent="0.2"/>
    <row r="468" ht="20" customHeight="1" x14ac:dyDescent="0.2"/>
    <row r="469" ht="20" customHeight="1" x14ac:dyDescent="0.2"/>
    <row r="470" ht="20" customHeight="1" x14ac:dyDescent="0.2"/>
    <row r="471" ht="20" customHeight="1" x14ac:dyDescent="0.2"/>
    <row r="472" ht="20" customHeight="1" x14ac:dyDescent="0.2"/>
    <row r="473" ht="20" customHeight="1" x14ac:dyDescent="0.2"/>
    <row r="474" ht="20" customHeight="1" x14ac:dyDescent="0.2"/>
    <row r="475" ht="20" customHeight="1" x14ac:dyDescent="0.2"/>
    <row r="476" ht="20" customHeight="1" x14ac:dyDescent="0.2"/>
    <row r="477" ht="20" customHeight="1" x14ac:dyDescent="0.2"/>
    <row r="478" ht="20" customHeight="1" x14ac:dyDescent="0.2"/>
    <row r="479" ht="20" customHeight="1" x14ac:dyDescent="0.2"/>
    <row r="480" ht="20" customHeight="1" x14ac:dyDescent="0.2"/>
    <row r="481" ht="20" customHeight="1" x14ac:dyDescent="0.2"/>
    <row r="482" ht="20" customHeight="1" x14ac:dyDescent="0.2"/>
    <row r="483" ht="20" customHeight="1" x14ac:dyDescent="0.2"/>
    <row r="484" ht="20" customHeight="1" x14ac:dyDescent="0.2"/>
    <row r="485" ht="20" customHeight="1" x14ac:dyDescent="0.2"/>
    <row r="486" ht="20" customHeight="1" x14ac:dyDescent="0.2"/>
    <row r="487" ht="20" customHeight="1" x14ac:dyDescent="0.2"/>
    <row r="488" ht="20" customHeight="1" x14ac:dyDescent="0.2"/>
    <row r="489" ht="20" customHeight="1" x14ac:dyDescent="0.2"/>
    <row r="490" ht="20" customHeight="1" x14ac:dyDescent="0.2"/>
    <row r="491" ht="20" customHeight="1" x14ac:dyDescent="0.2"/>
    <row r="492" ht="20" customHeight="1" x14ac:dyDescent="0.2"/>
    <row r="493" ht="20" customHeight="1" x14ac:dyDescent="0.2"/>
    <row r="494" ht="20" customHeight="1" x14ac:dyDescent="0.2"/>
    <row r="495" ht="20" customHeight="1" x14ac:dyDescent="0.2"/>
    <row r="496" ht="20" customHeight="1" x14ac:dyDescent="0.2"/>
    <row r="497" ht="20" customHeight="1" x14ac:dyDescent="0.2"/>
    <row r="498" ht="20" customHeight="1" x14ac:dyDescent="0.2"/>
    <row r="499" ht="20" customHeight="1" x14ac:dyDescent="0.2"/>
    <row r="500" ht="20" customHeight="1" x14ac:dyDescent="0.2"/>
    <row r="501" ht="20" customHeight="1" x14ac:dyDescent="0.2"/>
    <row r="502" ht="20" customHeight="1" x14ac:dyDescent="0.2"/>
    <row r="503" ht="20" customHeight="1" x14ac:dyDescent="0.2"/>
    <row r="504" ht="20" customHeight="1" x14ac:dyDescent="0.2"/>
    <row r="505" ht="20" customHeight="1" x14ac:dyDescent="0.2"/>
    <row r="506" ht="20" customHeight="1" x14ac:dyDescent="0.2"/>
    <row r="507" ht="20" customHeight="1" x14ac:dyDescent="0.2"/>
    <row r="508" ht="20" customHeight="1" x14ac:dyDescent="0.2"/>
    <row r="509" ht="20" customHeight="1" x14ac:dyDescent="0.2"/>
    <row r="510" ht="20" customHeight="1" x14ac:dyDescent="0.2"/>
    <row r="511" ht="20" customHeight="1" x14ac:dyDescent="0.2"/>
    <row r="512" ht="20" customHeight="1" x14ac:dyDescent="0.2"/>
    <row r="513" ht="20" customHeight="1" x14ac:dyDescent="0.2"/>
    <row r="514" ht="20" customHeight="1" x14ac:dyDescent="0.2"/>
    <row r="515" ht="20" customHeight="1" x14ac:dyDescent="0.2"/>
    <row r="516" ht="20" customHeight="1" x14ac:dyDescent="0.2"/>
    <row r="517" ht="20" customHeight="1" x14ac:dyDescent="0.2"/>
    <row r="518" ht="16" customHeight="1" x14ac:dyDescent="0.2"/>
    <row r="519" ht="16" customHeight="1" x14ac:dyDescent="0.2"/>
    <row r="520" ht="16" customHeight="1" x14ac:dyDescent="0.2"/>
    <row r="521" ht="34" customHeight="1" x14ac:dyDescent="0.2"/>
    <row r="522" ht="20" customHeight="1" x14ac:dyDescent="0.2"/>
    <row r="523" ht="20" customHeight="1" x14ac:dyDescent="0.2"/>
    <row r="524" ht="20" customHeight="1" x14ac:dyDescent="0.2"/>
    <row r="525" ht="20" customHeight="1" x14ac:dyDescent="0.2"/>
    <row r="526" ht="20" customHeight="1" x14ac:dyDescent="0.2"/>
    <row r="527" ht="20" customHeight="1" x14ac:dyDescent="0.2"/>
    <row r="528" ht="20" customHeight="1" x14ac:dyDescent="0.2"/>
    <row r="529" spans="7:7" ht="20" customHeight="1" x14ac:dyDescent="0.2"/>
    <row r="530" spans="7:7" ht="20" customHeight="1" x14ac:dyDescent="0.2">
      <c r="G530" s="36"/>
    </row>
    <row r="531" spans="7:7" ht="20" customHeight="1" x14ac:dyDescent="0.2"/>
    <row r="532" spans="7:7" ht="20" customHeight="1" x14ac:dyDescent="0.2"/>
    <row r="533" spans="7:7" ht="20" customHeight="1" x14ac:dyDescent="0.2"/>
    <row r="534" spans="7:7" ht="20" customHeight="1" x14ac:dyDescent="0.2"/>
    <row r="535" spans="7:7" ht="20" customHeight="1" x14ac:dyDescent="0.2"/>
    <row r="536" spans="7:7" ht="20" customHeight="1" x14ac:dyDescent="0.2"/>
    <row r="537" spans="7:7" ht="20" customHeight="1" x14ac:dyDescent="0.2"/>
    <row r="538" spans="7:7" ht="20" customHeight="1" x14ac:dyDescent="0.2"/>
    <row r="539" spans="7:7" ht="20" customHeight="1" x14ac:dyDescent="0.2"/>
    <row r="540" spans="7:7" ht="20" customHeight="1" x14ac:dyDescent="0.2"/>
    <row r="541" spans="7:7" ht="20" customHeight="1" x14ac:dyDescent="0.2"/>
    <row r="542" spans="7:7" ht="20" customHeight="1" x14ac:dyDescent="0.2"/>
    <row r="543" spans="7:7" ht="20" customHeight="1" x14ac:dyDescent="0.2"/>
    <row r="544" spans="7:7" ht="20" customHeight="1" x14ac:dyDescent="0.2"/>
    <row r="545" ht="20" customHeight="1" x14ac:dyDescent="0.2"/>
    <row r="546" ht="20" customHeight="1" x14ac:dyDescent="0.2"/>
    <row r="547" ht="20" customHeight="1" x14ac:dyDescent="0.2"/>
    <row r="548" ht="20" customHeight="1" x14ac:dyDescent="0.2"/>
    <row r="549" ht="20" customHeight="1" x14ac:dyDescent="0.2"/>
    <row r="550" ht="20" customHeight="1" x14ac:dyDescent="0.2"/>
    <row r="551" ht="20" customHeight="1" x14ac:dyDescent="0.2"/>
    <row r="552" ht="20" customHeight="1" x14ac:dyDescent="0.2"/>
    <row r="553" ht="20" customHeight="1" x14ac:dyDescent="0.2"/>
    <row r="554" ht="20" customHeight="1" x14ac:dyDescent="0.2"/>
    <row r="555" ht="20" customHeight="1" x14ac:dyDescent="0.2"/>
    <row r="556" ht="20" customHeight="1" x14ac:dyDescent="0.2"/>
    <row r="557" ht="20" customHeight="1" x14ac:dyDescent="0.2"/>
    <row r="558" ht="20" customHeight="1" x14ac:dyDescent="0.2"/>
    <row r="559" ht="20" customHeight="1" x14ac:dyDescent="0.2"/>
    <row r="560" ht="20" customHeight="1" x14ac:dyDescent="0.2"/>
    <row r="561" ht="20" customHeight="1" x14ac:dyDescent="0.2"/>
    <row r="562" ht="20" customHeight="1" x14ac:dyDescent="0.2"/>
    <row r="563" ht="20" customHeight="1" x14ac:dyDescent="0.2"/>
    <row r="564" ht="20" customHeight="1" x14ac:dyDescent="0.2"/>
    <row r="565" ht="20" customHeight="1" x14ac:dyDescent="0.2"/>
    <row r="566" ht="20" customHeight="1" x14ac:dyDescent="0.2"/>
    <row r="567" ht="20" customHeight="1" x14ac:dyDescent="0.2"/>
    <row r="568" ht="20" customHeight="1" x14ac:dyDescent="0.2"/>
    <row r="569" ht="20" customHeight="1" x14ac:dyDescent="0.2"/>
    <row r="570" ht="20" customHeight="1" x14ac:dyDescent="0.2"/>
    <row r="571" ht="20" customHeight="1" x14ac:dyDescent="0.2"/>
    <row r="572" ht="20" customHeight="1" x14ac:dyDescent="0.2"/>
    <row r="573" ht="20" customHeight="1" x14ac:dyDescent="0.2"/>
    <row r="574" ht="20" customHeight="1" x14ac:dyDescent="0.2"/>
    <row r="575" ht="20" customHeight="1" x14ac:dyDescent="0.2"/>
    <row r="576" ht="20" customHeight="1" x14ac:dyDescent="0.2"/>
    <row r="577" ht="16" customHeight="1" x14ac:dyDescent="0.2"/>
    <row r="578" ht="20" customHeight="1" x14ac:dyDescent="0.2"/>
    <row r="579" ht="16" customHeight="1" x14ac:dyDescent="0.2"/>
    <row r="580" ht="34" customHeight="1" x14ac:dyDescent="0.2"/>
    <row r="581" ht="20" customHeight="1" x14ac:dyDescent="0.2"/>
    <row r="582" ht="34" customHeight="1" x14ac:dyDescent="0.2"/>
    <row r="583" ht="20" customHeight="1" x14ac:dyDescent="0.2"/>
    <row r="584" ht="20" customHeight="1" x14ac:dyDescent="0.2"/>
    <row r="585" ht="20" customHeight="1" x14ac:dyDescent="0.2"/>
    <row r="586" ht="20" customHeight="1" x14ac:dyDescent="0.2"/>
    <row r="587" ht="20" customHeight="1" x14ac:dyDescent="0.2"/>
    <row r="588" ht="20" customHeight="1" x14ac:dyDescent="0.2"/>
    <row r="589" ht="20" customHeight="1" x14ac:dyDescent="0.2"/>
    <row r="590" ht="16" customHeight="1" x14ac:dyDescent="0.2"/>
    <row r="591" ht="34" customHeight="1" x14ac:dyDescent="0.2"/>
    <row r="592" ht="16" customHeight="1" x14ac:dyDescent="0.2"/>
    <row r="593" spans="7:7" ht="34" customHeight="1" x14ac:dyDescent="0.2"/>
    <row r="594" spans="7:7" ht="20" customHeight="1" x14ac:dyDescent="0.2">
      <c r="G594" s="36"/>
    </row>
    <row r="595" spans="7:7" ht="34" customHeight="1" x14ac:dyDescent="0.2"/>
    <row r="596" spans="7:7" ht="20" customHeight="1" x14ac:dyDescent="0.2"/>
    <row r="597" spans="7:7" ht="20" customHeight="1" x14ac:dyDescent="0.2"/>
    <row r="598" spans="7:7" ht="20" customHeight="1" x14ac:dyDescent="0.2"/>
    <row r="599" spans="7:7" ht="20" customHeight="1" x14ac:dyDescent="0.2">
      <c r="G599" s="36"/>
    </row>
    <row r="600" spans="7:7" ht="20" customHeight="1" x14ac:dyDescent="0.2"/>
    <row r="601" spans="7:7" ht="20" customHeight="1" x14ac:dyDescent="0.2"/>
    <row r="602" spans="7:7" ht="20" customHeight="1" x14ac:dyDescent="0.2"/>
    <row r="603" spans="7:7" ht="20" customHeight="1" x14ac:dyDescent="0.2"/>
    <row r="604" spans="7:7" ht="20" customHeight="1" x14ac:dyDescent="0.2"/>
    <row r="605" spans="7:7" ht="20" customHeight="1" x14ac:dyDescent="0.2"/>
    <row r="606" spans="7:7" ht="20" customHeight="1" x14ac:dyDescent="0.2"/>
    <row r="607" spans="7:7" ht="20" customHeight="1" x14ac:dyDescent="0.2">
      <c r="G607" s="36"/>
    </row>
    <row r="608" spans="7:7" ht="20" customHeight="1" x14ac:dyDescent="0.2"/>
    <row r="609" spans="7:7" ht="20" customHeight="1" x14ac:dyDescent="0.2">
      <c r="G609" s="36"/>
    </row>
    <row r="610" spans="7:7" ht="20" customHeight="1" x14ac:dyDescent="0.2"/>
    <row r="611" spans="7:7" ht="20" customHeight="1" x14ac:dyDescent="0.2"/>
    <row r="612" spans="7:7" ht="20" customHeight="1" x14ac:dyDescent="0.2"/>
    <row r="613" spans="7:7" ht="20" customHeight="1" x14ac:dyDescent="0.2"/>
    <row r="614" spans="7:7" ht="20" customHeight="1" x14ac:dyDescent="0.2"/>
    <row r="615" spans="7:7" ht="20" customHeight="1" x14ac:dyDescent="0.2"/>
    <row r="616" spans="7:7" ht="20" customHeight="1" x14ac:dyDescent="0.2">
      <c r="G616" s="36"/>
    </row>
    <row r="617" spans="7:7" ht="20" customHeight="1" x14ac:dyDescent="0.2"/>
    <row r="618" spans="7:7" ht="20" customHeight="1" x14ac:dyDescent="0.2"/>
    <row r="619" spans="7:7" ht="20" customHeight="1" x14ac:dyDescent="0.2"/>
    <row r="620" spans="7:7" ht="20" customHeight="1" x14ac:dyDescent="0.2"/>
    <row r="621" spans="7:7" ht="20" customHeight="1" x14ac:dyDescent="0.2"/>
    <row r="622" spans="7:7" ht="20" customHeight="1" x14ac:dyDescent="0.2">
      <c r="G622" s="36"/>
    </row>
    <row r="623" spans="7:7" ht="20" customHeight="1" x14ac:dyDescent="0.2"/>
    <row r="624" spans="7:7" ht="20" customHeight="1" x14ac:dyDescent="0.2"/>
    <row r="625" spans="7:7" ht="20" customHeight="1" x14ac:dyDescent="0.2"/>
    <row r="626" spans="7:7" ht="20" customHeight="1" x14ac:dyDescent="0.2"/>
    <row r="627" spans="7:7" ht="20" customHeight="1" x14ac:dyDescent="0.2"/>
    <row r="628" spans="7:7" ht="20" customHeight="1" x14ac:dyDescent="0.2">
      <c r="G628" s="36"/>
    </row>
    <row r="629" spans="7:7" ht="20" customHeight="1" x14ac:dyDescent="0.2"/>
    <row r="630" spans="7:7" ht="20" customHeight="1" x14ac:dyDescent="0.2"/>
    <row r="631" spans="7:7" ht="20" customHeight="1" x14ac:dyDescent="0.2"/>
    <row r="632" spans="7:7" ht="20" customHeight="1" x14ac:dyDescent="0.2"/>
    <row r="633" spans="7:7" ht="20" customHeight="1" x14ac:dyDescent="0.2"/>
    <row r="634" spans="7:7" ht="20" customHeight="1" x14ac:dyDescent="0.2"/>
    <row r="635" spans="7:7" ht="20" customHeight="1" x14ac:dyDescent="0.2"/>
    <row r="636" spans="7:7" ht="20" customHeight="1" x14ac:dyDescent="0.2"/>
    <row r="637" spans="7:7" ht="20" customHeight="1" x14ac:dyDescent="0.2"/>
    <row r="638" spans="7:7" ht="20" customHeight="1" x14ac:dyDescent="0.2">
      <c r="G638" s="36"/>
    </row>
    <row r="639" spans="7:7" ht="20" customHeight="1" x14ac:dyDescent="0.2"/>
    <row r="640" spans="7:7" ht="20" customHeight="1" x14ac:dyDescent="0.2"/>
    <row r="641" spans="7:7" ht="20" customHeight="1" x14ac:dyDescent="0.2">
      <c r="G641" s="36"/>
    </row>
    <row r="642" spans="7:7" ht="20" customHeight="1" x14ac:dyDescent="0.2"/>
    <row r="643" spans="7:7" ht="20" customHeight="1" x14ac:dyDescent="0.2"/>
    <row r="644" spans="7:7" ht="20" customHeight="1" x14ac:dyDescent="0.2"/>
    <row r="645" spans="7:7" ht="20" customHeight="1" x14ac:dyDescent="0.2">
      <c r="G645" s="36"/>
    </row>
    <row r="646" spans="7:7" ht="20" customHeight="1" x14ac:dyDescent="0.2"/>
    <row r="647" spans="7:7" ht="20" customHeight="1" x14ac:dyDescent="0.2"/>
    <row r="648" spans="7:7" ht="20" customHeight="1" x14ac:dyDescent="0.2">
      <c r="G648" s="36"/>
    </row>
    <row r="649" spans="7:7" ht="20" customHeight="1" x14ac:dyDescent="0.2"/>
    <row r="650" spans="7:7" ht="20" customHeight="1" x14ac:dyDescent="0.2">
      <c r="G650" s="36"/>
    </row>
    <row r="651" spans="7:7" ht="20" customHeight="1" x14ac:dyDescent="0.2"/>
    <row r="652" spans="7:7" ht="20" customHeight="1" x14ac:dyDescent="0.2"/>
    <row r="653" spans="7:7" ht="20" customHeight="1" x14ac:dyDescent="0.2"/>
    <row r="654" spans="7:7" ht="16" customHeight="1" x14ac:dyDescent="0.2"/>
    <row r="655" spans="7:7" ht="20" customHeight="1" x14ac:dyDescent="0.2"/>
    <row r="656" spans="7:7" ht="16" customHeight="1" x14ac:dyDescent="0.2"/>
    <row r="657" spans="7:7" ht="34" customHeight="1" x14ac:dyDescent="0.2"/>
    <row r="658" spans="7:7" ht="20" customHeight="1" x14ac:dyDescent="0.2"/>
    <row r="659" spans="7:7" ht="16" customHeight="1" x14ac:dyDescent="0.2"/>
    <row r="660" spans="7:7" ht="34" customHeight="1" x14ac:dyDescent="0.2"/>
    <row r="661" spans="7:7" ht="20" customHeight="1" x14ac:dyDescent="0.2"/>
    <row r="662" spans="7:7" ht="20" customHeight="1" x14ac:dyDescent="0.2"/>
    <row r="663" spans="7:7" ht="20" customHeight="1" x14ac:dyDescent="0.2"/>
    <row r="664" spans="7:7" ht="20" customHeight="1" x14ac:dyDescent="0.2"/>
    <row r="665" spans="7:7" ht="20" customHeight="1" x14ac:dyDescent="0.2"/>
    <row r="666" spans="7:7" ht="20" customHeight="1" x14ac:dyDescent="0.2">
      <c r="G666" s="36"/>
    </row>
    <row r="667" spans="7:7" ht="20" customHeight="1" x14ac:dyDescent="0.2"/>
    <row r="668" spans="7:7" ht="20" customHeight="1" x14ac:dyDescent="0.2"/>
    <row r="669" spans="7:7" ht="20" customHeight="1" x14ac:dyDescent="0.2"/>
    <row r="670" spans="7:7" ht="20" customHeight="1" x14ac:dyDescent="0.2"/>
    <row r="671" spans="7:7" ht="20" customHeight="1" x14ac:dyDescent="0.2"/>
    <row r="672" spans="7:7" ht="16" customHeight="1" x14ac:dyDescent="0.2"/>
    <row r="673" ht="34" customHeight="1" x14ac:dyDescent="0.2"/>
    <row r="674" ht="16" customHeight="1" x14ac:dyDescent="0.2"/>
    <row r="675" ht="34" customHeight="1" x14ac:dyDescent="0.2"/>
    <row r="676" ht="16" customHeight="1" x14ac:dyDescent="0.2"/>
    <row r="677" ht="34" customHeight="1" x14ac:dyDescent="0.2"/>
    <row r="678" ht="20" customHeight="1" x14ac:dyDescent="0.2"/>
    <row r="679" ht="20" customHeight="1" x14ac:dyDescent="0.2"/>
    <row r="680" ht="20" customHeight="1" x14ac:dyDescent="0.2"/>
    <row r="681" ht="20" customHeight="1" x14ac:dyDescent="0.2"/>
    <row r="682" ht="20" customHeight="1" x14ac:dyDescent="0.2"/>
    <row r="683" ht="20" customHeight="1" x14ac:dyDescent="0.2"/>
    <row r="684" ht="20" customHeight="1" x14ac:dyDescent="0.2"/>
    <row r="685" ht="20" customHeight="1" x14ac:dyDescent="0.2"/>
    <row r="686" ht="20" customHeight="1" x14ac:dyDescent="0.2"/>
    <row r="687" ht="20" customHeight="1" x14ac:dyDescent="0.2"/>
    <row r="688" ht="20" customHeight="1" x14ac:dyDescent="0.2"/>
    <row r="689" ht="16" customHeight="1" x14ac:dyDescent="0.2"/>
    <row r="690" ht="20" customHeight="1" x14ac:dyDescent="0.2"/>
    <row r="691" ht="16" customHeight="1" x14ac:dyDescent="0.2"/>
    <row r="692" ht="34" customHeight="1" x14ac:dyDescent="0.2"/>
    <row r="693" ht="20" customHeight="1" x14ac:dyDescent="0.2"/>
    <row r="694" ht="20" customHeight="1" x14ac:dyDescent="0.2"/>
    <row r="695" ht="20" customHeight="1" x14ac:dyDescent="0.2"/>
    <row r="696" ht="20" customHeight="1" x14ac:dyDescent="0.2"/>
    <row r="697" ht="20" customHeight="1" x14ac:dyDescent="0.2"/>
    <row r="698" ht="16" customHeight="1" x14ac:dyDescent="0.2"/>
    <row r="699" ht="34" customHeight="1" x14ac:dyDescent="0.2"/>
    <row r="700" ht="20" customHeight="1" x14ac:dyDescent="0.2"/>
    <row r="701" ht="20" customHeight="1" x14ac:dyDescent="0.2"/>
    <row r="702" ht="20" customHeight="1" x14ac:dyDescent="0.2"/>
    <row r="703" ht="20" customHeight="1" x14ac:dyDescent="0.2"/>
    <row r="704" ht="16" customHeight="1" x14ac:dyDescent="0.2"/>
    <row r="705" spans="7:7" ht="34" customHeight="1" x14ac:dyDescent="0.2"/>
    <row r="706" spans="7:7" ht="20" customHeight="1" x14ac:dyDescent="0.2"/>
    <row r="707" spans="7:7" ht="20" customHeight="1" x14ac:dyDescent="0.2"/>
    <row r="708" spans="7:7" ht="20" customHeight="1" x14ac:dyDescent="0.2"/>
    <row r="709" spans="7:7" ht="20" customHeight="1" x14ac:dyDescent="0.2"/>
    <row r="710" spans="7:7" ht="16" customHeight="1" x14ac:dyDescent="0.2"/>
    <row r="711" spans="7:7" ht="34" customHeight="1" x14ac:dyDescent="0.2"/>
    <row r="712" spans="7:7" ht="20" customHeight="1" x14ac:dyDescent="0.2"/>
    <row r="713" spans="7:7" ht="20" customHeight="1" x14ac:dyDescent="0.2"/>
    <row r="714" spans="7:7" ht="20" customHeight="1" x14ac:dyDescent="0.2"/>
    <row r="715" spans="7:7" ht="20" customHeight="1" x14ac:dyDescent="0.2"/>
    <row r="716" spans="7:7" ht="20" customHeight="1" x14ac:dyDescent="0.2"/>
    <row r="717" spans="7:7" ht="20" customHeight="1" x14ac:dyDescent="0.2"/>
    <row r="718" spans="7:7" ht="20" customHeight="1" x14ac:dyDescent="0.2"/>
    <row r="719" spans="7:7" ht="20" customHeight="1" x14ac:dyDescent="0.2"/>
    <row r="720" spans="7:7" ht="20" customHeight="1" x14ac:dyDescent="0.2">
      <c r="G720" s="36"/>
    </row>
    <row r="721" ht="20" customHeight="1" x14ac:dyDescent="0.2"/>
    <row r="722" ht="20" customHeight="1" x14ac:dyDescent="0.2"/>
    <row r="723" ht="20" customHeight="1" x14ac:dyDescent="0.2"/>
    <row r="724" ht="20" customHeight="1" x14ac:dyDescent="0.2"/>
    <row r="725" ht="20" customHeight="1" x14ac:dyDescent="0.2"/>
    <row r="726" ht="20" customHeight="1" x14ac:dyDescent="0.2"/>
    <row r="727" ht="16" customHeight="1" x14ac:dyDescent="0.2"/>
    <row r="728" ht="34" customHeight="1" x14ac:dyDescent="0.2"/>
    <row r="729" ht="20" customHeight="1" x14ac:dyDescent="0.2"/>
    <row r="730" ht="16" customHeight="1" x14ac:dyDescent="0.2"/>
    <row r="731" ht="20" customHeight="1" x14ac:dyDescent="0.2"/>
    <row r="732" ht="16" customHeight="1" x14ac:dyDescent="0.2"/>
    <row r="733" ht="34" customHeight="1" x14ac:dyDescent="0.2"/>
    <row r="734" ht="20" customHeight="1" x14ac:dyDescent="0.2"/>
    <row r="735" ht="20" customHeight="1" x14ac:dyDescent="0.2"/>
    <row r="736" ht="20" customHeight="1" x14ac:dyDescent="0.2"/>
    <row r="737" spans="7:7" ht="20" customHeight="1" x14ac:dyDescent="0.2">
      <c r="G737" s="36"/>
    </row>
    <row r="738" spans="7:7" ht="20" customHeight="1" x14ac:dyDescent="0.2"/>
    <row r="739" spans="7:7" ht="20" customHeight="1" x14ac:dyDescent="0.2"/>
    <row r="740" spans="7:7" ht="20" customHeight="1" x14ac:dyDescent="0.2"/>
    <row r="741" spans="7:7" ht="20" customHeight="1" x14ac:dyDescent="0.2"/>
    <row r="742" spans="7:7" ht="20" customHeight="1" x14ac:dyDescent="0.2"/>
    <row r="743" spans="7:7" ht="20" customHeight="1" x14ac:dyDescent="0.2"/>
    <row r="744" spans="7:7" ht="16" customHeight="1" x14ac:dyDescent="0.2"/>
    <row r="745" spans="7:7" ht="20" customHeight="1" x14ac:dyDescent="0.2">
      <c r="G745" s="36"/>
    </row>
    <row r="746" spans="7:7" ht="16" customHeight="1" x14ac:dyDescent="0.2"/>
    <row r="747" spans="7:7" ht="34" customHeight="1" x14ac:dyDescent="0.2"/>
    <row r="748" spans="7:7" ht="16" customHeight="1" x14ac:dyDescent="0.2"/>
    <row r="749" spans="7:7" ht="36" customHeight="1" x14ac:dyDescent="0.2"/>
    <row r="750" spans="7:7" ht="20" customHeight="1" x14ac:dyDescent="0.2"/>
    <row r="751" spans="7:7" ht="20" customHeight="1" x14ac:dyDescent="0.2">
      <c r="G751" s="36"/>
    </row>
    <row r="752" spans="7:7" ht="20" customHeight="1" x14ac:dyDescent="0.2"/>
    <row r="753" spans="7:7" ht="20" customHeight="1" x14ac:dyDescent="0.2"/>
    <row r="754" spans="7:7" ht="20" customHeight="1" x14ac:dyDescent="0.2"/>
    <row r="755" spans="7:7" ht="20" customHeight="1" x14ac:dyDescent="0.2">
      <c r="G755" s="36"/>
    </row>
    <row r="756" spans="7:7" ht="20" customHeight="1" x14ac:dyDescent="0.2"/>
    <row r="757" spans="7:7" ht="20" customHeight="1" x14ac:dyDescent="0.2"/>
    <row r="758" spans="7:7" ht="20" customHeight="1" x14ac:dyDescent="0.2"/>
    <row r="759" spans="7:7" ht="20" customHeight="1" x14ac:dyDescent="0.2"/>
    <row r="760" spans="7:7" ht="20" customHeight="1" x14ac:dyDescent="0.2"/>
    <row r="761" spans="7:7" ht="20" customHeight="1" x14ac:dyDescent="0.2"/>
    <row r="762" spans="7:7" ht="20" customHeight="1" x14ac:dyDescent="0.2">
      <c r="G762" s="36"/>
    </row>
    <row r="763" spans="7:7" ht="20" customHeight="1" x14ac:dyDescent="0.2"/>
    <row r="764" spans="7:7" ht="20" customHeight="1" x14ac:dyDescent="0.2"/>
    <row r="765" spans="7:7" ht="20" customHeight="1" x14ac:dyDescent="0.2"/>
    <row r="766" spans="7:7" ht="20" customHeight="1" x14ac:dyDescent="0.2"/>
    <row r="767" spans="7:7" ht="20" customHeight="1" x14ac:dyDescent="0.2"/>
    <row r="768" spans="7:7" ht="20" customHeight="1" x14ac:dyDescent="0.2"/>
    <row r="769" spans="7:7" ht="20" customHeight="1" x14ac:dyDescent="0.2">
      <c r="G769" s="36"/>
    </row>
    <row r="770" spans="7:7" ht="20" customHeight="1" x14ac:dyDescent="0.2"/>
    <row r="771" spans="7:7" ht="20" customHeight="1" x14ac:dyDescent="0.2"/>
    <row r="772" spans="7:7" ht="20" customHeight="1" x14ac:dyDescent="0.2"/>
    <row r="773" spans="7:7" ht="20" customHeight="1" x14ac:dyDescent="0.2"/>
    <row r="774" spans="7:7" ht="20" customHeight="1" x14ac:dyDescent="0.2"/>
    <row r="775" spans="7:7" ht="20" customHeight="1" x14ac:dyDescent="0.2"/>
    <row r="776" spans="7:7" ht="20" customHeight="1" x14ac:dyDescent="0.2"/>
    <row r="777" spans="7:7" ht="20" customHeight="1" x14ac:dyDescent="0.2"/>
    <row r="778" spans="7:7" ht="20" customHeight="1" x14ac:dyDescent="0.2">
      <c r="G778" s="36"/>
    </row>
    <row r="779" spans="7:7" ht="20" customHeight="1" x14ac:dyDescent="0.2"/>
    <row r="780" spans="7:7" ht="20" customHeight="1" x14ac:dyDescent="0.2"/>
    <row r="781" spans="7:7" ht="20" customHeight="1" x14ac:dyDescent="0.2"/>
    <row r="782" spans="7:7" ht="20" customHeight="1" x14ac:dyDescent="0.2"/>
    <row r="783" spans="7:7" ht="20" customHeight="1" x14ac:dyDescent="0.2">
      <c r="G783" s="36"/>
    </row>
    <row r="784" spans="7:7" ht="20" customHeight="1" x14ac:dyDescent="0.2"/>
    <row r="785" spans="7:7" ht="20" customHeight="1" x14ac:dyDescent="0.2"/>
    <row r="786" spans="7:7" ht="20" customHeight="1" x14ac:dyDescent="0.2"/>
    <row r="787" spans="7:7" ht="20" customHeight="1" x14ac:dyDescent="0.2"/>
    <row r="788" spans="7:7" ht="20" customHeight="1" x14ac:dyDescent="0.2"/>
    <row r="789" spans="7:7" ht="20" customHeight="1" x14ac:dyDescent="0.2"/>
    <row r="790" spans="7:7" ht="20" customHeight="1" x14ac:dyDescent="0.2"/>
    <row r="791" spans="7:7" ht="20" customHeight="1" x14ac:dyDescent="0.2"/>
    <row r="792" spans="7:7" ht="20" customHeight="1" x14ac:dyDescent="0.2"/>
    <row r="793" spans="7:7" ht="20" customHeight="1" x14ac:dyDescent="0.2"/>
    <row r="794" spans="7:7" ht="20" customHeight="1" x14ac:dyDescent="0.2">
      <c r="G794" s="36"/>
    </row>
    <row r="795" spans="7:7" ht="20" customHeight="1" x14ac:dyDescent="0.2"/>
    <row r="796" spans="7:7" ht="20" customHeight="1" x14ac:dyDescent="0.2"/>
    <row r="797" spans="7:7" ht="20" customHeight="1" x14ac:dyDescent="0.2"/>
    <row r="798" spans="7:7" ht="20" customHeight="1" x14ac:dyDescent="0.2"/>
    <row r="799" spans="7:7" ht="16" customHeight="1" x14ac:dyDescent="0.2"/>
    <row r="800" spans="7:7" ht="34" customHeight="1" x14ac:dyDescent="0.2"/>
    <row r="801" spans="7:7" ht="16" customHeight="1" x14ac:dyDescent="0.2"/>
    <row r="802" spans="7:7" ht="34" customHeight="1" x14ac:dyDescent="0.2"/>
    <row r="803" spans="7:7" ht="20" customHeight="1" x14ac:dyDescent="0.2"/>
    <row r="804" spans="7:7" ht="20" customHeight="1" x14ac:dyDescent="0.2"/>
    <row r="805" spans="7:7" ht="20" customHeight="1" x14ac:dyDescent="0.2"/>
    <row r="806" spans="7:7" ht="20" customHeight="1" x14ac:dyDescent="0.2"/>
    <row r="807" spans="7:7" ht="20" customHeight="1" x14ac:dyDescent="0.2"/>
    <row r="808" spans="7:7" ht="20" customHeight="1" x14ac:dyDescent="0.2"/>
    <row r="809" spans="7:7" ht="20" customHeight="1" x14ac:dyDescent="0.2">
      <c r="G809" s="36"/>
    </row>
    <row r="810" spans="7:7" ht="20" customHeight="1" x14ac:dyDescent="0.2"/>
    <row r="811" spans="7:7" ht="20" customHeight="1" x14ac:dyDescent="0.2"/>
    <row r="812" spans="7:7" ht="20" customHeight="1" x14ac:dyDescent="0.2"/>
    <row r="813" spans="7:7" ht="20" customHeight="1" x14ac:dyDescent="0.2"/>
    <row r="814" spans="7:7" ht="20" customHeight="1" x14ac:dyDescent="0.2"/>
    <row r="815" spans="7:7" ht="20" customHeight="1" x14ac:dyDescent="0.2"/>
    <row r="816" spans="7:7" ht="20" customHeight="1" x14ac:dyDescent="0.2"/>
    <row r="817" spans="7:7" ht="16" customHeight="1" x14ac:dyDescent="0.2">
      <c r="G817" s="36"/>
    </row>
    <row r="818" spans="7:7" ht="20" customHeight="1" x14ac:dyDescent="0.2"/>
    <row r="819" spans="7:7" ht="16" customHeight="1" x14ac:dyDescent="0.2"/>
    <row r="820" spans="7:7" ht="34" customHeight="1" x14ac:dyDescent="0.2"/>
    <row r="821" spans="7:7" ht="20" customHeight="1" x14ac:dyDescent="0.2"/>
    <row r="822" spans="7:7" ht="20" customHeight="1" x14ac:dyDescent="0.2"/>
    <row r="823" spans="7:7" ht="20" customHeight="1" x14ac:dyDescent="0.2">
      <c r="G823" s="36"/>
    </row>
    <row r="824" spans="7:7" ht="20" customHeight="1" x14ac:dyDescent="0.2"/>
    <row r="825" spans="7:7" ht="16" customHeight="1" x14ac:dyDescent="0.2"/>
    <row r="826" spans="7:7" ht="20" customHeight="1" x14ac:dyDescent="0.2"/>
    <row r="827" spans="7:7" ht="16" customHeight="1" x14ac:dyDescent="0.2"/>
    <row r="828" spans="7:7" ht="34" customHeight="1" x14ac:dyDescent="0.2"/>
    <row r="829" spans="7:7" ht="20" customHeight="1" x14ac:dyDescent="0.2"/>
    <row r="830" spans="7:7" ht="20" customHeight="1" x14ac:dyDescent="0.2"/>
    <row r="831" spans="7:7" ht="16" customHeight="1" x14ac:dyDescent="0.2"/>
    <row r="832" spans="7:7" ht="20" customHeight="1" x14ac:dyDescent="0.2"/>
    <row r="833" ht="16" customHeight="1" x14ac:dyDescent="0.2"/>
    <row r="834" ht="34" customHeight="1" x14ac:dyDescent="0.2"/>
    <row r="835" ht="16" customHeight="1" x14ac:dyDescent="0.2"/>
    <row r="836" ht="20" customHeight="1" x14ac:dyDescent="0.2"/>
    <row r="837" ht="16" customHeight="1" x14ac:dyDescent="0.2"/>
    <row r="838" ht="34" customHeight="1" x14ac:dyDescent="0.2"/>
    <row r="839" ht="20" customHeight="1" x14ac:dyDescent="0.2"/>
    <row r="840" ht="20" customHeight="1" x14ac:dyDescent="0.2"/>
    <row r="841" ht="20" customHeight="1" x14ac:dyDescent="0.2"/>
    <row r="842" ht="20" customHeight="1" x14ac:dyDescent="0.2"/>
    <row r="843" ht="20" customHeight="1" x14ac:dyDescent="0.2"/>
    <row r="844" ht="16" customHeight="1" x14ac:dyDescent="0.2"/>
    <row r="845" ht="34" customHeight="1" x14ac:dyDescent="0.2"/>
    <row r="846" ht="20" customHeight="1" x14ac:dyDescent="0.2"/>
    <row r="847" ht="20" customHeight="1" x14ac:dyDescent="0.2"/>
    <row r="848" ht="20" customHeight="1" x14ac:dyDescent="0.2"/>
    <row r="849" ht="16" customHeight="1" x14ac:dyDescent="0.2"/>
    <row r="850" ht="20" customHeight="1" x14ac:dyDescent="0.2"/>
    <row r="851" ht="20" customHeight="1" x14ac:dyDescent="0.2"/>
    <row r="852" ht="20" customHeight="1" x14ac:dyDescent="0.2"/>
    <row r="853" ht="20" customHeight="1" x14ac:dyDescent="0.2"/>
    <row r="854" ht="20" customHeight="1" x14ac:dyDescent="0.2"/>
    <row r="855" ht="20" customHeight="1" x14ac:dyDescent="0.2"/>
    <row r="856" ht="20" customHeight="1" x14ac:dyDescent="0.2"/>
    <row r="857" ht="20" customHeight="1" x14ac:dyDescent="0.2"/>
    <row r="858" ht="16" customHeight="1" x14ac:dyDescent="0.2"/>
    <row r="859" ht="20" customHeight="1" x14ac:dyDescent="0.2"/>
    <row r="860" ht="16" customHeight="1" x14ac:dyDescent="0.2"/>
    <row r="861" ht="34" customHeight="1" x14ac:dyDescent="0.2"/>
    <row r="862" ht="20" customHeight="1" x14ac:dyDescent="0.2"/>
    <row r="863" ht="16" customHeight="1" x14ac:dyDescent="0.2"/>
    <row r="864" ht="20" customHeight="1" x14ac:dyDescent="0.2"/>
    <row r="865" spans="7:7" ht="16" customHeight="1" x14ac:dyDescent="0.2"/>
    <row r="866" spans="7:7" ht="34" customHeight="1" x14ac:dyDescent="0.2">
      <c r="G866" s="36"/>
    </row>
    <row r="867" spans="7:7" ht="20" customHeight="1" x14ac:dyDescent="0.2"/>
    <row r="868" spans="7:7" ht="20" customHeight="1" x14ac:dyDescent="0.2"/>
    <row r="869" spans="7:7" ht="20" customHeight="1" x14ac:dyDescent="0.2"/>
    <row r="870" spans="7:7" ht="20" customHeight="1" x14ac:dyDescent="0.2"/>
    <row r="871" spans="7:7" ht="20" customHeight="1" x14ac:dyDescent="0.2"/>
    <row r="872" spans="7:7" ht="20" customHeight="1" x14ac:dyDescent="0.2">
      <c r="G872" s="36"/>
    </row>
    <row r="873" spans="7:7" ht="20" customHeight="1" x14ac:dyDescent="0.2"/>
    <row r="874" spans="7:7" ht="16" customHeight="1" x14ac:dyDescent="0.2"/>
    <row r="875" spans="7:7" ht="20" customHeight="1" x14ac:dyDescent="0.2"/>
    <row r="876" spans="7:7" ht="16" customHeight="1" x14ac:dyDescent="0.2"/>
    <row r="877" spans="7:7" ht="34" customHeight="1" x14ac:dyDescent="0.2"/>
    <row r="878" spans="7:7" ht="20" customHeight="1" x14ac:dyDescent="0.2"/>
    <row r="879" spans="7:7" ht="20" customHeight="1" x14ac:dyDescent="0.2"/>
    <row r="880" spans="7:7" ht="20" customHeight="1" x14ac:dyDescent="0.2"/>
    <row r="881" ht="20" customHeight="1" x14ac:dyDescent="0.2"/>
    <row r="882" ht="20" customHeight="1" x14ac:dyDescent="0.2"/>
    <row r="883" ht="20" customHeight="1" x14ac:dyDescent="0.2"/>
    <row r="884" ht="20" customHeight="1" x14ac:dyDescent="0.2"/>
    <row r="885" ht="20" customHeight="1" x14ac:dyDescent="0.2"/>
    <row r="886" ht="20" customHeight="1" x14ac:dyDescent="0.2"/>
    <row r="887" ht="20" customHeight="1" x14ac:dyDescent="0.2"/>
    <row r="888" ht="20" customHeight="1" x14ac:dyDescent="0.2"/>
    <row r="889" ht="16" customHeight="1" x14ac:dyDescent="0.2"/>
    <row r="890" ht="20" customHeight="1" x14ac:dyDescent="0.2"/>
    <row r="891" ht="16" customHeight="1" x14ac:dyDescent="0.2"/>
    <row r="892" ht="34" customHeight="1" x14ac:dyDescent="0.2"/>
    <row r="893" ht="20" customHeight="1" x14ac:dyDescent="0.2"/>
    <row r="894" ht="20" customHeight="1" x14ac:dyDescent="0.2"/>
    <row r="895" ht="20" customHeight="1" x14ac:dyDescent="0.2"/>
    <row r="896" ht="20" customHeight="1" x14ac:dyDescent="0.2"/>
    <row r="897" ht="16" customHeight="1" x14ac:dyDescent="0.2"/>
    <row r="898" ht="20" customHeight="1" x14ac:dyDescent="0.2"/>
    <row r="899" ht="16" customHeight="1" x14ac:dyDescent="0.2"/>
    <row r="900" ht="34" customHeight="1" x14ac:dyDescent="0.2"/>
    <row r="901" ht="20" customHeight="1" x14ac:dyDescent="0.2"/>
    <row r="902" ht="20" customHeight="1" x14ac:dyDescent="0.2"/>
    <row r="903" ht="16" customHeight="1" x14ac:dyDescent="0.2"/>
    <row r="904" ht="20" customHeight="1" x14ac:dyDescent="0.2"/>
    <row r="905" ht="16" customHeight="1" x14ac:dyDescent="0.2"/>
    <row r="906" ht="34" customHeight="1" x14ac:dyDescent="0.2"/>
    <row r="907" ht="20" customHeight="1" x14ac:dyDescent="0.2"/>
    <row r="908" ht="20" customHeight="1" x14ac:dyDescent="0.2"/>
    <row r="909" ht="20" customHeight="1" x14ac:dyDescent="0.2"/>
    <row r="910" ht="20" customHeight="1" x14ac:dyDescent="0.2"/>
    <row r="911" ht="20" customHeight="1" x14ac:dyDescent="0.2"/>
    <row r="912" ht="20" customHeight="1" x14ac:dyDescent="0.2"/>
    <row r="913" ht="20" customHeight="1" x14ac:dyDescent="0.2"/>
    <row r="914" ht="20" customHeight="1" x14ac:dyDescent="0.2"/>
    <row r="915" ht="20" customHeight="1" x14ac:dyDescent="0.2"/>
    <row r="916" ht="20" customHeight="1" x14ac:dyDescent="0.2"/>
    <row r="917" ht="20" customHeight="1" x14ac:dyDescent="0.2"/>
    <row r="918" ht="20" customHeight="1" x14ac:dyDescent="0.2"/>
    <row r="919" ht="20" customHeight="1" x14ac:dyDescent="0.2"/>
    <row r="920" ht="20" customHeight="1" x14ac:dyDescent="0.2"/>
    <row r="921" ht="20" customHeight="1" x14ac:dyDescent="0.2"/>
    <row r="922" ht="20" customHeight="1" x14ac:dyDescent="0.2"/>
    <row r="923" ht="20" customHeight="1" x14ac:dyDescent="0.2"/>
    <row r="924" ht="20" customHeight="1" x14ac:dyDescent="0.2"/>
    <row r="925" ht="20" customHeight="1" x14ac:dyDescent="0.2"/>
    <row r="926" ht="20" customHeight="1" x14ac:dyDescent="0.2"/>
    <row r="927" ht="20" customHeight="1" x14ac:dyDescent="0.2"/>
    <row r="928" ht="20" customHeight="1" x14ac:dyDescent="0.2"/>
    <row r="929" ht="20" customHeight="1" x14ac:dyDescent="0.2"/>
    <row r="930" ht="20" customHeight="1" x14ac:dyDescent="0.2"/>
    <row r="931" ht="20" customHeight="1" x14ac:dyDescent="0.2"/>
    <row r="932" ht="20" customHeight="1" x14ac:dyDescent="0.2"/>
    <row r="933" ht="20" customHeight="1" x14ac:dyDescent="0.2"/>
    <row r="934" ht="20" customHeight="1" x14ac:dyDescent="0.2"/>
    <row r="935" ht="20" customHeight="1" x14ac:dyDescent="0.2"/>
    <row r="936" ht="20" customHeight="1" x14ac:dyDescent="0.2"/>
    <row r="937" ht="20" customHeight="1" x14ac:dyDescent="0.2"/>
    <row r="938" ht="20" customHeight="1" x14ac:dyDescent="0.2"/>
    <row r="939" ht="20" customHeight="1" x14ac:dyDescent="0.2"/>
    <row r="940" ht="20" customHeight="1" x14ac:dyDescent="0.2"/>
    <row r="941" ht="20" customHeight="1" x14ac:dyDescent="0.2"/>
    <row r="942" ht="20" customHeight="1" x14ac:dyDescent="0.2"/>
    <row r="943" ht="20" customHeight="1" x14ac:dyDescent="0.2"/>
    <row r="944" ht="20" customHeight="1" x14ac:dyDescent="0.2"/>
    <row r="945" ht="20" customHeight="1" x14ac:dyDescent="0.2"/>
    <row r="946" ht="20" customHeight="1" x14ac:dyDescent="0.2"/>
    <row r="947" ht="20" customHeight="1" x14ac:dyDescent="0.2"/>
    <row r="948" ht="16" customHeight="1" x14ac:dyDescent="0.2"/>
    <row r="949" ht="34" customHeight="1" x14ac:dyDescent="0.2"/>
    <row r="950" ht="20" customHeight="1" x14ac:dyDescent="0.2"/>
    <row r="951" ht="20" customHeight="1" x14ac:dyDescent="0.2"/>
    <row r="952" ht="20" customHeight="1" x14ac:dyDescent="0.2"/>
    <row r="953" ht="20" customHeight="1" x14ac:dyDescent="0.2"/>
    <row r="954" ht="16" customHeight="1" x14ac:dyDescent="0.2"/>
    <row r="955" ht="34" customHeight="1" x14ac:dyDescent="0.2"/>
    <row r="956" ht="20" customHeight="1" x14ac:dyDescent="0.2"/>
    <row r="957" ht="20" customHeight="1" x14ac:dyDescent="0.2"/>
    <row r="958" ht="20" customHeight="1" x14ac:dyDescent="0.2"/>
    <row r="959" ht="20" customHeight="1" x14ac:dyDescent="0.2"/>
    <row r="960" ht="20" customHeight="1" x14ac:dyDescent="0.2"/>
  </sheetData>
  <sheetProtection algorithmName="SHA-512" hashValue="BGSERAIrOjHxd9PUs3msVoNCOSKa9yU/R0s/aXCqW/rnRDt+hLxxi3pz9ev8L5hPR26IJTRAxLL1fAzn6bw+KQ==" saltValue="m3SwLifwl4qoVQvCkYKxsA==" spinCount="100000" sheet="1" selectLockedCells="1"/>
  <mergeCells count="59">
    <mergeCell ref="B2:E2"/>
    <mergeCell ref="B61:E61"/>
    <mergeCell ref="B177:E177"/>
    <mergeCell ref="B180:E180"/>
    <mergeCell ref="B184:E184"/>
    <mergeCell ref="B3:E3"/>
    <mergeCell ref="B6:E6"/>
    <mergeCell ref="B20:E20"/>
    <mergeCell ref="B21:E21"/>
    <mergeCell ref="B25:E25"/>
    <mergeCell ref="B26:E26"/>
    <mergeCell ref="B52:E52"/>
    <mergeCell ref="B35:E35"/>
    <mergeCell ref="B36:E36"/>
    <mergeCell ref="B79:E79"/>
    <mergeCell ref="B94:E94"/>
    <mergeCell ref="B105:E105"/>
    <mergeCell ref="B54:E54"/>
    <mergeCell ref="B55:E55"/>
    <mergeCell ref="B80:E80"/>
    <mergeCell ref="B57:E57"/>
    <mergeCell ref="B83:E83"/>
    <mergeCell ref="B116:E116"/>
    <mergeCell ref="B264:E264"/>
    <mergeCell ref="B246:E246"/>
    <mergeCell ref="B226:E226"/>
    <mergeCell ref="B225:E225"/>
    <mergeCell ref="B209:E209"/>
    <mergeCell ref="B208:E208"/>
    <mergeCell ref="B245:E245"/>
    <mergeCell ref="B203:E203"/>
    <mergeCell ref="B202:E202"/>
    <mergeCell ref="B164:E164"/>
    <mergeCell ref="B154:E154"/>
    <mergeCell ref="B128:E128"/>
    <mergeCell ref="B129:E129"/>
    <mergeCell ref="B171:E171"/>
    <mergeCell ref="B157:E157"/>
    <mergeCell ref="B340:E340"/>
    <mergeCell ref="B338:E338"/>
    <mergeCell ref="B371:E371"/>
    <mergeCell ref="B381:E381"/>
    <mergeCell ref="B316:E316"/>
    <mergeCell ref="B355:E355"/>
    <mergeCell ref="B358:E358"/>
    <mergeCell ref="B361:E361"/>
    <mergeCell ref="B394:E394"/>
    <mergeCell ref="B387:E387"/>
    <mergeCell ref="B375:E375"/>
    <mergeCell ref="B367:E367"/>
    <mergeCell ref="B348:E348"/>
    <mergeCell ref="B165:E165"/>
    <mergeCell ref="B170:E170"/>
    <mergeCell ref="B156:E156"/>
    <mergeCell ref="B328:E328"/>
    <mergeCell ref="B176:E176"/>
    <mergeCell ref="B311:E311"/>
    <mergeCell ref="B275:E275"/>
    <mergeCell ref="B181:E181"/>
  </mergeCells>
  <phoneticPr fontId="9" type="noConversion"/>
  <conditionalFormatting sqref="B10">
    <cfRule type="expression" dxfId="1928" priority="6">
      <formula>vcf_granular_option_chosen="VVF Deployment"</formula>
    </cfRule>
    <cfRule type="expression" dxfId="1927" priority="241">
      <formula>wld_domain_chosen="Deploy infrastructure only"</formula>
    </cfRule>
    <cfRule type="expression" dxfId="1926" priority="330">
      <formula>OR((wld_domain_chosen="Deploy Workload Domain with a Single-Rack / Multi-Rack Layer 2 Cluster"),(wld_domain_chosen="Deploy Workload Domain with a Multi-Rack Layer 3 Cluster"),(wld_domain_chosen="Import Workload Domain"))</formula>
    </cfRule>
    <cfRule type="expression" dxfId="1925" priority="331" stopIfTrue="1">
      <formula>wld_domain_chosen="Exclude"</formula>
    </cfRule>
  </conditionalFormatting>
  <conditionalFormatting sqref="B11 D11">
    <cfRule type="expression" dxfId="1924" priority="2">
      <formula>AND((wld_domain_chosen="Deploy infrastructure only"),(wld_compute_hosts_per_rack_chosen&lt;&gt;"Exclude"))</formula>
    </cfRule>
    <cfRule type="expression" dxfId="1923" priority="209" stopIfTrue="1">
      <formula>(wld_compute_hosts_per_rack_chosen="Exclude")</formula>
    </cfRule>
    <cfRule type="expression" dxfId="1922" priority="211">
      <formula>(vcf_version_result="Excluded")</formula>
    </cfRule>
    <cfRule type="expression" dxfId="1921" priority="271">
      <formula>(vcf_version_chosen&lt;&gt;"Exclude")</formula>
    </cfRule>
  </conditionalFormatting>
  <conditionalFormatting sqref="B11 D11:E11">
    <cfRule type="expression" dxfId="1920" priority="206">
      <formula>wld_compute_total_number_hosts&gt;64</formula>
    </cfRule>
  </conditionalFormatting>
  <conditionalFormatting sqref="B11">
    <cfRule type="expression" dxfId="1919" priority="106">
      <formula>$E$11="Required: Minimum Number of hosts must be selected"</formula>
    </cfRule>
  </conditionalFormatting>
  <conditionalFormatting sqref="B11:B18 D11:D18 D58:D60 D62:D77 D82 D84:D93 D95:D104 D131:D152 D159:D162 D167:D168 D173:D174 D178 D186:D200 D205:D206 D211:D223 D228:D243 D248:D249 D254:D285 D287:D290 D292:D295 D297:D300 D302:D305 D307:D310 D312:D315 D317:D327 D329:D336 D357 D359:D360 D362:D363 D368:D370 D374 D376:D380 D382:D386 D388:D393 B396 D396 B398:B401 D398:D401 B403:B404 D403:D404 B406:B421 D406:D421">
    <cfRule type="expression" dxfId="1918" priority="1">
      <formula>wld_domain_chosen="Import Workload Domain"</formula>
    </cfRule>
  </conditionalFormatting>
  <conditionalFormatting sqref="B12 D12">
    <cfRule type="expression" dxfId="1917" priority="103">
      <formula>wld_multi_rack_count_chosen="Exclude"</formula>
    </cfRule>
    <cfRule type="expression" dxfId="1916" priority="105">
      <formula>(vcf_version_result="Excluded")</formula>
    </cfRule>
    <cfRule type="expression" dxfId="1915" priority="207">
      <formula>(vcf_version_chosen&lt;&gt;"Exclude")</formula>
    </cfRule>
  </conditionalFormatting>
  <conditionalFormatting sqref="B12 D12:E12">
    <cfRule type="expression" dxfId="1914" priority="101">
      <formula>AND((wld_multi_rack_count_chosen&lt;&gt;"Exclude"),(wld_multi_rack_count_result="Excluded"))</formula>
    </cfRule>
  </conditionalFormatting>
  <conditionalFormatting sqref="B12">
    <cfRule type="expression" dxfId="1913" priority="100">
      <formula>AND((wld_domain_chosen="Deploy Workload Domain with a Multi-Rack Layer 3 Cluster"),(wld_multi_rack_count_chosen="Exclude"))</formula>
    </cfRule>
  </conditionalFormatting>
  <conditionalFormatting sqref="B13 D13:E13">
    <cfRule type="expression" dxfId="1912" priority="259">
      <formula>AND((wld_dpg_separation_chosen&lt;&gt;"Exclude"),(wld_dpg_separation_result="Excluded"))</formula>
    </cfRule>
  </conditionalFormatting>
  <conditionalFormatting sqref="B13">
    <cfRule type="expression" dxfId="1911" priority="328">
      <formula>wld_dpg_separation_chosen="Include"</formula>
    </cfRule>
    <cfRule type="expression" dxfId="1910" priority="329">
      <formula>wld_dpg_separation_chosen="Exclude"</formula>
    </cfRule>
  </conditionalFormatting>
  <conditionalFormatting sqref="B13:B18 D15">
    <cfRule type="expression" dxfId="1909" priority="321" stopIfTrue="1">
      <formula>wld_domain_result="Excluded"</formula>
    </cfRule>
  </conditionalFormatting>
  <conditionalFormatting sqref="B14 D14:E14">
    <cfRule type="expression" dxfId="1908" priority="59">
      <formula>$E$14="Cause: Multi Rack Configuration is only supported with vSAN as Principal Storage or with vSAN Compute Clusters"</formula>
    </cfRule>
  </conditionalFormatting>
  <conditionalFormatting sqref="B14">
    <cfRule type="expression" dxfId="1907" priority="5">
      <formula>wld_domain_chosen="Deploy infrastructure only"</formula>
    </cfRule>
  </conditionalFormatting>
  <conditionalFormatting sqref="B15 D15">
    <cfRule type="expression" dxfId="1906" priority="102">
      <formula>wld_az1_reuse_vcf_networkpool_result="Excluded"</formula>
    </cfRule>
  </conditionalFormatting>
  <conditionalFormatting sqref="B16 D16:E16">
    <cfRule type="expression" dxfId="1905" priority="242">
      <formula>AND((wld_secondary_storage_chosen&lt;&gt;"Exclude"),(wld_secondary_storage_result="Excluded"))</formula>
    </cfRule>
  </conditionalFormatting>
  <conditionalFormatting sqref="B16">
    <cfRule type="expression" dxfId="1904" priority="324" stopIfTrue="1">
      <formula>wld_secondary_storage_chosen&lt;&gt;"Exclude"</formula>
    </cfRule>
    <cfRule type="expression" dxfId="1903" priority="326" stopIfTrue="1">
      <formula>wld_secondary_storage_chosen="Exclude"</formula>
    </cfRule>
  </conditionalFormatting>
  <conditionalFormatting sqref="B16:B18 B13:B14">
    <cfRule type="expression" dxfId="1902" priority="325">
      <formula>wld_domain_chosen="Exclude"</formula>
    </cfRule>
  </conditionalFormatting>
  <conditionalFormatting sqref="B17 D17:E17">
    <cfRule type="expression" dxfId="1901" priority="322">
      <formula>AND((wld_esxi_external_certs_chosen&lt;&gt;"Exclude"),(wld_esxi_external_certs_result="Excluded"))</formula>
    </cfRule>
  </conditionalFormatting>
  <conditionalFormatting sqref="B17">
    <cfRule type="expression" dxfId="1900" priority="323">
      <formula>wld_esxi_external_certs_chosen="Exclude"</formula>
    </cfRule>
    <cfRule type="expression" dxfId="1899" priority="836">
      <formula>wld_esxi_external_certs_chosen="Include"</formula>
    </cfRule>
  </conditionalFormatting>
  <conditionalFormatting sqref="B18 D18">
    <cfRule type="expression" dxfId="1898" priority="306">
      <formula>wld_iaas_result="Excluded"</formula>
    </cfRule>
    <cfRule type="expression" dxfId="1897" priority="320">
      <formula>wld_iaas_chosen="Include"</formula>
    </cfRule>
  </conditionalFormatting>
  <conditionalFormatting sqref="B18 D18:E18">
    <cfRule type="expression" dxfId="1896" priority="64">
      <formula>$E$18="Cause: vSphere Supervisor should be enabled after the you completed the stretched cluster configuration"</formula>
    </cfRule>
  </conditionalFormatting>
  <conditionalFormatting sqref="D10">
    <cfRule type="expression" dxfId="1894" priority="410">
      <formula>(wld_domain_result="Excluded")</formula>
    </cfRule>
    <cfRule type="expression" dxfId="1893" priority="852">
      <formula>AND((wld_domain_chosen&lt;&gt;"Exclude"),(wld_domain_result="Included"))</formula>
    </cfRule>
  </conditionalFormatting>
  <conditionalFormatting sqref="D13">
    <cfRule type="expression" dxfId="1892" priority="818" stopIfTrue="1">
      <formula>(wld_dpg_separation_result="Excluded")</formula>
    </cfRule>
    <cfRule type="expression" dxfId="1891" priority="819">
      <formula>(wld_dpg_separation_result="Included")</formula>
    </cfRule>
  </conditionalFormatting>
  <conditionalFormatting sqref="D13:D14 D16">
    <cfRule type="expression" dxfId="1890" priority="774">
      <formula>(vcf_version_result="Excluded")</formula>
    </cfRule>
  </conditionalFormatting>
  <conditionalFormatting sqref="D14">
    <cfRule type="expression" dxfId="1889" priority="327">
      <formula>wld_principal_storage_result="Excluded"</formula>
    </cfRule>
    <cfRule type="expression" dxfId="1888" priority="788">
      <formula>wld_principal_storage_result="Included"</formula>
    </cfRule>
  </conditionalFormatting>
  <conditionalFormatting sqref="D16">
    <cfRule type="expression" dxfId="1887" priority="831">
      <formula>(wld_secondary_storage_chosen="Exclude")</formula>
    </cfRule>
    <cfRule type="expression" dxfId="1886" priority="832">
      <formula>AND((wld_secondary_storage_chosen&lt;&gt;"Exclude"),(wld_secondary_storage_result="Included"))</formula>
    </cfRule>
  </conditionalFormatting>
  <conditionalFormatting sqref="D17">
    <cfRule type="expression" dxfId="1885" priority="837">
      <formula>(wld_esxi_external_certs_chosen="Exclude")</formula>
    </cfRule>
    <cfRule type="expression" dxfId="1884" priority="838">
      <formula>wld_esxi_external_certs_result="Included"</formula>
    </cfRule>
  </conditionalFormatting>
  <conditionalFormatting sqref="D18 D16">
    <cfRule type="expression" dxfId="1883" priority="830">
      <formula>(wld_domain_chosen="Exclude")</formula>
    </cfRule>
  </conditionalFormatting>
  <conditionalFormatting sqref="D23 D28:D33 D38:D50 D58:D60 D62:D77 D82 D84:D93 D95:D104 D106:D115 D131:D152 D159:D162 D167:D168 D173:D174 D178 D186:D200 D205:D206 D211:D223 D228:D243 D248:D249 D254:D285 D293:D295 D312:D315 D317:D327 D329:D336 D341:D347 D349:D353 D357 D359:D360 D362:D363 D368:D370 D374 D376:D380 D382:D386 D388:D393 D396 D398:D401 D403:D404">
    <cfRule type="notContainsBlanks" dxfId="1881" priority="4980">
      <formula>LEN(TRIM(D23))&gt;0</formula>
    </cfRule>
  </conditionalFormatting>
  <conditionalFormatting sqref="D23 D28:D33 D38:D50">
    <cfRule type="expression" dxfId="1880" priority="249">
      <formula>wld_domain_chosen&lt;&gt;"Import Workload Domain"</formula>
    </cfRule>
  </conditionalFormatting>
  <conditionalFormatting sqref="D38:D43 D47">
    <cfRule type="expression" dxfId="1879" priority="246">
      <formula>wld_bf_nsx_existing_chosen="Selected"</formula>
    </cfRule>
  </conditionalFormatting>
  <conditionalFormatting sqref="D39:D43 D47">
    <cfRule type="expression" dxfId="1878" priority="247">
      <formula>wld_bf_nsx_join_manager_chosen="Join existing NSX Manager Instance"</formula>
    </cfRule>
  </conditionalFormatting>
  <conditionalFormatting sqref="D42:D43">
    <cfRule type="expression" dxfId="1877" priority="248">
      <formula>wld_bf_nsx_ha_mode_chosen="Single NSX Manager Appliance"</formula>
    </cfRule>
  </conditionalFormatting>
  <conditionalFormatting sqref="D45">
    <cfRule type="expression" dxfId="1876" priority="245">
      <formula>wld_bf_nsx_existing_chosen="Unselected"</formula>
    </cfRule>
  </conditionalFormatting>
  <conditionalFormatting sqref="D48:D50">
    <cfRule type="expression" dxfId="1875" priority="243">
      <formula>wld_bf_nsx_create_passwords_chosen="Selected"</formula>
    </cfRule>
  </conditionalFormatting>
  <conditionalFormatting sqref="D58:D60 D62:D77 D82 D84:D93 D95:D104 D106:D115 D117:D126">
    <cfRule type="expression" dxfId="1874" priority="3">
      <formula>wld_domain_deployment_type="Deploy infrastructure only"</formula>
    </cfRule>
  </conditionalFormatting>
  <conditionalFormatting sqref="D58:D60 D84:D89">
    <cfRule type="expression" dxfId="1873" priority="553">
      <formula>wld_domain_result="Excluded"</formula>
    </cfRule>
  </conditionalFormatting>
  <conditionalFormatting sqref="D62:D77">
    <cfRule type="expression" dxfId="1872" priority="601">
      <formula>wld_domain_result="Excluded"</formula>
    </cfRule>
  </conditionalFormatting>
  <conditionalFormatting sqref="D63">
    <cfRule type="expression" dxfId="1871" priority="189">
      <formula>AND((wld_domain_chosen="Deploy Workload Domain with a Multi-Rack Layer 3 Cluster"),(wld_compute_hosts_per_rack_chosen&lt;2))</formula>
    </cfRule>
  </conditionalFormatting>
  <conditionalFormatting sqref="D64">
    <cfRule type="expression" dxfId="1870" priority="190">
      <formula>wld_compute_hosts_per_rack_chosen&lt;3</formula>
    </cfRule>
  </conditionalFormatting>
  <conditionalFormatting sqref="D65">
    <cfRule type="expression" dxfId="1869" priority="191">
      <formula>wld_compute_hosts_per_rack_chosen&lt;4</formula>
    </cfRule>
  </conditionalFormatting>
  <conditionalFormatting sqref="D66">
    <cfRule type="expression" dxfId="1868" priority="192">
      <formula>wld_compute_hosts_per_rack_chosen&lt;5</formula>
    </cfRule>
  </conditionalFormatting>
  <conditionalFormatting sqref="D67">
    <cfRule type="expression" dxfId="1867" priority="193">
      <formula>wld_compute_hosts_per_rack_chosen&lt;6</formula>
    </cfRule>
  </conditionalFormatting>
  <conditionalFormatting sqref="D68">
    <cfRule type="expression" dxfId="1866" priority="194">
      <formula>wld_compute_hosts_per_rack_chosen&lt;7</formula>
    </cfRule>
  </conditionalFormatting>
  <conditionalFormatting sqref="D69">
    <cfRule type="expression" dxfId="1865" priority="195">
      <formula>wld_compute_hosts_per_rack_chosen&lt;8</formula>
    </cfRule>
  </conditionalFormatting>
  <conditionalFormatting sqref="D70">
    <cfRule type="expression" dxfId="1864" priority="196">
      <formula>wld_compute_hosts_per_rack_chosen&lt;9</formula>
    </cfRule>
  </conditionalFormatting>
  <conditionalFormatting sqref="D71">
    <cfRule type="expression" dxfId="1863" priority="197">
      <formula>wld_compute_hosts_per_rack_chosen&lt;10</formula>
    </cfRule>
  </conditionalFormatting>
  <conditionalFormatting sqref="D72">
    <cfRule type="expression" dxfId="1862" priority="198">
      <formula>wld_compute_hosts_per_rack_chosen&lt;11</formula>
    </cfRule>
  </conditionalFormatting>
  <conditionalFormatting sqref="D73">
    <cfRule type="expression" dxfId="1861" priority="199">
      <formula>wld_compute_hosts_per_rack_chosen&lt;12</formula>
    </cfRule>
  </conditionalFormatting>
  <conditionalFormatting sqref="D74">
    <cfRule type="expression" dxfId="1860" priority="200">
      <formula>wld_compute_hosts_per_rack_chosen&lt;13</formula>
    </cfRule>
  </conditionalFormatting>
  <conditionalFormatting sqref="D75">
    <cfRule type="expression" dxfId="1859" priority="201">
      <formula>wld_compute_hosts_per_rack_chosen&lt;14</formula>
    </cfRule>
  </conditionalFormatting>
  <conditionalFormatting sqref="D76">
    <cfRule type="expression" dxfId="1858" priority="202">
      <formula>wld_compute_hosts_per_rack_chosen&lt;15</formula>
    </cfRule>
  </conditionalFormatting>
  <conditionalFormatting sqref="D77">
    <cfRule type="expression" dxfId="1857" priority="203">
      <formula>wld_compute_hosts_per_rack_chosen&lt;16</formula>
    </cfRule>
  </conditionalFormatting>
  <conditionalFormatting sqref="D84:D93 D95:D104 D106:D115 D117:D126 D58:D60 D62:D77 D82 D131:D152 D159:D162 D167:D168 D173:D174 D178 D186:D200 D205:D206 D211:D223 D228:D243 D248:D249 D254:D285 D292:D295 D329:D336 D341:D347 D349:D353 D357 D359:D360 D362:D363 D368:D370 D372:D374 D376:D380 D382:D386 D388:D393 D396 D398:D401 D403:D404">
    <cfRule type="expression" dxfId="1856" priority="63" stopIfTrue="1">
      <formula>wld_domain_result="Excluded"</formula>
    </cfRule>
  </conditionalFormatting>
  <conditionalFormatting sqref="D84:D93 D95:D104 D106:D115 D117:D126">
    <cfRule type="expression" dxfId="1855" priority="62">
      <formula>wld_az1_reuse_vcf_networkpool_chosen="Re-use an existing VCF Network Pool"</formula>
    </cfRule>
  </conditionalFormatting>
  <conditionalFormatting sqref="D87 D89 D92:D93">
    <cfRule type="expression" dxfId="1854" priority="32">
      <formula>wld_az1_vmotion_ip_scheme_chosen="IPv4"</formula>
    </cfRule>
  </conditionalFormatting>
  <conditionalFormatting sqref="D88 D90:D91">
    <cfRule type="expression" dxfId="1853" priority="28">
      <formula>wld_az1_vmotion_ip_scheme_chosen="IPv6"</formula>
    </cfRule>
  </conditionalFormatting>
  <conditionalFormatting sqref="D94 D98">
    <cfRule type="expression" dxfId="1852" priority="501">
      <formula>mgmt_domain_existing_vcenter_chosen="Selected"</formula>
    </cfRule>
    <cfRule type="containsBlanks" dxfId="1850" priority="503">
      <formula>LEN(TRIM(D94))=0</formula>
    </cfRule>
    <cfRule type="notContainsBlanks" dxfId="1849" priority="504">
      <formula>LEN(TRIM(D94))&gt;0</formula>
    </cfRule>
  </conditionalFormatting>
  <conditionalFormatting sqref="D95:D100">
    <cfRule type="expression" dxfId="1848" priority="514">
      <formula>wld_domain_result="Excluded"</formula>
    </cfRule>
  </conditionalFormatting>
  <conditionalFormatting sqref="D95:D104">
    <cfRule type="expression" dxfId="1847" priority="515">
      <formula>OR((wld_principal_storage_chosen="VMFS on Fibre Channel (FC)"),(wld_principal_storage_chosen="vSAN Storage Cluster"))</formula>
    </cfRule>
  </conditionalFormatting>
  <conditionalFormatting sqref="D98 D94">
    <cfRule type="expression" dxfId="1846" priority="500">
      <formula>input_mgmt_principal_storage_chosen="VMFS on Fibre Channel (FC)"</formula>
    </cfRule>
  </conditionalFormatting>
  <conditionalFormatting sqref="D98 D100 D103:D104">
    <cfRule type="expression" dxfId="1845" priority="31">
      <formula>wld_az1_principal_storage_ip_scheme_chosen="IPv4"</formula>
    </cfRule>
  </conditionalFormatting>
  <conditionalFormatting sqref="D101:D104">
    <cfRule type="expression" dxfId="1844" priority="369">
      <formula>wld_domain_result="Excluded"</formula>
    </cfRule>
  </conditionalFormatting>
  <conditionalFormatting sqref="D106:D115">
    <cfRule type="expression" dxfId="1843" priority="388" stopIfTrue="1">
      <formula>OR((wld_domain_result="Excluded"),(wld_secondary_storage_result="Excluded"))</formula>
    </cfRule>
  </conditionalFormatting>
  <conditionalFormatting sqref="D109 D111 D114:D115">
    <cfRule type="expression" dxfId="1842" priority="30">
      <formula>wld_az1_secondary_storage_ip_scheme_chosen="IPv4"</formula>
    </cfRule>
  </conditionalFormatting>
  <conditionalFormatting sqref="D110 D112:D113">
    <cfRule type="expression" dxfId="1841" priority="27">
      <formula>wld_az1_secondary_storage_ip_scheme_chosen="IPv6"</formula>
    </cfRule>
  </conditionalFormatting>
  <conditionalFormatting sqref="D117:D126">
    <cfRule type="expression" dxfId="1840" priority="61">
      <formula>wld_principal_storage_chosen&lt;&gt;"vSAN Storage Cluster"</formula>
    </cfRule>
    <cfRule type="containsBlanks" dxfId="1839" priority="88">
      <formula>LEN(TRIM(D117))=0</formula>
    </cfRule>
    <cfRule type="notContainsBlanks" dxfId="1837" priority="4978">
      <formula>LEN(TRIM(D117))&gt;0</formula>
    </cfRule>
  </conditionalFormatting>
  <conditionalFormatting sqref="D120 D122 D125:D126">
    <cfRule type="expression" dxfId="1836" priority="29">
      <formula>wld_az1_storage_cluster_ip_scheme_chosen="IPv4"</formula>
    </cfRule>
  </conditionalFormatting>
  <conditionalFormatting sqref="D121 D123:D124">
    <cfRule type="expression" dxfId="1835" priority="26">
      <formula>wld_az1_storage_cluster_ip_scheme_chosen="IPv6"</formula>
    </cfRule>
  </conditionalFormatting>
  <conditionalFormatting sqref="D131:D146">
    <cfRule type="expression" dxfId="1834" priority="155">
      <formula>wld_domain_result="Excluded"</formula>
    </cfRule>
  </conditionalFormatting>
  <conditionalFormatting sqref="D131:D152">
    <cfRule type="expression" dxfId="1833" priority="4">
      <formula>wld_domain_deployment_type="Deploy infrastructure only"</formula>
    </cfRule>
  </conditionalFormatting>
  <conditionalFormatting sqref="D132">
    <cfRule type="expression" dxfId="1832" priority="140">
      <formula>AND((wld_domain_chosen="Deploy Workload Domain with a Multi-Rack Layer 3 Cluster"),(wld_compute_hosts_per_rack_chosen&lt;2))</formula>
    </cfRule>
  </conditionalFormatting>
  <conditionalFormatting sqref="D133">
    <cfRule type="expression" dxfId="1831" priority="141">
      <formula>wld_compute_hosts_per_rack_chosen&lt;3</formula>
    </cfRule>
  </conditionalFormatting>
  <conditionalFormatting sqref="D134">
    <cfRule type="expression" dxfId="1830" priority="142">
      <formula>wld_compute_hosts_per_rack_chosen&lt;4</formula>
    </cfRule>
  </conditionalFormatting>
  <conditionalFormatting sqref="D135">
    <cfRule type="expression" dxfId="1829" priority="143">
      <formula>wld_compute_hosts_per_rack_chosen&lt;5</formula>
    </cfRule>
  </conditionalFormatting>
  <conditionalFormatting sqref="D136">
    <cfRule type="expression" dxfId="1828" priority="144">
      <formula>wld_compute_hosts_per_rack_chosen&lt;6</formula>
    </cfRule>
  </conditionalFormatting>
  <conditionalFormatting sqref="D137">
    <cfRule type="expression" dxfId="1827" priority="145">
      <formula>wld_compute_hosts_per_rack_chosen&lt;7</formula>
    </cfRule>
  </conditionalFormatting>
  <conditionalFormatting sqref="D138">
    <cfRule type="expression" dxfId="1826" priority="146">
      <formula>wld_compute_hosts_per_rack_chosen&lt;8</formula>
    </cfRule>
  </conditionalFormatting>
  <conditionalFormatting sqref="D139">
    <cfRule type="expression" dxfId="1825" priority="147">
      <formula>wld_compute_hosts_per_rack_chosen&lt;9</formula>
    </cfRule>
  </conditionalFormatting>
  <conditionalFormatting sqref="D140">
    <cfRule type="expression" dxfId="1824" priority="148">
      <formula>wld_compute_hosts_per_rack_chosen&lt;10</formula>
    </cfRule>
  </conditionalFormatting>
  <conditionalFormatting sqref="D141">
    <cfRule type="expression" dxfId="1823" priority="149">
      <formula>wld_compute_hosts_per_rack_chosen&lt;11</formula>
    </cfRule>
  </conditionalFormatting>
  <conditionalFormatting sqref="D142">
    <cfRule type="expression" dxfId="1822" priority="150">
      <formula>wld_compute_hosts_per_rack_chosen&lt;12</formula>
    </cfRule>
  </conditionalFormatting>
  <conditionalFormatting sqref="D143">
    <cfRule type="expression" dxfId="1821" priority="151">
      <formula>wld_compute_hosts_per_rack_chosen&lt;13</formula>
    </cfRule>
  </conditionalFormatting>
  <conditionalFormatting sqref="D144">
    <cfRule type="expression" dxfId="1820" priority="152">
      <formula>wld_compute_hosts_per_rack_chosen&lt;14</formula>
    </cfRule>
  </conditionalFormatting>
  <conditionalFormatting sqref="D145">
    <cfRule type="expression" dxfId="1819" priority="153">
      <formula>wld_compute_hosts_per_rack_chosen&lt;15</formula>
    </cfRule>
  </conditionalFormatting>
  <conditionalFormatting sqref="D146">
    <cfRule type="expression" dxfId="1818" priority="154">
      <formula>wld_compute_hosts_per_rack_chosen&lt;16</formula>
    </cfRule>
  </conditionalFormatting>
  <conditionalFormatting sqref="D148:D149">
    <cfRule type="expression" dxfId="1817" priority="212">
      <formula>AND((wld_principal_storage_chosen&lt;&gt;"vSAN-ESA"),(wld_principal_storage_chosen&lt;&gt;"vSAN-OSA"),(wld_principal_storage_chosen&lt;&gt;"vSAN Storage Cluster"),(wld_principal_storage_chosen&lt;&gt;"vSAN Compute Cluster"))</formula>
    </cfRule>
  </conditionalFormatting>
  <conditionalFormatting sqref="D161 D173:D174 D178 D205:D206 D211:D223 D228:D243 D248:D249 D254:D263 D265:D274 D276:D285 D287:D290 D292:D295 D297:D300 D302:D305 D307:D310 D312:D315 D317:D327 D329:D336 D341:D347 D349:D353">
    <cfRule type="expression" dxfId="1816" priority="25">
      <formula>wld_domain_deployment_type="Deploy Infrastructure only"</formula>
    </cfRule>
  </conditionalFormatting>
  <conditionalFormatting sqref="D174 D341:D347 D349:D353">
    <cfRule type="expression" dxfId="1815" priority="229">
      <formula>wld_iaas_result="Excluded"</formula>
    </cfRule>
  </conditionalFormatting>
  <conditionalFormatting sqref="D183">
    <cfRule type="expression" dxfId="1814" priority="33">
      <formula>wld_domain_chosen="Import Workload Domain"</formula>
    </cfRule>
    <cfRule type="expression" dxfId="1813" priority="34" stopIfTrue="1">
      <formula>wld_domain_result="Excluded"</formula>
    </cfRule>
    <cfRule type="expression" dxfId="1812" priority="35">
      <formula>mgmt_domain_deployment_type_chosen="VMware vSphere Foundation"</formula>
    </cfRule>
    <cfRule type="expression" dxfId="1811" priority="36">
      <formula>wld_multirack_result="Included"</formula>
    </cfRule>
    <cfRule type="containsBlanks" dxfId="1810" priority="37">
      <formula>LEN(TRIM(D183))=0</formula>
    </cfRule>
    <cfRule type="notContainsBlanks" dxfId="1808" priority="39">
      <formula>LEN(TRIM(D183))&gt;0</formula>
    </cfRule>
  </conditionalFormatting>
  <conditionalFormatting sqref="D186:D193 D196:D200 D362:D363">
    <cfRule type="expression" dxfId="1807" priority="24">
      <formula>wld_cl01_nsxt_deployent_type_chosen="Join existing NSX Manager Instance"</formula>
    </cfRule>
  </conditionalFormatting>
  <conditionalFormatting sqref="D190:D193">
    <cfRule type="expression" dxfId="1806" priority="475">
      <formula>wld_nsx_ha_mode_chosen="Simple"</formula>
    </cfRule>
  </conditionalFormatting>
  <conditionalFormatting sqref="D197:D200">
    <cfRule type="expression" dxfId="1805" priority="605">
      <formula>wld_centralized_connectivity_chosen="Centralized Connectivity"</formula>
    </cfRule>
  </conditionalFormatting>
  <conditionalFormatting sqref="D206 D211">
    <cfRule type="expression" dxfId="1804" priority="215">
      <formula>AND((wld_principal_storage_chosen&lt;&gt;"vSAN-ESA"),(wld_principal_storage_chosen&lt;&gt;"vSAN Storage Cluster"))</formula>
    </cfRule>
  </conditionalFormatting>
  <conditionalFormatting sqref="D211:D223 D254:D285 D248:D249 D349:D353 D178 D186:D200 D205:D206 D312:D315 D317:D327 D362:D363 D329:D336 D341:D347 D62:D77 D58:D60 D84:D93 D95:D104 D359:D360 D106:D115 D293:D295 D23 D28:D33 D38:D50 D173:D174 D131:D152 D228:D243 D374 D82 D159:D162 D167:D168 D357 D368:D370 D376:D380 D382:D386 D388:D393 D396 D398:D401 D403:D404">
    <cfRule type="containsBlanks" dxfId="1803" priority="1227">
      <formula>LEN(TRIM(D23))=0</formula>
    </cfRule>
  </conditionalFormatting>
  <conditionalFormatting sqref="D212">
    <cfRule type="expression" dxfId="1802" priority="606">
      <formula>AND((wld_principal_storage_chosen&lt;&gt;"vSAN-ESA"),(wld_principal_storage_chosen&lt;&gt;"vSAN-OSA"),(wld_principal_storage_chosen&lt;&gt;"vSAN Storage Cluster"))</formula>
    </cfRule>
  </conditionalFormatting>
  <conditionalFormatting sqref="D213">
    <cfRule type="expression" dxfId="1801" priority="307">
      <formula>$B$16&lt;&gt;"vSAN Storage Client Network"</formula>
    </cfRule>
  </conditionalFormatting>
  <conditionalFormatting sqref="D216:D218">
    <cfRule type="expression" dxfId="1799" priority="23">
      <formula>wld_cl01_vsan_dit_chosen="Unselected"</formula>
    </cfRule>
  </conditionalFormatting>
  <conditionalFormatting sqref="D217">
    <cfRule type="expression" dxfId="1798" priority="22">
      <formula>wld_cl01_vsan_dit_rekey_type_chosen="Custom"</formula>
    </cfRule>
  </conditionalFormatting>
  <conditionalFormatting sqref="D218">
    <cfRule type="expression" dxfId="1797" priority="21">
      <formula>wld_cl01_vsan_dit_rekey_type_chosen="Default"</formula>
    </cfRule>
  </conditionalFormatting>
  <conditionalFormatting sqref="D219">
    <cfRule type="expression" dxfId="1796" priority="732">
      <formula>(wld_principal_storage_chosen&lt;&gt;"vSAN-OSA")</formula>
    </cfRule>
  </conditionalFormatting>
  <conditionalFormatting sqref="D220">
    <cfRule type="expression" dxfId="1795" priority="727">
      <formula>OR((wld_domain_result="Excluded"),(wld_principal_storage_chosen&lt;&gt;"VMFS on Fibre Channel (FC)"))</formula>
    </cfRule>
  </conditionalFormatting>
  <conditionalFormatting sqref="D221:D223">
    <cfRule type="expression" dxfId="1794" priority="719">
      <formula>OR((wld_domain_result="Excluded"),(wld_principal_storage_chosen&lt;&gt;"NFSv3"))</formula>
    </cfRule>
  </conditionalFormatting>
  <conditionalFormatting sqref="D228:D243">
    <cfRule type="expression" dxfId="1793" priority="122">
      <formula>wld_domain_result="Excluded"</formula>
    </cfRule>
  </conditionalFormatting>
  <conditionalFormatting sqref="D229">
    <cfRule type="expression" dxfId="1792" priority="107">
      <formula>AND((wld_domain_chosen="Deploy Workload Domain with a Multi-Rack Layer 3 Cluster"),(wld_compute_hosts_per_rack_chosen&lt;2))</formula>
    </cfRule>
  </conditionalFormatting>
  <conditionalFormatting sqref="D230">
    <cfRule type="expression" dxfId="1791" priority="108">
      <formula>wld_compute_hosts_per_rack_chosen&lt;3</formula>
    </cfRule>
  </conditionalFormatting>
  <conditionalFormatting sqref="D231">
    <cfRule type="expression" dxfId="1790" priority="109">
      <formula>wld_compute_hosts_per_rack_chosen&lt;4</formula>
    </cfRule>
  </conditionalFormatting>
  <conditionalFormatting sqref="D232">
    <cfRule type="expression" dxfId="1789" priority="110">
      <formula>wld_compute_hosts_per_rack_chosen&lt;5</formula>
    </cfRule>
  </conditionalFormatting>
  <conditionalFormatting sqref="D233">
    <cfRule type="expression" dxfId="1788" priority="111">
      <formula>wld_compute_hosts_per_rack_chosen&lt;6</formula>
    </cfRule>
  </conditionalFormatting>
  <conditionalFormatting sqref="D234">
    <cfRule type="expression" dxfId="1787" priority="112">
      <formula>wld_compute_hosts_per_rack_chosen&lt;7</formula>
    </cfRule>
  </conditionalFormatting>
  <conditionalFormatting sqref="D235">
    <cfRule type="expression" dxfId="1786" priority="113">
      <formula>wld_compute_hosts_per_rack_chosen&lt;8</formula>
    </cfRule>
  </conditionalFormatting>
  <conditionalFormatting sqref="D236">
    <cfRule type="expression" dxfId="1785" priority="114">
      <formula>wld_compute_hosts_per_rack_chosen&lt;9</formula>
    </cfRule>
  </conditionalFormatting>
  <conditionalFormatting sqref="D237">
    <cfRule type="expression" dxfId="1784" priority="115">
      <formula>wld_compute_hosts_per_rack_chosen&lt;10</formula>
    </cfRule>
  </conditionalFormatting>
  <conditionalFormatting sqref="D238">
    <cfRule type="expression" dxfId="1783" priority="116">
      <formula>wld_compute_hosts_per_rack_chosen&lt;11</formula>
    </cfRule>
  </conditionalFormatting>
  <conditionalFormatting sqref="D239">
    <cfRule type="expression" dxfId="1782" priority="117">
      <formula>wld_compute_hosts_per_rack_chosen&lt;12</formula>
    </cfRule>
  </conditionalFormatting>
  <conditionalFormatting sqref="D240">
    <cfRule type="expression" dxfId="1781" priority="118">
      <formula>wld_compute_hosts_per_rack_chosen&lt;13</formula>
    </cfRule>
  </conditionalFormatting>
  <conditionalFormatting sqref="D241">
    <cfRule type="expression" dxfId="1780" priority="119">
      <formula>wld_compute_hosts_per_rack_chosen&lt;14</formula>
    </cfRule>
  </conditionalFormatting>
  <conditionalFormatting sqref="D242">
    <cfRule type="expression" dxfId="1779" priority="120">
      <formula>wld_compute_hosts_per_rack_chosen&lt;15</formula>
    </cfRule>
  </conditionalFormatting>
  <conditionalFormatting sqref="D243">
    <cfRule type="expression" dxfId="1778" priority="121">
      <formula>wld_compute_hosts_per_rack_chosen&lt;16</formula>
    </cfRule>
  </conditionalFormatting>
  <conditionalFormatting sqref="D254:D263 D265:D274">
    <cfRule type="expression" dxfId="1777" priority="675">
      <formula>wld_cl01_vds_profile_chosen="Custom Switch Configuration"</formula>
    </cfRule>
  </conditionalFormatting>
  <conditionalFormatting sqref="D254:D285 D302:D305 D287:D290 D292:D295 D297:D300 D329:D336 D84:D93 D95:D104 D106:D115 D159:D162 D173:D174 D178 D205:D206 D211:D223 D228:D243 D248:D249 D307:D310 D312:D315 D317:D327 D341:D347 D349:D353 D186:D200 D362:D363 D131:D152 D58:D60 D62:D77 D82 D23 D28:D33 D38:D50 D167:D168 D357 D359:D360 D368:D370 D374 D376:D380 D382:D386 D388:D393 B396 D396 B398:B401 D398:D401 B403:B404 D403:D404 B406:B421 D406:D421">
    <cfRule type="expression" dxfId="1776" priority="53">
      <formula>mgmt_domain_deployment_type_chosen="VMware vSphere Foundation"</formula>
    </cfRule>
  </conditionalFormatting>
  <conditionalFormatting sqref="D257:D260">
    <cfRule type="expression" dxfId="1775" priority="52">
      <formula>wld_cl01_vds01_link_type_chosen="VDS Uplinks"</formula>
    </cfRule>
  </conditionalFormatting>
  <conditionalFormatting sqref="D263:D285 D312:D315 D319:D320 D205:D206 D178 D186:D193 D196:D200 D249 D362:D363">
    <cfRule type="expression" dxfId="1774" priority="864">
      <formula>wld_multirack_result="Included"</formula>
    </cfRule>
  </conditionalFormatting>
  <conditionalFormatting sqref="D263:D285 D349:D353 D249">
    <cfRule type="expression" dxfId="1773" priority="865">
      <formula>wld_domain_result="Excluded"</formula>
    </cfRule>
  </conditionalFormatting>
  <conditionalFormatting sqref="D264">
    <cfRule type="expression" dxfId="1772" priority="261">
      <formula>mgmt_host_overlay_addressing_chosen&lt;&gt;"IP Pool"</formula>
    </cfRule>
    <cfRule type="notContainsBlanks" dxfId="1771" priority="262" stopIfTrue="1">
      <formula>LEN(TRIM(D264))&gt;0</formula>
    </cfRule>
    <cfRule type="containsBlanks" dxfId="1770" priority="263">
      <formula>LEN(TRIM(D264))=0</formula>
    </cfRule>
  </conditionalFormatting>
  <conditionalFormatting sqref="D265:D273">
    <cfRule type="expression" dxfId="1769" priority="676" stopIfTrue="1">
      <formula>wld_cl01_vds_profile_chosen="Default"</formula>
    </cfRule>
  </conditionalFormatting>
  <conditionalFormatting sqref="D268:D271">
    <cfRule type="expression" dxfId="1768" priority="51">
      <formula>wld_cl01_vds02_link_type_chosen="VDS Uplinks"</formula>
    </cfRule>
  </conditionalFormatting>
  <conditionalFormatting sqref="D276:D284">
    <cfRule type="expression" dxfId="1767" priority="669">
      <formula>wld_cl01_vds_profile_chosen="NSX Traffic Separation"</formula>
    </cfRule>
    <cfRule type="expression" dxfId="1766" priority="672">
      <formula>wld_cl01_vds_profile_chosen="Storage Traffic Separation"</formula>
    </cfRule>
    <cfRule type="expression" dxfId="1765" priority="673">
      <formula>wld_cl01_vds_profile_chosen="Default"</formula>
    </cfRule>
  </conditionalFormatting>
  <conditionalFormatting sqref="D276:D285">
    <cfRule type="expression" dxfId="1764" priority="221">
      <formula>wld_cl01_vds_profile_chosen="vSAN Max Storage Traffic Separation"</formula>
    </cfRule>
    <cfRule type="expression" dxfId="1763" priority="668">
      <formula>wld_cl01_vds_profile_chosen="Custom Switch Configuration"</formula>
    </cfRule>
  </conditionalFormatting>
  <conditionalFormatting sqref="D279:D282">
    <cfRule type="expression" dxfId="1762" priority="50">
      <formula>wld_cl01_vds03_link_type_chosen="VDS Uplinks"</formula>
    </cfRule>
  </conditionalFormatting>
  <conditionalFormatting sqref="D285 D274">
    <cfRule type="expression" dxfId="1761" priority="1170">
      <formula>wld_cl01_vds_profile_chosen="Default"</formula>
    </cfRule>
  </conditionalFormatting>
  <conditionalFormatting sqref="D285 D312:D315 D319:D320 D331:D332 D334:D336 D214:D223">
    <cfRule type="expression" dxfId="1760" priority="718" stopIfTrue="1">
      <formula>wld_domain_result="Excluded"</formula>
    </cfRule>
  </conditionalFormatting>
  <conditionalFormatting sqref="D285">
    <cfRule type="expression" dxfId="1759" priority="1202">
      <formula xml:space="preserve"> wld_cl01_vds_profile_chosen ="NSX Traffic Separation"</formula>
    </cfRule>
    <cfRule type="expression" dxfId="1758" priority="1220">
      <formula xml:space="preserve"> wld_cl01_vds_profile_chosen ="Storage Traffic Separation"</formula>
    </cfRule>
  </conditionalFormatting>
  <conditionalFormatting sqref="D287:D290">
    <cfRule type="expression" dxfId="1757" priority="274" stopIfTrue="1">
      <formula>wld_domain_result="Excluded"</formula>
    </cfRule>
    <cfRule type="containsBlanks" dxfId="1756" priority="283">
      <formula>LEN(TRIM(D287))=0</formula>
    </cfRule>
    <cfRule type="notContainsBlanks" dxfId="1754" priority="685">
      <formula>LEN(TRIM(D287))&gt;0</formula>
    </cfRule>
  </conditionalFormatting>
  <conditionalFormatting sqref="D288:D290 D293:D295 D298:D300">
    <cfRule type="expression" dxfId="1753" priority="45">
      <formula>wld_cl01_vds01_link_type_chosen="VDS Lag"</formula>
    </cfRule>
  </conditionalFormatting>
  <conditionalFormatting sqref="D292">
    <cfRule type="containsBlanks" dxfId="1751" priority="305">
      <formula>LEN(TRIM(D292))=0</formula>
    </cfRule>
    <cfRule type="notContainsBlanks" dxfId="1750" priority="308">
      <formula>LEN(TRIM(D292))&gt;0</formula>
    </cfRule>
  </conditionalFormatting>
  <conditionalFormatting sqref="D297">
    <cfRule type="expression" dxfId="1749" priority="273">
      <formula>wld_cl01_vds_profile_chosen="custom"</formula>
    </cfRule>
  </conditionalFormatting>
  <conditionalFormatting sqref="D297:D300">
    <cfRule type="expression" dxfId="1748" priority="272" stopIfTrue="1">
      <formula>wld_domain_result="Excluded"</formula>
    </cfRule>
    <cfRule type="containsBlanks" dxfId="1747" priority="280">
      <formula>LEN(TRIM(D297))=0</formula>
    </cfRule>
    <cfRule type="notContainsBlanks" dxfId="1745" priority="282">
      <formula>LEN(TRIM(D297))&gt;0</formula>
    </cfRule>
  </conditionalFormatting>
  <conditionalFormatting sqref="D302">
    <cfRule type="expression" dxfId="1744" priority="270">
      <formula>wld_cl01_vds_profile_chosen="custom"</formula>
    </cfRule>
  </conditionalFormatting>
  <conditionalFormatting sqref="D302:D305 D307:D310">
    <cfRule type="expression" dxfId="1743" priority="269" stopIfTrue="1">
      <formula>wld_domain_result="Excluded"</formula>
    </cfRule>
    <cfRule type="containsBlanks" dxfId="1742" priority="277">
      <formula>LEN(TRIM(D302))=0</formula>
    </cfRule>
    <cfRule type="notContainsBlanks" dxfId="1740" priority="279">
      <formula>LEN(TRIM(D302))&gt;0</formula>
    </cfRule>
  </conditionalFormatting>
  <conditionalFormatting sqref="D303:D305">
    <cfRule type="expression" dxfId="1739" priority="46">
      <formula>AND((wld_cl01_vds_profile_chosen="Default"),(wld_cl01_vds01_link_type_chosen="VDS Lag"))</formula>
    </cfRule>
    <cfRule type="expression" dxfId="1738" priority="47">
      <formula>AND((wld_cl01_vds_profile_chosen="NSX Traffic Separation"),(wld_cl01_vds01_link_type_chosen="VDS Lag"))</formula>
    </cfRule>
    <cfRule type="expression" dxfId="1737" priority="48">
      <formula>AND((wld_cl01_vds_profile_chosen="Storage Traffic and NSX Traffic Separation"),(wld_cl01_vds02_link_type_chosen="VDS Lag"))</formula>
    </cfRule>
    <cfRule type="expression" dxfId="1736" priority="49">
      <formula>AND((wld_cl01_vds_profile_chosen="Storage Traffic Separation"),(wld_cl01_vds02_link_type_chosen="VDS Lag"))</formula>
    </cfRule>
  </conditionalFormatting>
  <conditionalFormatting sqref="D307">
    <cfRule type="expression" dxfId="1735" priority="220">
      <formula>wld_cl01_vds_profile_chosen="custom"</formula>
    </cfRule>
  </conditionalFormatting>
  <conditionalFormatting sqref="D307:D310">
    <cfRule type="expression" dxfId="1734" priority="86">
      <formula>OR((wld_domain_result="Excluded"),(wld_secondary_storage_result="Excluded"))</formula>
    </cfRule>
  </conditionalFormatting>
  <conditionalFormatting sqref="D313:D315">
    <cfRule type="expression" dxfId="1733" priority="474">
      <formula>wld_nsx_default_operation_mode_chosen="Selected"</formula>
    </cfRule>
  </conditionalFormatting>
  <conditionalFormatting sqref="D317">
    <cfRule type="expression" dxfId="1732" priority="264">
      <formula>wld_domain_result="Excluded"</formula>
    </cfRule>
  </conditionalFormatting>
  <conditionalFormatting sqref="D317:D326">
    <cfRule type="expression" dxfId="1731" priority="57">
      <formula>wld_nsx_overlay_transport_zone_chosen="Unselected"</formula>
    </cfRule>
  </conditionalFormatting>
  <conditionalFormatting sqref="D317:D327 D312:D315 B396 B398:B401 B403:B404 B406:B421 D406:D421">
    <cfRule type="expression" dxfId="1730" priority="217">
      <formula>wld_domain_result="Excluded"</formula>
    </cfRule>
  </conditionalFormatting>
  <conditionalFormatting sqref="D319">
    <cfRule type="expression" dxfId="1729" priority="55">
      <formula>wld_cl01_vds_copy_profile_chosen="Unselected"</formula>
    </cfRule>
  </conditionalFormatting>
  <conditionalFormatting sqref="D320">
    <cfRule type="expression" dxfId="1728" priority="238" stopIfTrue="1">
      <formula>wld_domain_result="Excluded"</formula>
    </cfRule>
  </conditionalFormatting>
  <conditionalFormatting sqref="D320:D327 D329:D336 D312 D317 D255:D262 D266:D267 D272:D273 D277:D278 D283:D284 D293:D295 D288:D290 D298:D300 D303:D305 D308:D310">
    <cfRule type="expression" dxfId="1727" priority="265">
      <formula>wld_cl01_vds_copy_profile_chosen="Unselected"</formula>
    </cfRule>
  </conditionalFormatting>
  <conditionalFormatting sqref="D320:D327 D329:D336">
    <cfRule type="expression" dxfId="1726" priority="473">
      <formula>wld_host_overlay_addressing_chosen="DHCP"</formula>
    </cfRule>
  </conditionalFormatting>
  <conditionalFormatting sqref="D322:D327 D329:D336">
    <cfRule type="expression" dxfId="1725" priority="219">
      <formula>input_wld_az1_host_overlay_new_pool_chosen="Re-use an existing Pool"</formula>
    </cfRule>
  </conditionalFormatting>
  <conditionalFormatting sqref="D324:D325">
    <cfRule type="expression" dxfId="1724" priority="607">
      <formula>wld_domain_result="Excluded"</formula>
    </cfRule>
  </conditionalFormatting>
  <conditionalFormatting sqref="D327">
    <cfRule type="expression" dxfId="1723" priority="58">
      <formula>wld_nsx_vlan_transport_zone_chosen="Unselected"</formula>
    </cfRule>
  </conditionalFormatting>
  <conditionalFormatting sqref="D334:D336">
    <cfRule type="expression" dxfId="1722" priority="40">
      <formula>AND((wld_cl01_vds_profile_chosen="Default"),(wld_cl01_vds01_link_type_chosen="VDS Lag"))</formula>
    </cfRule>
    <cfRule type="expression" dxfId="1721" priority="41">
      <formula>AND((wld_cl01_vds_profile_chosen="NSX Traffic Separation"),(wld_cl01_vds02_link_type_chosen="VDS Lag"))</formula>
    </cfRule>
    <cfRule type="expression" dxfId="1720" priority="42">
      <formula>AND((wld_cl01_vds_profile_chosen="Storage Traffic and NSX Traffic Separation"),(wld_cl01_vds03_link_type_chosen="VDS Lag"))</formula>
    </cfRule>
    <cfRule type="expression" dxfId="1719" priority="43">
      <formula>AND((wld_cl01_vds_profile_chosen="Storage Traffic Separation"),(wld_cl01_vds01_link_type_chosen="VDS Lag"))</formula>
    </cfRule>
  </conditionalFormatting>
  <conditionalFormatting sqref="D336">
    <cfRule type="expression" dxfId="1718" priority="230" stopIfTrue="1">
      <formula>wld_domain_result="Excluded"</formula>
    </cfRule>
  </conditionalFormatting>
  <conditionalFormatting sqref="D341:D347">
    <cfRule type="expression" dxfId="1717" priority="644">
      <formula>wld_domain_result="Excluded"</formula>
    </cfRule>
  </conditionalFormatting>
  <conditionalFormatting sqref="D348">
    <cfRule type="expression" dxfId="1716" priority="303">
      <formula>mgmt_domain_existing_vcenter_chosen="Selected"</formula>
    </cfRule>
  </conditionalFormatting>
  <conditionalFormatting sqref="D359:D360 D362:D363">
    <cfRule type="expression" dxfId="1715" priority="476">
      <formula>wld_domain_password_creation_chosen="Selected"</formula>
    </cfRule>
  </conditionalFormatting>
  <conditionalFormatting sqref="D372 D374">
    <cfRule type="containsBlanks" dxfId="1714" priority="78">
      <formula>LEN(TRIM(D372))=0</formula>
    </cfRule>
    <cfRule type="notContainsBlanks" dxfId="1712" priority="80">
      <formula>LEN(TRIM(D372))&gt;0</formula>
    </cfRule>
  </conditionalFormatting>
  <conditionalFormatting sqref="D373">
    <cfRule type="expression" dxfId="1711" priority="66">
      <formula>mgmt_domain_deployment_type_chosen="VMware vSphere Foundation"</formula>
    </cfRule>
    <cfRule type="containsBlanks" dxfId="1709" priority="71">
      <formula>LEN(TRIM(D373))=0</formula>
    </cfRule>
    <cfRule type="notContainsBlanks" dxfId="1708" priority="72">
      <formula>LEN(TRIM(D373))&gt;0</formula>
    </cfRule>
  </conditionalFormatting>
  <conditionalFormatting sqref="D381">
    <cfRule type="expression" dxfId="1707" priority="549">
      <formula>input_mgmt_principal_storage_chosen="VMFS on Fibre Channel (FC)"</formula>
    </cfRule>
    <cfRule type="expression" dxfId="1706" priority="550">
      <formula>mgmt_domain_existing_vcenter_chosen="Selected"</formula>
    </cfRule>
    <cfRule type="containsBlanks" dxfId="1704" priority="552">
      <formula>LEN(TRIM(D381))=0</formula>
    </cfRule>
  </conditionalFormatting>
  <conditionalFormatting sqref="D387 D367">
    <cfRule type="expression" dxfId="1703" priority="579">
      <formula>mgmt_domain_existing_vcenter_chosen="Selected"</formula>
    </cfRule>
  </conditionalFormatting>
  <conditionalFormatting sqref="D387 D381">
    <cfRule type="notContainsBlanks" dxfId="1702" priority="581">
      <formula>LEN(TRIM(D381))&gt;0</formula>
    </cfRule>
  </conditionalFormatting>
  <conditionalFormatting sqref="D387">
    <cfRule type="expression" dxfId="1701" priority="578">
      <formula>input_mgmt_principal_storage_chosen="VMFS on Fibre Channel (FC)"</formula>
    </cfRule>
    <cfRule type="containsBlanks" dxfId="1699" priority="582">
      <formula>LEN(TRIM(D387))=0</formula>
    </cfRule>
  </conditionalFormatting>
  <conditionalFormatting sqref="D406:D421">
    <cfRule type="containsBlanks" dxfId="1698" priority="299">
      <formula>LEN(TRIM(D406))=0</formula>
    </cfRule>
    <cfRule type="notContainsBlanks" dxfId="1696" priority="301">
      <formula>LEN(TRIM(D406))&gt;0</formula>
    </cfRule>
  </conditionalFormatting>
  <conditionalFormatting sqref="D10:E10">
    <cfRule type="expression" dxfId="1695" priority="218">
      <formula>AND((wld_domain_chosen&lt;&gt;"Exclude"),(wld_domain_result="Excluded"))</formula>
    </cfRule>
  </conditionalFormatting>
  <conditionalFormatting sqref="D11:E11 B11">
    <cfRule type="expression" dxfId="1694" priority="87">
      <formula>$E$11="Cause: Minimum number of hosts for storage type not selected"</formula>
    </cfRule>
  </conditionalFormatting>
  <conditionalFormatting sqref="D11:E11">
    <cfRule type="expression" dxfId="1693" priority="54">
      <formula>$E$11="Cause Number of Racks not selected"</formula>
    </cfRule>
  </conditionalFormatting>
  <conditionalFormatting sqref="E11">
    <cfRule type="expression" dxfId="1690" priority="210">
      <formula>vcf_version_result="Excluded"</formula>
    </cfRule>
  </conditionalFormatting>
  <conditionalFormatting sqref="E15">
    <cfRule type="expression" dxfId="1689" priority="96">
      <formula>AND((cluster_secondary_storage_chosen&lt;&gt;"Exclude"),(cluster_secondary_storage_result="Excluded"))</formula>
    </cfRule>
  </conditionalFormatting>
  <conditionalFormatting sqref="E131:E146">
    <cfRule type="expression" dxfId="1687" priority="1234">
      <formula>OR((wld_vlcm_model_result="Excluded"),(wld_vlcm_model_chosen="Baselines"))</formula>
    </cfRule>
  </conditionalFormatting>
  <dataValidations count="33">
    <dataValidation type="list" allowBlank="1" showInputMessage="1" showErrorMessage="1" sqref="B13 B17:B18" xr:uid="{C69FA742-5038-9D45-BD6D-BB0D8DB6294F}">
      <formula1>"Include,Exclude"</formula1>
    </dataValidation>
    <dataValidation type="list" allowBlank="1" showInputMessage="1" showErrorMessage="1" sqref="B14" xr:uid="{D6D56BCB-BAC8-144A-BD1D-A17A62BB989D}">
      <formula1>table_vcf_version5x_wld_storage_type</formula1>
    </dataValidation>
    <dataValidation type="list" allowBlank="1" showInputMessage="1" showErrorMessage="1" sqref="D319" xr:uid="{EF3D963A-7663-544F-9EB3-8674082828F8}">
      <formula1>"DHCP,Static IP Pool"</formula1>
    </dataValidation>
    <dataValidation type="list" allowBlank="1" showInputMessage="1" showErrorMessage="1" sqref="D214" xr:uid="{50D86D43-8A2F-1C4D-AA6C-86B248D68CD8}">
      <formula1>storage_ftt</formula1>
    </dataValidation>
    <dataValidation type="list" allowBlank="1" showInputMessage="1" showErrorMessage="1" sqref="D45:D47 D215 D312 D249 D335:D336 D343 D219 D33 D357" xr:uid="{DB1D3E94-76BC-7344-8465-8A08CA5B4D29}">
      <formula1>"Selected,Unselected"</formula1>
    </dataValidation>
    <dataValidation type="list" allowBlank="1" showInputMessage="1" showErrorMessage="1" sqref="D248" xr:uid="{24B50E16-71D5-D841-B7DF-D531900D7528}">
      <formula1>IF(wld_secondary_storage_chosen="vSAN Storage Client Network",wld_cl01_vds_vsanmax_preconfigured_profiles,wld_cl01_vds_standard_preconfigured_profiles)</formula1>
    </dataValidation>
    <dataValidation type="list" allowBlank="1" showInputMessage="1" showErrorMessage="1" sqref="D186" xr:uid="{7DC9F679-6AD0-7540-9D33-1A7F10D7D460}">
      <formula1>"Simple,High-Availability"</formula1>
    </dataValidation>
    <dataValidation type="list" allowBlank="1" showInputMessage="1" showErrorMessage="1" sqref="D187 D40" xr:uid="{39CFA6FA-D26E-3940-84FC-1698E5665786}">
      <formula1>"Medium,Large,Extra Large"</formula1>
    </dataValidation>
    <dataValidation type="list" allowBlank="1" showInputMessage="1" showErrorMessage="1" sqref="D196" xr:uid="{58E0498D-D09F-EA41-9794-C509CC262887}">
      <formula1>"Centralized Connectivity,Distributed Connectivity"</formula1>
    </dataValidation>
    <dataValidation type="list" allowBlank="1" showInputMessage="1" showErrorMessage="1" sqref="D313" xr:uid="{BE00C3CF-0EC7-3747-924D-1005FFC1B4A5}">
      <formula1>"Standard,Enhanced Datapath Standard,Enhanced Datapath Dedicated"</formula1>
    </dataValidation>
    <dataValidation type="list" allowBlank="1" showInputMessage="1" showErrorMessage="1" sqref="D334" xr:uid="{F83EFE87-B6BC-5B43-B9E6-363D1FF8D82A}">
      <formula1>"Load Balance Source,Failover Order,Load Balance Source MAC Address"</formula1>
    </dataValidation>
    <dataValidation type="list" allowBlank="1" showInputMessage="1" showErrorMessage="1" sqref="D288 D293 D298 D303 D308" xr:uid="{B083993B-9EF9-E041-9BEC-A73EFC409C62}">
      <formula1>"Route based on IP hash,Route based on source MAC hash,Route based on the source of the port ID,Use explicit failover order,Route Based on Physical NIC Load"</formula1>
    </dataValidation>
    <dataValidation type="list" allowBlank="1" showInputMessage="1" showErrorMessage="1" sqref="D289:D290 D294:D295 D299:D300 D304:D305 D309:D310" xr:uid="{BB7A99B6-B8E2-294A-94C3-B85D84BE5402}">
      <formula1>"Active,Standby,Unused"</formula1>
    </dataValidation>
    <dataValidation type="list" allowBlank="1" showInputMessage="1" showErrorMessage="1" sqref="B10" xr:uid="{C3E82A3E-227D-7645-9A07-82062784062D}">
      <formula1>"Deploy Workload Domain with a Single-Rack / Multi-Rack Layer 2 Cluster,Deploy Workload Domain with a Multi-Rack Layer 3 Cluster,Import Workload Domain,Deploy infrastructure only, Exclude"</formula1>
    </dataValidation>
    <dataValidation type="list" allowBlank="1" showInputMessage="1" showErrorMessage="1" sqref="D28" xr:uid="{9C10E4F4-6566-F347-A2D8-6EADC5ED1E01}">
      <formula1>"Select an existing standalone vCenter from the inventory,Specify an external vCenter"</formula1>
    </dataValidation>
    <dataValidation type="list" allowBlank="1" showInputMessage="1" showErrorMessage="1" sqref="D39" xr:uid="{87F64821-FCB3-264E-8521-0E2C18CD4E09}">
      <formula1>"Single NSX Manager Appliance,NSX Management Cluster"</formula1>
    </dataValidation>
    <dataValidation type="list" allowBlank="1" showInputMessage="1" showErrorMessage="1" sqref="D38" xr:uid="{5FB74951-652E-0540-95C0-4DD86575C66A}">
      <formula1>"Create new NSX Manager Instance,Join existing NSX Manager Instance"</formula1>
    </dataValidation>
    <dataValidation type="list" allowBlank="1" showInputMessage="1" showErrorMessage="1" sqref="B16" xr:uid="{4DCCB31F-5D38-DB4E-93F7-B7F9C5DC73D3}">
      <formula1>" Exclude,Secondary NFS Storage Network,vSAN Storage Client Network"</formula1>
    </dataValidation>
    <dataValidation type="list" allowBlank="1" showInputMessage="1" showErrorMessage="1" sqref="D320" xr:uid="{8B83AFD7-FD78-344E-9866-017561F5F3B5}">
      <formula1>"Re-use an existing Pool,Create New Static IP Pool"</formula1>
    </dataValidation>
    <dataValidation type="list" allowBlank="1" showInputMessage="1" showErrorMessage="1" sqref="B11" xr:uid="{58537510-C98B-154F-AF78-F31218AD69E8}">
      <formula1>"Exclude,1,2,3,4,5,6,7,8,9,10,11,12,13,14,15,16"</formula1>
    </dataValidation>
    <dataValidation type="list" allowBlank="1" showInputMessage="1" showErrorMessage="1" sqref="B12" xr:uid="{C5C624E1-83A7-974B-A650-2D93B34AFB89}">
      <formula1>"Exclude,3,4,5,6,7"</formula1>
    </dataValidation>
    <dataValidation type="list" allowBlank="1" showInputMessage="1" showErrorMessage="1" sqref="B15" xr:uid="{BF978FB1-2794-EC4D-992C-119DEA877D33}">
      <formula1>"Re-use an existing VCF Network Pool,Create a new VCF Network Pool"</formula1>
    </dataValidation>
    <dataValidation type="list" allowBlank="1" showInputMessage="1" showErrorMessage="1" sqref="D314:D315" xr:uid="{836A9167-0E1E-474B-AD1E-7DEFBAD967B6}">
      <formula1>"Selected, Unselected"</formula1>
    </dataValidation>
    <dataValidation type="list" allowBlank="1" showInputMessage="1" showErrorMessage="1" sqref="D256 D267 D278" xr:uid="{3BD18319-FA0D-AE40-8167-7F1880082CD2}">
      <formula1>"VDS Uplinks, VDS LAG"</formula1>
    </dataValidation>
    <dataValidation type="list" allowBlank="1" showInputMessage="1" showErrorMessage="1" sqref="D259 D270 D281" xr:uid="{12A1A6EA-2AB4-2E49-A69A-2230A1640E6A}">
      <formula1>lag_load_balancing</formula1>
    </dataValidation>
    <dataValidation type="list" allowBlank="1" showInputMessage="1" showErrorMessage="1" sqref="D258 D269 D280" xr:uid="{C087399E-F9C0-604F-BD5E-2F7DC58E9CD7}">
      <formula1>"Active,Passive"</formula1>
    </dataValidation>
    <dataValidation type="list" allowBlank="1" showInputMessage="1" showErrorMessage="1" sqref="D260 D271 D282" xr:uid="{4AB0891C-451C-E744-9F77-65F0EB53197F}">
      <formula1>"Slow,Fast"</formula1>
    </dataValidation>
    <dataValidation type="list" allowBlank="1" showInputMessage="1" showErrorMessage="1" sqref="D117 D106 D95 D84" xr:uid="{4DE1EA48-843F-1E42-802A-E1A4515086B1}">
      <formula1>"IPv4,IPv6"</formula1>
    </dataValidation>
    <dataValidation type="list" allowBlank="1" showInputMessage="1" showErrorMessage="1" sqref="D98 D109 D87 D120" xr:uid="{43DBBD9E-7B96-B242-ABF6-9C66EAC076ED}">
      <formula1>"Static,DHCP,SLAAC"</formula1>
    </dataValidation>
    <dataValidation type="list" allowBlank="1" showInputMessage="1" showErrorMessage="1" sqref="D183" xr:uid="{4AF1C979-86D2-FF46-9618-F3454D1BEADD}">
      <formula1>" Create new NSX Manager instance,Join existing NSX Manager instance"</formula1>
    </dataValidation>
    <dataValidation type="list" allowBlank="1" showInputMessage="1" showErrorMessage="1" sqref="D216" xr:uid="{A42E2DB1-8F4E-4944-A058-86C2D23BA24E}">
      <formula1>"Default,Custom"</formula1>
    </dataValidation>
    <dataValidation type="list" allowBlank="1" showInputMessage="1" showErrorMessage="1" sqref="D217" xr:uid="{7FB463A2-1334-4E4A-9CAF-5A7FB9E7B437}">
      <formula1>"6 Hours,12 hours,1 Day,3 Days,7 Days"</formula1>
    </dataValidation>
    <dataValidation type="list" allowBlank="1" showInputMessage="1" showErrorMessage="1" sqref="D162" xr:uid="{557DCF3A-9617-954A-BF6B-AFF4A6A52715}">
      <formula1>"Exclude,Include"</formula1>
    </dataValidation>
  </dataValidations>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containsText" priority="298" operator="containsText" id="{8E458A64-F139-2148-B9AC-6801F1148CAB}">
            <xm:f>NOT(ISERROR(SEARCH("Value Missing",B396)))</xm:f>
            <xm:f>"Value Missing"</xm:f>
            <x14:dxf>
              <font>
                <color theme="1"/>
              </font>
              <fill>
                <patternFill>
                  <bgColor rgb="FFFFBD29"/>
                </patternFill>
              </fill>
            </x14:dxf>
          </x14:cfRule>
          <xm:sqref>B396 B398:B401 B403:B404 B406:B421</xm:sqref>
        </x14:conditionalFormatting>
        <x14:conditionalFormatting xmlns:xm="http://schemas.microsoft.com/office/excel/2006/main">
          <x14:cfRule type="containsText" priority="1409" operator="containsText" id="{E1A0FA54-7B60-F140-9638-1278718DE86D}">
            <xm:f>NOT(ISERROR(SEARCH("Value Missing",D23)))</xm:f>
            <xm:f>"Value Missing"</xm:f>
            <x14:dxf>
              <fill>
                <patternFill>
                  <bgColor rgb="FFFFBE29"/>
                </patternFill>
              </fill>
            </x14:dxf>
          </x14:cfRule>
          <xm:sqref>D23 D28:D33 D38:D50 D58:D60 D62:D77 D82 D84:D93 D95:D104 D106:D115 D131:D152 D159:D162 D167:D168 D173:D174 D178 D186:D200 D205:D206 D211:D223 D228:D243 D248:D249 D254:D285 D293:D295 D312:D315 D317:D327 D329:D336 D341:D347 D349:D353 D357 D359:D360 D362:D363 D368:D370 D374 D376:D380 D382:D386 D388:D393 D396 D398:D401 D403:D404</xm:sqref>
        </x14:conditionalFormatting>
        <x14:conditionalFormatting xmlns:xm="http://schemas.microsoft.com/office/excel/2006/main">
          <x14:cfRule type="containsText" priority="502" stopIfTrue="1" operator="containsText" id="{40434B6A-0257-0E46-B224-9CF37A75A142}">
            <xm:f>NOT(ISERROR(SEARCH("Value Missing",D94)))</xm:f>
            <xm:f>"Value Missing"</xm:f>
            <x14:dxf>
              <font>
                <color rgb="FF0E223A"/>
              </font>
              <fill>
                <patternFill>
                  <bgColor rgb="FFFFBE29"/>
                </patternFill>
              </fill>
            </x14:dxf>
          </x14:cfRule>
          <xm:sqref>D94 D98</xm:sqref>
        </x14:conditionalFormatting>
        <x14:conditionalFormatting xmlns:xm="http://schemas.microsoft.com/office/excel/2006/main">
          <x14:cfRule type="containsText" priority="286" operator="containsText" id="{9416E50C-0FE8-164F-8DE0-A04DDD0F3DCE}">
            <xm:f>NOT(ISERROR(SEARCH("Value Missing",D117)))</xm:f>
            <xm:f>"Value Missing"</xm:f>
            <x14:dxf>
              <font>
                <color theme="1"/>
              </font>
              <fill>
                <patternFill>
                  <bgColor rgb="FFFFBE29"/>
                </patternFill>
              </fill>
            </x14:dxf>
          </x14:cfRule>
          <xm:sqref>D117:D126</xm:sqref>
        </x14:conditionalFormatting>
        <x14:conditionalFormatting xmlns:xm="http://schemas.microsoft.com/office/excel/2006/main">
          <x14:cfRule type="containsText" priority="38" operator="containsText" id="{9C5BB011-4657-E741-92D3-DFA038F34CA7}">
            <xm:f>NOT(ISERROR(SEARCH("Value Missing",D183)))</xm:f>
            <xm:f>"Value Missing"</xm:f>
            <x14:dxf>
              <fill>
                <patternFill>
                  <bgColor rgb="FFFFBE29"/>
                </patternFill>
              </fill>
            </x14:dxf>
          </x14:cfRule>
          <xm:sqref>D183</xm:sqref>
        </x14:conditionalFormatting>
        <x14:conditionalFormatting xmlns:xm="http://schemas.microsoft.com/office/excel/2006/main">
          <x14:cfRule type="expression" priority="1226" stopIfTrue="1" id="{2AEFE8D6-BC38-944A-9C22-A50A87DBBA80}">
            <xm:f>IF(AND(wld_principal_storage_chosen&lt;&gt;"vSAN-OSA"),('Configure Workload Domain'!D$132&lt;&gt;"Included"))</xm:f>
            <x14:dxf>
              <font>
                <color rgb="FF4F5F69"/>
              </font>
              <fill>
                <patternFill>
                  <bgColor rgb="FF4F5F69"/>
                </patternFill>
              </fill>
            </x14:dxf>
          </x14:cfRule>
          <xm:sqref>D214</xm:sqref>
        </x14:conditionalFormatting>
        <x14:conditionalFormatting xmlns:xm="http://schemas.microsoft.com/office/excel/2006/main">
          <x14:cfRule type="containsText" priority="285" operator="containsText" id="{35D48073-BC1D-5F4B-9122-E2D774E9C5F2}">
            <xm:f>NOT(ISERROR(SEARCH("Value Missing",D287)))</xm:f>
            <xm:f>"Value Missing"</xm:f>
            <x14:dxf>
              <fill>
                <patternFill>
                  <bgColor rgb="FFFFBE29"/>
                </patternFill>
              </fill>
            </x14:dxf>
          </x14:cfRule>
          <xm:sqref>D287:D290</xm:sqref>
        </x14:conditionalFormatting>
        <x14:conditionalFormatting xmlns:xm="http://schemas.microsoft.com/office/excel/2006/main">
          <x14:cfRule type="containsText" priority="287" operator="containsText" id="{BA044D7F-9E71-9240-BF31-C51D76291FCF}">
            <xm:f>NOT(ISERROR(SEARCH("Value Missing",D292)))</xm:f>
            <xm:f>"Value Missing"</xm:f>
            <x14:dxf>
              <font>
                <color theme="1"/>
              </font>
              <fill>
                <patternFill>
                  <bgColor rgb="FFFFBE29"/>
                </patternFill>
              </fill>
            </x14:dxf>
          </x14:cfRule>
          <xm:sqref>D292</xm:sqref>
        </x14:conditionalFormatting>
        <x14:conditionalFormatting xmlns:xm="http://schemas.microsoft.com/office/excel/2006/main">
          <x14:cfRule type="containsText" priority="281" operator="containsText" id="{A00CB58A-0D87-E848-9778-9AB37B5B2B62}">
            <xm:f>NOT(ISERROR(SEARCH("Value Missing",D297)))</xm:f>
            <xm:f>"Value Missing"</xm:f>
            <x14:dxf>
              <fill>
                <patternFill>
                  <bgColor rgb="FFFFBE29"/>
                </patternFill>
              </fill>
            </x14:dxf>
          </x14:cfRule>
          <xm:sqref>D297:D300</xm:sqref>
        </x14:conditionalFormatting>
        <x14:conditionalFormatting xmlns:xm="http://schemas.microsoft.com/office/excel/2006/main">
          <x14:cfRule type="containsText" priority="278" operator="containsText" id="{6FFD0C25-8BE2-5347-9C99-40B2ED3B1F3C}">
            <xm:f>NOT(ISERROR(SEARCH("Value Missing",D302)))</xm:f>
            <xm:f>"Value Missing"</xm:f>
            <x14:dxf>
              <fill>
                <patternFill>
                  <bgColor rgb="FFFFBE29"/>
                </patternFill>
              </fill>
            </x14:dxf>
          </x14:cfRule>
          <xm:sqref>D302:D305 D307:D310</xm:sqref>
        </x14:conditionalFormatting>
        <x14:conditionalFormatting xmlns:xm="http://schemas.microsoft.com/office/excel/2006/main">
          <x14:cfRule type="containsText" priority="79" operator="containsText" id="{79E1736D-9BD8-F749-92AA-E3FB2D10062E}">
            <xm:f>NOT(ISERROR(SEARCH("Value Missing",D372)))</xm:f>
            <xm:f>"Value Missing"</xm:f>
            <x14:dxf>
              <font>
                <color theme="1"/>
              </font>
              <fill>
                <patternFill>
                  <bgColor rgb="FFFFBE29"/>
                </patternFill>
              </fill>
            </x14:dxf>
          </x14:cfRule>
          <xm:sqref>D372 D374</xm:sqref>
        </x14:conditionalFormatting>
        <x14:conditionalFormatting xmlns:xm="http://schemas.microsoft.com/office/excel/2006/main">
          <x14:cfRule type="containsText" priority="70" operator="containsText" id="{0D9B1FEE-ADF1-274D-9B0B-A60A5D72D714}">
            <xm:f>NOT(ISERROR(SEARCH("Value Missing",D373)))</xm:f>
            <xm:f>"Value Missing"</xm:f>
            <x14:dxf>
              <font>
                <color theme="1"/>
              </font>
              <fill>
                <patternFill>
                  <bgColor rgb="FFFFBE29"/>
                </patternFill>
              </fill>
            </x14:dxf>
          </x14:cfRule>
          <xm:sqref>D373</xm:sqref>
        </x14:conditionalFormatting>
        <x14:conditionalFormatting xmlns:xm="http://schemas.microsoft.com/office/excel/2006/main">
          <x14:cfRule type="containsText" priority="551" stopIfTrue="1" operator="containsText" id="{90F7590E-4447-E241-8E55-3945C5247009}">
            <xm:f>NOT(ISERROR(SEARCH("Value Missing",D381)))</xm:f>
            <xm:f>"Value Missing"</xm:f>
            <x14:dxf>
              <font>
                <color rgb="FF0E223A"/>
              </font>
              <fill>
                <patternFill>
                  <bgColor rgb="FFFFBE29"/>
                </patternFill>
              </fill>
            </x14:dxf>
          </x14:cfRule>
          <xm:sqref>D381</xm:sqref>
        </x14:conditionalFormatting>
        <x14:conditionalFormatting xmlns:xm="http://schemas.microsoft.com/office/excel/2006/main">
          <x14:cfRule type="containsText" priority="580" stopIfTrue="1" operator="containsText" id="{179192EE-6811-0D4C-A396-53C1717ABC7F}">
            <xm:f>NOT(ISERROR(SEARCH("Value Missing",D387)))</xm:f>
            <xm:f>"Value Missing"</xm:f>
            <x14:dxf>
              <font>
                <color rgb="FF0E223A"/>
              </font>
              <fill>
                <patternFill>
                  <bgColor rgb="FFFFBE29"/>
                </patternFill>
              </fill>
            </x14:dxf>
          </x14:cfRule>
          <xm:sqref>D387</xm:sqref>
        </x14:conditionalFormatting>
        <x14:conditionalFormatting xmlns:xm="http://schemas.microsoft.com/office/excel/2006/main">
          <x14:cfRule type="containsText" priority="300" operator="containsText" id="{5FFCC205-222C-C24B-B5F6-082C59B24C76}">
            <xm:f>NOT(ISERROR(SEARCH("Value Missing",D406)))</xm:f>
            <xm:f>"Value Missing"</xm:f>
            <x14:dxf>
              <fill>
                <patternFill>
                  <bgColor rgb="FFFFBE29"/>
                </patternFill>
              </fill>
            </x14:dxf>
          </x14:cfRule>
          <xm:sqref>D406:D421</xm:sqref>
        </x14:conditionalFormatting>
        <x14:conditionalFormatting xmlns:xm="http://schemas.microsoft.com/office/excel/2006/main">
          <x14:cfRule type="containsText" priority="56" operator="containsText" id="{1B6A5898-BA4E-A044-A1B2-B80EE537A58D}">
            <xm:f>NOT(ISERROR(SEARCH("Create VI Workload Domain or Deploy a new VCF fleet not selected on VCF &amp; VVF Planning Tab",E10)))</xm:f>
            <xm:f>"Create VI Workload Domain or Deploy a new VCF fleet not selected on VCF &amp; VVF Planning Tab"</xm:f>
            <x14:dxf>
              <fill>
                <patternFill>
                  <bgColor rgb="FFFFBE29"/>
                </patternFill>
              </fill>
            </x14:dxf>
          </x14:cfRule>
          <x14:cfRule type="containsText" priority="214" operator="containsText" id="{FEA29B4C-9953-AB4F-9ED7-02567C8A09D3}">
            <xm:f>NOT(ISERROR(SEARCH("Workload Domain will be deployed with a Multi-Rack Layer 3 Cluster - Additional Racks Tab must also be filled out",E10)))</xm:f>
            <xm:f>"Workload Domain will be deployed with a Multi-Rack Layer 3 Cluster - Additional Racks Tab must also be filled out"</xm:f>
            <x14:dxf>
              <font>
                <color theme="1"/>
              </font>
              <fill>
                <patternFill>
                  <bgColor rgb="FFFFBE29"/>
                </patternFill>
              </fill>
            </x14:dxf>
          </x14:cfRule>
          <xm:sqref>E10</xm:sqref>
        </x14:conditionalFormatting>
        <x14:conditionalFormatting xmlns:xm="http://schemas.microsoft.com/office/excel/2006/main">
          <x14:cfRule type="containsText" priority="65" operator="containsText" id="{1B123833-BB07-ED4E-A4CD-979CB605AFA0}">
            <xm:f>NOT(ISERROR(SEARCH("Note only Single Zone vSphere Supervisor with NSX VPC Networking can be deployed during WLD Creation",E18)))</xm:f>
            <xm:f>"Note only Single Zone vSphere Supervisor with NSX VPC Networking can be deployed during WLD Creation"</xm:f>
            <x14:dxf>
              <font>
                <color theme="1"/>
              </font>
              <fill>
                <patternFill>
                  <bgColor rgb="FFFFBE29"/>
                </patternFill>
              </fill>
            </x14:dxf>
          </x14:cfRule>
          <xm:sqref>E18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3677-57D8-E840-B7A4-080BCCBD88FE}">
  <sheetPr codeName="Sheet18">
    <tabColor theme="7" tint="0.59999389629810485"/>
  </sheetPr>
  <dimension ref="A1:J629"/>
  <sheetViews>
    <sheetView showGridLines="0" workbookViewId="0">
      <pane ySplit="8" topLeftCell="A9" activePane="bottomLeft" state="frozen"/>
      <selection pane="bottomLeft"/>
    </sheetView>
  </sheetViews>
  <sheetFormatPr baseColWidth="10" defaultRowHeight="16" x14ac:dyDescent="0.2"/>
  <cols>
    <col min="1" max="1" width="2.83203125" style="9" customWidth="1"/>
    <col min="2" max="4" width="75.83203125" style="2" customWidth="1"/>
    <col min="5" max="5" width="125.83203125" style="9" customWidth="1"/>
    <col min="6" max="8" width="10.83203125" style="9" customWidth="1"/>
    <col min="9" max="16384" width="10.83203125" style="9"/>
  </cols>
  <sheetData>
    <row r="1" spans="1:10" s="2" customFormat="1" ht="16" customHeight="1" x14ac:dyDescent="0.2">
      <c r="A1" s="1"/>
      <c r="F1" s="9"/>
      <c r="G1" s="9"/>
      <c r="H1" s="9"/>
      <c r="I1" s="9"/>
      <c r="J1" s="9"/>
    </row>
    <row r="2" spans="1:10" s="2" customFormat="1" ht="54" customHeight="1" x14ac:dyDescent="0.2">
      <c r="B2" s="602" t="s">
        <v>3995</v>
      </c>
      <c r="C2" s="603"/>
      <c r="D2" s="603"/>
      <c r="E2" s="604"/>
      <c r="F2" s="9"/>
      <c r="G2" s="9"/>
      <c r="H2" s="9"/>
      <c r="I2" s="9"/>
      <c r="J2" s="9"/>
    </row>
    <row r="3" spans="1:10" s="2" customFormat="1" ht="20" customHeight="1" x14ac:dyDescent="0.2">
      <c r="B3" s="605" t="s">
        <v>660</v>
      </c>
      <c r="C3" s="606"/>
      <c r="D3" s="606"/>
      <c r="E3" s="607"/>
      <c r="F3" s="9"/>
      <c r="G3" s="9"/>
      <c r="H3" s="9"/>
      <c r="I3" s="9"/>
      <c r="J3" s="9"/>
    </row>
    <row r="4" spans="1:10" s="2" customFormat="1" ht="17" thickBot="1" x14ac:dyDescent="0.25">
      <c r="B4" s="2" t="s">
        <v>836</v>
      </c>
      <c r="D4" s="11"/>
      <c r="E4" s="3"/>
      <c r="F4" s="3"/>
    </row>
    <row r="5" spans="1:10" ht="20" customHeight="1" thickBot="1" x14ac:dyDescent="0.25">
      <c r="B5" s="203" t="s">
        <v>3</v>
      </c>
      <c r="C5" s="203" t="s">
        <v>837</v>
      </c>
      <c r="D5" s="203" t="s">
        <v>709</v>
      </c>
      <c r="E5" s="203" t="s">
        <v>15</v>
      </c>
    </row>
    <row r="6" spans="1:10" s="25" customFormat="1" ht="10" customHeight="1" thickBot="1" x14ac:dyDescent="0.25">
      <c r="B6" s="204"/>
      <c r="C6" s="204"/>
      <c r="D6" s="204"/>
      <c r="E6" s="204"/>
    </row>
    <row r="7" spans="1:10" ht="20" customHeight="1" thickBot="1" x14ac:dyDescent="0.25">
      <c r="B7" s="203" t="s">
        <v>838</v>
      </c>
      <c r="C7" s="203" t="s">
        <v>4013</v>
      </c>
      <c r="D7" s="150"/>
      <c r="E7" s="150"/>
    </row>
    <row r="9" spans="1:10" ht="34" customHeight="1" x14ac:dyDescent="0.2">
      <c r="B9" s="566" t="s">
        <v>4014</v>
      </c>
      <c r="C9" s="567"/>
      <c r="D9" s="567"/>
      <c r="E9" s="568"/>
    </row>
    <row r="10" spans="1:10" ht="20" customHeight="1" x14ac:dyDescent="0.2">
      <c r="B10" s="63" t="s">
        <v>9</v>
      </c>
      <c r="C10" s="63" t="s">
        <v>10</v>
      </c>
      <c r="D10" s="63" t="s">
        <v>11</v>
      </c>
      <c r="E10" s="63" t="s">
        <v>12</v>
      </c>
    </row>
    <row r="11" spans="1:10" ht="20" customHeight="1" x14ac:dyDescent="0.2">
      <c r="B11" s="116" t="s">
        <v>13</v>
      </c>
      <c r="C11" s="8" t="s">
        <v>3</v>
      </c>
      <c r="D11" s="140" t="str">
        <f>IF(mgmt_domain_deployment_type_chosen="VMware vSphere Foundation","Excluded",
IF(mgmt_signed_certs_result="Excluded","Excluded",
IF(wld_signed_certs_chosen="Exclude","Excluded",IF(wld_domain_result="Included","Included","Excluded"))))</f>
        <v>Excluded</v>
      </c>
      <c r="E11" s="140" t="str">
        <f>IF(mgmt_domain_deployment_type_chosen="VMware vSphere Foundation","Cannot be performed on a VMware vSphere Foundation deployment",
IF(vcf_granular_option_chosen="Create Cluster","Create Workload Domain or Deploy a new VCF fleet not selected on VCF &amp; VVF Planning Tab",
IF(wld_domain_result="Excluded","Cause: Standard Workload Domain Required",
IF(vcf_granular_option_chosen="None Chosen","No Deployment Type Chosen",
IF(wld_signed_certs_chosen="Exclude","Cause: Not Selected. Signed certificates will not be deployed.",
IF(mgmt_signed_certs_result="Excluded","Cause: Management Domain Apply Signed Certificates not included",
IF(mgmt_signed_certs_chosen="Microsoft CA","Microsoft CA based signed certificates will be deployed Note: Ensure Managment Domain Sign Cert are configured ","OpenSSL CA based signed certificates will be deployed Note: Ensure Managment Domain Sign Cert are configured")))))))</f>
        <v>Cause: Standard Workload Domain Required</v>
      </c>
    </row>
    <row r="12" spans="1:10" ht="20" customHeight="1" x14ac:dyDescent="0.2">
      <c r="B12" s="116" t="s">
        <v>13</v>
      </c>
      <c r="C12" s="8" t="s">
        <v>3996</v>
      </c>
      <c r="D12" s="140" t="str">
        <f>IF(mgmt_domain_deployment_type_chosen="VMware vSphere Foundation","Excluded",
IF(wld_bgp_chosen="Exclude","Excluded",IF(wld_domain_result="Included","Included","Excluded")))</f>
        <v>Excluded</v>
      </c>
      <c r="E12" s="140" t="str">
        <f>IF(mgmt_domain_deployment_type_chosen="VMware vSphere Foundation","Cannot be performed on a VMware vSphere Foundation deployment",
IF(vcf_granular_option_chosen="None Chosen","No Deployment Type Chosen",
IF(wld_domain_result="Excluded","Cause: Standard Workload Domain Required",
IF(wld_bgp_chosen="Exclude","Cause: Not Selected. NSX Routing for Workload Domain will not be deployed",
IF(wld_domain_result="Excluded","Cause: Standard Workload Domain Required",
IF(wld_bgp_chosen="Centralized Connectivity","NSX Edge cluster will be created. EBGP will be used Suitable for environments where you need the full-scale of the NSX services.","Suitable for environments where you need a streamlined network configuration with limited NSX networking services"))))))</f>
        <v>Cause: Standard Workload Domain Required</v>
      </c>
    </row>
    <row r="13" spans="1:10" ht="20" customHeight="1" x14ac:dyDescent="0.2">
      <c r="B13" s="153" t="s">
        <v>13</v>
      </c>
      <c r="C13" s="8" t="s">
        <v>709</v>
      </c>
      <c r="D13" s="140" t="str">
        <f>IF(mgmt_domain_deployment_type_chosen="VMware vSphere Foundation","Excluded",
IF(AND((wld_supervisor_chosen&lt;&gt;"Exclude"),(wld_bgp_result="Excluded")),"Excluded",
IF(wld_supervisor_chosen="Exclude","Excluded",IF(wld_domain_result="Included","Included","Excluded"))))</f>
        <v>Excluded</v>
      </c>
      <c r="E13" s="140" t="str">
        <f>IF(wld_domain_result="Excluded","Cause: Standard Workload Domain Required",IF(AND((wld_supervisor_chosen&lt;&gt;"Exclude"),(wld_iaas_chosen="Include")),"Cause: You can choosen to enable vSphere Supervisor during the deployment of the Workload Domain",
IF(AND((wld_supervisor_chosen&lt;&gt;"Exclude"),(wld_bgp_chosen="Exclude")),"Cause: You have not enabled NSX Network Connectivity for Workload Domain","Casue: Not Selected. vSphere Supervisor will not be enabled")))</f>
        <v>Cause: Standard Workload Domain Required</v>
      </c>
    </row>
    <row r="14" spans="1:10" ht="20" customHeight="1" x14ac:dyDescent="0.2">
      <c r="B14" s="153" t="s">
        <v>13</v>
      </c>
      <c r="C14" s="8" t="s">
        <v>4006</v>
      </c>
      <c r="D14" s="140" t="str">
        <f>IF(mgmt_domain_deployment_type_chosen="VMware vSphere Foundation","Excluded",
IF(AND(vcf_granular_option_chosen&lt;&gt;"Deploy a new VCF fleet",vcf_granular_option_chosen&lt;&gt;"Deploy a VCF Instance in an existing VCF fleet",vcf_granular_option_chosen&lt;&gt;"Create Workload Domain",vcf_granular_option_chosen&lt;&gt;"One or More VVDs"),"Excluded",
IF(wld_avi_loadbalancer_chosen="Exclude","Excluded",IF(wld_domain_result="Excluded","Excluded","Included"))))</f>
        <v>Excluded</v>
      </c>
      <c r="E14" s="140" t="str">
        <f>IF(mgmt_domain_deployment_type_chosen="VMware vSphere Foundation","Cannot be performed on a VMware vSphere Foundation deployment",
IF(vcf_granular_option_chosen="Create Cluster","Cause: Standard Workload Domain Required",
IF(wld_domain_result="Excluded","Cause: Standard Workload Domain Required",
IF(vcf_granular_option_chosen="None Chosen","No Deployment Type Chosen",
IF(wld_avi_loadbalancer_chosen="Exclude","Cause: Not Selected. AVI Load Balancer will not be deployed","AVI Load Balancer will be deployed")))))</f>
        <v>Cause: Standard Workload Domain Required</v>
      </c>
    </row>
    <row r="15" spans="1:10" ht="20" customHeight="1" x14ac:dyDescent="0.2">
      <c r="B15" s="116" t="s">
        <v>13</v>
      </c>
      <c r="C15" s="140" t="s">
        <v>15</v>
      </c>
      <c r="D15" s="205" t="str">
        <f>IF(mgmt_domain_deployment_type_chosen="VMware vSphere Foundation","Excluded",
IF(wld_stretched_cluster_chosen="Exclude","Excluded",
IF(AND(wld_stretched_cluster_chosen="Include",AND(wld_principal_storage_chosen&lt;&gt;"vSAN-ESA",wld_principal_storage_chosen&lt;&gt;"vSAN-OSA",wld_principal_storage_chosen&lt;&gt;"vSAN Compute Cluster",wld_principal_storage_chosen&lt;&gt;"vSAN Storage Cluster")),"Excluded",
IF(AND((wld_domain_result="Included"),(wld_multirack_result="Included")),"Excluded",
IF(wld_domain_result="Excluded","Excluded",
IF(wld_iaas_chosen="Include","Excluded","Included"))))))</f>
        <v>Excluded</v>
      </c>
      <c r="E15" s="140" t="str">
        <f>IF(mgmt_domain_deployment_type_chosen="VMware vSphere Foundation","Cannot be performed on a VMware vSphere Foundation deployment",
IF(vcf_granular_option_chosen="None Chosen","No Deployment Type Chosen",
IF(wld_domain_result="Excluded","Cause: Standard Workload Domain Required",
IF(AND(wld_stretched_cluster_chosen="Include",AND(wld_principal_storage_chosen&lt;&gt;"vSAN-ESA",wld_principal_storage_chosen&lt;&gt;"vSAN-OSA",wld_principal_storage_chosen&lt;&gt;"vSAN Compute Cluster",wld_principal_storage_chosen&lt;&gt;"vSAN Storage Cluster")),"Stretched Cluster is only supported with vSAN as Principal Storage, vSAN Compute Clusters and vSAN Storage Clusters",
IF(wld_stretched_cluster_chosen="Exclude","Cause: Not Selected. Stretched Cluster will not be deployed.",
IF(wld_domain_result="Excluded","Cause: Standard Workload Domain Required",
IF(wld_iaas_chosen="Include","Cause: vSphere Supervisor should be enabled after the you completed the stretched cluster configuration",
IF(mgmt_stretched_cluster_chosen="Exclude","Note: Ensure MGMT Workload Domain is stretched ",
IF(AND((wld_domain_result="Included"),(wld_multirack_result&lt;&gt;"Excluded")),"Cause: Stretched Cluster is not supported with Multi Rack Layer 3 Cluster",
IF(wld_bgp_chosen="VLAN-Backed","Note: VLAN-backed routing requires L2 stretched VM Networks. Consider Overlay-backed instead.","Stretched Cluster will be deployed"))))))))))</f>
        <v>Cause: Standard Workload Domain Required</v>
      </c>
    </row>
    <row r="16" spans="1:10" ht="20" customHeight="1" x14ac:dyDescent="0.2">
      <c r="B16" s="116" t="s">
        <v>13</v>
      </c>
      <c r="C16" s="8" t="s">
        <v>838</v>
      </c>
      <c r="D16" s="140" t="str">
        <f>IF(mgmt_domain_deployment_type_chosen="VMware vSphere Foundation","Excluded",
IF(wld_nsxt_federation_chosen="Exclude","Excluded",
IF(AND((wld_nsxt_federation_chosen&lt;&gt;"Exclude"),(wld_multirack_calc="Include")),"Excluded",(IF(AND((wld_bgp_chosen="Centralized Connectivity"),(wld_bgp_result="Included")),"Included","Excluded")))))</f>
        <v>Excluded</v>
      </c>
      <c r="E16" s="140" t="str">
        <f>IF(mgmt_domain_deployment_type_chosen="VMware vSphere Foundation","Cannot be performed on a VMware vSphere Foundation deployment",
IF(vcf_granular_option_chosen="None Chosen","No Deployment Type Chosen",
IF(wld_domain_result="Excluded","Cause: Standard Workload Domain Required",
IF(wld_nsxt_federation_chosen="Exclude","Cause: Not Selected. NSX Federation for Workload Domain will not be deployed.",IF(wld_domain_result="Excluded","Cause: Standard Workload Domain Required",
IF(wld_bgp_chosen&lt;&gt;"Centralized Connectivity","Cause: NSX Centralized Connectivity for Wokrload Domain Required",
IF(AND((wld_nsxt_federation_chosen&lt;&gt;"Exclude"),(wld_multirack_calc="Include")),"Casue: NSX Federation is not supported with Multirack","NSX Federation is will be deployed")))))))</f>
        <v>Cause: Standard Workload Domain Required</v>
      </c>
    </row>
    <row r="17" spans="2:5" ht="16" customHeight="1" x14ac:dyDescent="0.2"/>
    <row r="18" spans="2:5" ht="34" customHeight="1" x14ac:dyDescent="0.2">
      <c r="B18" s="608" t="s">
        <v>3</v>
      </c>
      <c r="C18" s="609"/>
      <c r="D18" s="609"/>
      <c r="E18" s="609"/>
    </row>
    <row r="19" spans="2:5" ht="20" customHeight="1" x14ac:dyDescent="0.2">
      <c r="B19" s="601" t="s">
        <v>839</v>
      </c>
      <c r="C19" s="601"/>
      <c r="D19" s="601"/>
      <c r="E19" s="601"/>
    </row>
    <row r="20" spans="2:5" ht="20" customHeight="1" x14ac:dyDescent="0.2">
      <c r="B20" s="63" t="s">
        <v>18</v>
      </c>
      <c r="C20" s="63" t="s">
        <v>19</v>
      </c>
      <c r="D20" s="63" t="s">
        <v>20</v>
      </c>
      <c r="E20" s="63" t="s">
        <v>21</v>
      </c>
    </row>
    <row r="21" spans="2:5" ht="20" customHeight="1" x14ac:dyDescent="0.2">
      <c r="B21" s="4" t="s">
        <v>57</v>
      </c>
      <c r="C21" s="65" t="str">
        <f>sample_ca_algorithm</f>
        <v>RSA</v>
      </c>
      <c r="D21" s="8" t="str">
        <f>ca_algorithm</f>
        <v>Value Missing</v>
      </c>
      <c r="E21" s="354" t="str">
        <f>IF(wld_signed_certs_result="Included","Values are defined in the Management Domain Post Deploy Tab - Click to link","")</f>
        <v/>
      </c>
    </row>
    <row r="22" spans="2:5" ht="20" customHeight="1" x14ac:dyDescent="0.2">
      <c r="B22" s="4" t="s">
        <v>71</v>
      </c>
      <c r="C22" s="65">
        <f>sample_ca_key_size</f>
        <v>4096</v>
      </c>
      <c r="D22" s="8" t="str">
        <f>ca_key_size</f>
        <v>Value Missing</v>
      </c>
      <c r="E22" s="4"/>
    </row>
    <row r="23" spans="2:5" ht="20" customHeight="1" x14ac:dyDescent="0.2">
      <c r="B23" s="4" t="s">
        <v>69</v>
      </c>
      <c r="C23" s="65" t="str">
        <f>sample_ca_email_address</f>
        <v>administrator@rainpole.io</v>
      </c>
      <c r="D23" s="8" t="str">
        <f>ca_email_address</f>
        <v>Value Missing</v>
      </c>
      <c r="E23" s="4"/>
    </row>
    <row r="24" spans="2:5" ht="20" customHeight="1" x14ac:dyDescent="0.2">
      <c r="B24" s="4" t="s">
        <v>61</v>
      </c>
      <c r="C24" s="65" t="str">
        <f>sample_ca_organization_unit</f>
        <v>Rainpole</v>
      </c>
      <c r="D24" s="8" t="str">
        <f>ca_organization_unit</f>
        <v>Value Missing</v>
      </c>
      <c r="E24" s="4"/>
    </row>
    <row r="25" spans="2:5" ht="20" customHeight="1" x14ac:dyDescent="0.2">
      <c r="B25" s="4" t="s">
        <v>76</v>
      </c>
      <c r="C25" s="65" t="str">
        <f>sample_ca_organization</f>
        <v>IT</v>
      </c>
      <c r="D25" s="8" t="str">
        <f>ca_organization</f>
        <v>Value Missing</v>
      </c>
      <c r="E25" s="4"/>
    </row>
    <row r="26" spans="2:5" ht="20" customHeight="1" x14ac:dyDescent="0.2">
      <c r="B26" s="4" t="s">
        <v>67</v>
      </c>
      <c r="C26" s="65" t="str">
        <f>sample_ca_locality</f>
        <v>San Francisco</v>
      </c>
      <c r="D26" s="8" t="str">
        <f>ca_locality</f>
        <v>Value Missing</v>
      </c>
      <c r="E26" s="4"/>
    </row>
    <row r="27" spans="2:5" ht="20" customHeight="1" x14ac:dyDescent="0.2">
      <c r="B27" s="4" t="s">
        <v>65</v>
      </c>
      <c r="C27" s="65" t="str">
        <f>sample_ca_state</f>
        <v>CA</v>
      </c>
      <c r="D27" s="8" t="str">
        <f>ca_state</f>
        <v>Value Missing</v>
      </c>
      <c r="E27" s="4"/>
    </row>
    <row r="28" spans="2:5" ht="20" customHeight="1" x14ac:dyDescent="0.2">
      <c r="B28" s="4" t="s">
        <v>63</v>
      </c>
      <c r="C28" s="65" t="str">
        <f>sample_ca_country</f>
        <v>US</v>
      </c>
      <c r="D28" s="8" t="str">
        <f>ca_country</f>
        <v>Value Missing</v>
      </c>
      <c r="E28" s="4"/>
    </row>
    <row r="29" spans="2:5" ht="16" customHeight="1" x14ac:dyDescent="0.2"/>
    <row r="30" spans="2:5" ht="34" customHeight="1" x14ac:dyDescent="0.2">
      <c r="B30" s="586" t="s">
        <v>840</v>
      </c>
      <c r="C30" s="587"/>
      <c r="D30" s="587"/>
      <c r="E30" s="588"/>
    </row>
    <row r="31" spans="2:5" ht="20" customHeight="1" x14ac:dyDescent="0.2">
      <c r="B31" s="421" t="s">
        <v>81</v>
      </c>
      <c r="C31" s="422"/>
      <c r="D31" s="422"/>
      <c r="E31" s="423"/>
    </row>
    <row r="32" spans="2:5" ht="20" customHeight="1" x14ac:dyDescent="0.2">
      <c r="B32" s="63" t="s">
        <v>18</v>
      </c>
      <c r="C32" s="63" t="s">
        <v>19</v>
      </c>
      <c r="D32" s="63" t="s">
        <v>20</v>
      </c>
      <c r="E32" s="63" t="s">
        <v>21</v>
      </c>
    </row>
    <row r="33" spans="1:7" ht="20" customHeight="1" x14ac:dyDescent="0.2">
      <c r="A33" s="148"/>
      <c r="B33" s="614" t="s">
        <v>3831</v>
      </c>
      <c r="C33" s="615"/>
      <c r="D33" s="615"/>
      <c r="E33" s="616"/>
      <c r="F33" s="148"/>
      <c r="G33" s="148"/>
    </row>
    <row r="34" spans="1:7" ht="20" customHeight="1" x14ac:dyDescent="0.2">
      <c r="A34" s="148"/>
      <c r="B34" s="30" t="s">
        <v>82</v>
      </c>
      <c r="C34" s="193" t="s">
        <v>3832</v>
      </c>
      <c r="D34" s="402"/>
      <c r="E34" s="195"/>
      <c r="F34" s="148"/>
      <c r="G34" s="148"/>
    </row>
    <row r="35" spans="1:7" ht="20" customHeight="1" x14ac:dyDescent="0.2">
      <c r="B35" s="579" t="s">
        <v>82</v>
      </c>
      <c r="C35" s="580"/>
      <c r="D35" s="580"/>
      <c r="E35" s="581"/>
    </row>
    <row r="36" spans="1:7" ht="20" customHeight="1" x14ac:dyDescent="0.2">
      <c r="B36" s="4" t="s">
        <v>82</v>
      </c>
      <c r="C36" s="65" t="s">
        <v>83</v>
      </c>
      <c r="D36" s="8" t="str">
        <f>wld_bgp_chosen</f>
        <v>Exclude</v>
      </c>
      <c r="E36" s="4"/>
    </row>
    <row r="37" spans="1:7" ht="20" customHeight="1" x14ac:dyDescent="0.2">
      <c r="B37" s="579" t="s">
        <v>88</v>
      </c>
      <c r="C37" s="580"/>
      <c r="D37" s="580"/>
      <c r="E37" s="581"/>
    </row>
    <row r="38" spans="1:7" ht="20" customHeight="1" x14ac:dyDescent="0.2">
      <c r="B38" s="4" t="s">
        <v>89</v>
      </c>
      <c r="C38" s="65" t="str">
        <f>CONCATENATE(this_instance,"-w0",wld_domain_number_chosen,"-ec01")</f>
        <v>sfo-w01-ec01</v>
      </c>
      <c r="D38" s="66"/>
      <c r="E38" s="4"/>
    </row>
    <row r="39" spans="1:7" ht="20" customHeight="1" x14ac:dyDescent="0.2">
      <c r="B39" s="4" t="s">
        <v>90</v>
      </c>
      <c r="C39" s="65">
        <v>1700</v>
      </c>
      <c r="D39" s="114"/>
      <c r="E39" s="8" t="s">
        <v>841</v>
      </c>
    </row>
    <row r="40" spans="1:7" ht="20" customHeight="1" x14ac:dyDescent="0.2">
      <c r="B40" s="4" t="s">
        <v>91</v>
      </c>
      <c r="C40" s="65" t="s">
        <v>657</v>
      </c>
      <c r="D40" s="66" t="s">
        <v>657</v>
      </c>
      <c r="E40" s="4"/>
    </row>
    <row r="41" spans="1:7" ht="20" customHeight="1" x14ac:dyDescent="0.2">
      <c r="B41" s="579" t="s">
        <v>93</v>
      </c>
      <c r="C41" s="580"/>
      <c r="D41" s="580"/>
      <c r="E41" s="581"/>
    </row>
    <row r="42" spans="1:7" ht="20" customHeight="1" x14ac:dyDescent="0.2">
      <c r="B42" s="4" t="s">
        <v>94</v>
      </c>
      <c r="C42" s="206" t="str">
        <f>CONCATENATE(this_instance,"-w0",wld_domain_number_chosen,"-en01",".",sample_child_dns_zone)</f>
        <v>sfo-w01-en01.sfo.rainpole.io</v>
      </c>
      <c r="D42" s="207"/>
      <c r="E42" s="8"/>
    </row>
    <row r="43" spans="1:7" ht="20" customHeight="1" x14ac:dyDescent="0.2">
      <c r="B43" s="4" t="s">
        <v>95</v>
      </c>
      <c r="C43" s="65" t="str">
        <f>sample_wld_cl01_cluster</f>
        <v>sfo-w01-cl01</v>
      </c>
      <c r="D43" s="134" t="str">
        <f>wld_cl01_cluster</f>
        <v>Value Missing</v>
      </c>
      <c r="E43" s="371" t="s">
        <v>842</v>
      </c>
    </row>
    <row r="44" spans="1:7" ht="20" customHeight="1" x14ac:dyDescent="0.2">
      <c r="B44" s="4" t="s">
        <v>97</v>
      </c>
      <c r="C44" s="65" t="str">
        <f>CONCATENATE(this_instance,"-w0",wld_domain_number_chosen,"-cl01-rp-ec01")</f>
        <v>sfo-w01-cl01-rp-ec01</v>
      </c>
      <c r="D44" s="114"/>
      <c r="E44" s="8" t="s">
        <v>98</v>
      </c>
    </row>
    <row r="45" spans="1:7" ht="20" customHeight="1" x14ac:dyDescent="0.2">
      <c r="B45" s="4" t="s">
        <v>99</v>
      </c>
      <c r="C45" s="65" t="s">
        <v>100</v>
      </c>
      <c r="D45" s="114" t="s">
        <v>100</v>
      </c>
      <c r="E45" s="8"/>
    </row>
    <row r="46" spans="1:7" ht="20" customHeight="1" x14ac:dyDescent="0.2">
      <c r="B46" s="4" t="s">
        <v>101</v>
      </c>
      <c r="C46" s="65" t="str">
        <f>CONCATENATE(sample_wld_sddc_domain,"-host-group-affinity-rule-ec01-en01")</f>
        <v>sfo-w01-host-group-affinity-rule-ec01-en01</v>
      </c>
      <c r="D46" s="114"/>
      <c r="E46" s="8" t="s">
        <v>843</v>
      </c>
    </row>
    <row r="47" spans="1:7" ht="20" customHeight="1" x14ac:dyDescent="0.2">
      <c r="B47" s="4" t="s">
        <v>844</v>
      </c>
      <c r="C47" s="65" t="str">
        <f>sample_wld_cl01_vsan_datastore</f>
        <v>sfo-w01-sfo-w01-cl01-vsan01</v>
      </c>
      <c r="D47" s="134" t="str">
        <f>wld_cl01_vsan_datastore</f>
        <v>Value Missing</v>
      </c>
      <c r="E47" s="371" t="s">
        <v>845</v>
      </c>
    </row>
    <row r="48" spans="1:7" ht="20" customHeight="1" x14ac:dyDescent="0.2">
      <c r="B48" s="23" t="s">
        <v>3840</v>
      </c>
      <c r="C48" s="404" t="s">
        <v>3841</v>
      </c>
      <c r="D48" s="134" t="s">
        <v>3841</v>
      </c>
      <c r="E48" s="371"/>
    </row>
    <row r="49" spans="2:5" ht="20" customHeight="1" x14ac:dyDescent="0.2">
      <c r="B49" s="4" t="s">
        <v>104</v>
      </c>
      <c r="C49" s="109" t="s">
        <v>105</v>
      </c>
      <c r="D49" s="66" t="s">
        <v>105</v>
      </c>
      <c r="E49" s="8"/>
    </row>
    <row r="50" spans="2:5" ht="20" customHeight="1" x14ac:dyDescent="0.2">
      <c r="B50" s="4" t="s">
        <v>108</v>
      </c>
      <c r="C50" s="208" t="str">
        <f>IF(wld_dpg_separation_result="Included",CONCATENATE(prefix_wld_az1_cidr,"10.135","/",INT(RIGHT(sample_wld_az1_mgmt_vm_gateway_cidr,LEN(sample_wld_az1_mgmt_vm_gateway_cidr)-FIND("/",sample_wld_az1_mgmt_vm_gateway_cidr)))),CONCATENATE(prefix_wld_az1_cidr,"11.135","/",INT(RIGHT(sample_wld_az1_mgmt_vm_gateway_cidr,LEN(sample_wld_az1_mgmt_vm_gateway_cidr)-FIND("/",sample_wld_az1_mgmt_vm_gateway_cidr)))))</f>
        <v>10.13.11.135/24</v>
      </c>
      <c r="D50" s="66"/>
      <c r="E50" s="8"/>
    </row>
    <row r="51" spans="2:5" ht="20" customHeight="1" x14ac:dyDescent="0.2">
      <c r="B51" s="4" t="s">
        <v>109</v>
      </c>
      <c r="C51" s="208" t="str">
        <f>IF(wld_dpg_separation_result="Included",CONCATENATE(prefix_wld_az1_cidr,"10.1"),CONCATENATE(prefix_wld_az1_cidr,"11.1"))</f>
        <v>10.13.11.1</v>
      </c>
      <c r="D51" s="8" t="str">
        <f>wld_az1_mgmt_vm_gateway_ip</f>
        <v>Value Missing</v>
      </c>
      <c r="E51" s="371" t="s">
        <v>847</v>
      </c>
    </row>
    <row r="52" spans="2:5" ht="20" customHeight="1" x14ac:dyDescent="0.2">
      <c r="B52" s="4" t="s">
        <v>106</v>
      </c>
      <c r="C52" s="208" t="str">
        <f>sample_wld_cl01_az1_mgmt_vm_pg</f>
        <v>sfo-w01-cl01-vds01-pg-vm-mgmt</v>
      </c>
      <c r="D52" s="134" t="str">
        <f>wld_cl01_az1_mgmt_vm_pg</f>
        <v>Value Missing</v>
      </c>
      <c r="E52" s="371" t="s">
        <v>846</v>
      </c>
    </row>
    <row r="53" spans="2:5" ht="20" customHeight="1" x14ac:dyDescent="0.2">
      <c r="B53" s="4" t="s">
        <v>110</v>
      </c>
      <c r="C53" s="65" t="s">
        <v>111</v>
      </c>
      <c r="D53" s="114" t="s">
        <v>111</v>
      </c>
      <c r="E53" s="8"/>
    </row>
    <row r="54" spans="2:5" ht="20" customHeight="1" x14ac:dyDescent="0.2">
      <c r="B54" s="424" t="s">
        <v>848</v>
      </c>
      <c r="C54" s="425"/>
      <c r="D54" s="425"/>
      <c r="E54" s="426"/>
    </row>
    <row r="55" spans="2:5" ht="20" customHeight="1" x14ac:dyDescent="0.2">
      <c r="B55" s="4" t="s">
        <v>113</v>
      </c>
      <c r="C55" s="65" t="s">
        <v>849</v>
      </c>
      <c r="D55" s="114"/>
      <c r="E55" s="8" t="s">
        <v>114</v>
      </c>
    </row>
    <row r="56" spans="2:5" ht="20" customHeight="1" x14ac:dyDescent="0.2">
      <c r="B56" s="23" t="s">
        <v>113</v>
      </c>
      <c r="C56" s="65" t="s">
        <v>850</v>
      </c>
      <c r="D56" s="114"/>
      <c r="E56" s="8" t="s">
        <v>856</v>
      </c>
    </row>
    <row r="57" spans="2:5" ht="20" customHeight="1" x14ac:dyDescent="0.2">
      <c r="B57" s="23" t="s">
        <v>115</v>
      </c>
      <c r="C57" s="65" t="s">
        <v>850</v>
      </c>
      <c r="D57" s="114"/>
      <c r="E57" s="8" t="s">
        <v>114</v>
      </c>
    </row>
    <row r="58" spans="2:5" ht="20" customHeight="1" x14ac:dyDescent="0.2">
      <c r="B58" s="30" t="s">
        <v>115</v>
      </c>
      <c r="C58" s="65" t="s">
        <v>849</v>
      </c>
      <c r="D58" s="114"/>
      <c r="E58" s="8" t="s">
        <v>856</v>
      </c>
    </row>
    <row r="59" spans="2:5" ht="20" customHeight="1" x14ac:dyDescent="0.2">
      <c r="B59" s="4" t="s">
        <v>116</v>
      </c>
      <c r="C59" s="103" t="str">
        <f>CONCATENATE(prefix_wld_az1_vlan,"19")</f>
        <v>1319</v>
      </c>
      <c r="D59" s="66"/>
      <c r="E59" s="8"/>
    </row>
    <row r="60" spans="2:5" ht="20" customHeight="1" x14ac:dyDescent="0.2">
      <c r="B60" s="4" t="s">
        <v>3842</v>
      </c>
      <c r="C60" s="103" t="s">
        <v>3713</v>
      </c>
      <c r="D60" s="114" t="s">
        <v>3801</v>
      </c>
      <c r="E60" s="8" t="str">
        <f>IF(wld_az1_en1_uplink_ip_assignment_chosen="IPv6","NSX does not support EVPN, Multicast Routing, Service Insertion and Federation functionalities when you use IPv6 as the IP Address Type ","")</f>
        <v xml:space="preserve">NSX does not support EVPN, Multicast Routing, Service Insertion and Federation functionalities when you use IPv6 as the IP Address Type </v>
      </c>
    </row>
    <row r="61" spans="2:5" ht="20" customHeight="1" x14ac:dyDescent="0.2">
      <c r="B61" s="4" t="s">
        <v>117</v>
      </c>
      <c r="C61" s="65" t="s">
        <v>118</v>
      </c>
      <c r="D61" s="114" t="s">
        <v>3458</v>
      </c>
      <c r="E61" s="8"/>
    </row>
    <row r="62" spans="2:5" ht="20" customHeight="1" x14ac:dyDescent="0.2">
      <c r="B62" s="4" t="s">
        <v>119</v>
      </c>
      <c r="C62" s="109" t="str">
        <f>CONCATENATE(sample_wld_sddc_domain,"-ip-pool02-edge")</f>
        <v>sfo-w01-ip-pool02-edge</v>
      </c>
      <c r="D62" s="66"/>
      <c r="E62" s="8"/>
    </row>
    <row r="63" spans="2:5" ht="20" customHeight="1" x14ac:dyDescent="0.2">
      <c r="B63" s="4" t="s">
        <v>120</v>
      </c>
      <c r="C63" s="103" t="str">
        <f>CONCATENATE(prefix_wld_az1_cidr,"19.2")</f>
        <v>10.13.19.2</v>
      </c>
      <c r="D63" s="66"/>
      <c r="E63" s="8"/>
    </row>
    <row r="64" spans="2:5" ht="20" customHeight="1" x14ac:dyDescent="0.2">
      <c r="B64" s="4" t="s">
        <v>121</v>
      </c>
      <c r="C64" s="103" t="str">
        <f>CONCATENATE(prefix_wld_az1_cidr,"19.5")</f>
        <v>10.13.19.5</v>
      </c>
      <c r="D64" s="66"/>
      <c r="E64" s="8"/>
    </row>
    <row r="65" spans="2:5" ht="20" customHeight="1" x14ac:dyDescent="0.2">
      <c r="B65" s="4" t="s">
        <v>122</v>
      </c>
      <c r="C65" s="109" t="str">
        <f>CONCATENATE(prefix_wld_az1_cidr,"19.2")</f>
        <v>10.13.19.2</v>
      </c>
      <c r="D65" s="66"/>
      <c r="E65" s="8" t="s">
        <v>851</v>
      </c>
    </row>
    <row r="66" spans="2:5" ht="20" customHeight="1" x14ac:dyDescent="0.2">
      <c r="B66" s="4" t="s">
        <v>123</v>
      </c>
      <c r="C66" s="109" t="str">
        <f>CONCATENATE(prefix_wld_az1_cidr,"19.3")</f>
        <v>10.13.19.3</v>
      </c>
      <c r="D66" s="66"/>
      <c r="E66" s="8" t="s">
        <v>852</v>
      </c>
    </row>
    <row r="67" spans="2:5" ht="20" customHeight="1" x14ac:dyDescent="0.2">
      <c r="B67" s="4" t="s">
        <v>451</v>
      </c>
      <c r="C67" s="103" t="str">
        <f>CONCATENATE(prefix_wld_az1_cidr,"19.0/24")</f>
        <v>10.13.19.0/24</v>
      </c>
      <c r="D67" s="66"/>
      <c r="E67" s="8"/>
    </row>
    <row r="68" spans="2:5" ht="20" customHeight="1" x14ac:dyDescent="0.2">
      <c r="B68" s="4" t="s">
        <v>124</v>
      </c>
      <c r="C68" s="103" t="str">
        <f>CONCATENATE(prefix_wld_az1_cidr,"19.1")</f>
        <v>10.13.19.1</v>
      </c>
      <c r="D68" s="66"/>
      <c r="E68" s="8"/>
    </row>
    <row r="69" spans="2:5" ht="20" customHeight="1" x14ac:dyDescent="0.2">
      <c r="B69" s="4" t="s">
        <v>125</v>
      </c>
      <c r="C69" s="65" t="s">
        <v>126</v>
      </c>
      <c r="D69" s="114"/>
      <c r="E69" s="8"/>
    </row>
    <row r="70" spans="2:5" ht="20" customHeight="1" x14ac:dyDescent="0.2">
      <c r="B70" s="579" t="s">
        <v>127</v>
      </c>
      <c r="C70" s="580"/>
      <c r="D70" s="580"/>
      <c r="E70" s="581"/>
    </row>
    <row r="71" spans="2:5" ht="20" customHeight="1" x14ac:dyDescent="0.2">
      <c r="B71" s="4" t="s">
        <v>128</v>
      </c>
      <c r="C71" s="109" t="str">
        <f>CONCATENATE(this_instance,"-w0",wld_domain_number_chosen,"-en02",".",sample_child_dns_zone)</f>
        <v>sfo-w01-en02.sfo.rainpole.io</v>
      </c>
      <c r="D71" s="66"/>
      <c r="E71" s="8"/>
    </row>
    <row r="72" spans="2:5" ht="20" customHeight="1" x14ac:dyDescent="0.2">
      <c r="B72" s="4" t="s">
        <v>95</v>
      </c>
      <c r="C72" s="65" t="str">
        <f>sample_wld_cl01_cluster</f>
        <v>sfo-w01-cl01</v>
      </c>
      <c r="D72" s="134" t="str">
        <f>wld_cl01_cluster</f>
        <v>Value Missing</v>
      </c>
      <c r="E72" s="371" t="s">
        <v>842</v>
      </c>
    </row>
    <row r="73" spans="2:5" ht="20" customHeight="1" x14ac:dyDescent="0.2">
      <c r="B73" s="4" t="s">
        <v>97</v>
      </c>
      <c r="C73" s="65" t="str">
        <f>sample_wld_ec_rp_name</f>
        <v>sfo-w01-cl01-rp-ec01</v>
      </c>
      <c r="D73" s="134" t="str">
        <f>wld_ec_rp_name</f>
        <v>Value Missing</v>
      </c>
      <c r="E73" s="371" t="s">
        <v>98</v>
      </c>
    </row>
    <row r="74" spans="2:5" ht="20" customHeight="1" x14ac:dyDescent="0.2">
      <c r="B74" s="4" t="s">
        <v>99</v>
      </c>
      <c r="C74" s="65" t="s">
        <v>100</v>
      </c>
      <c r="D74" s="134" t="str">
        <f>wld_ec01_host_group_affinity_rule_chosen</f>
        <v>No</v>
      </c>
      <c r="E74" s="8" t="s">
        <v>853</v>
      </c>
    </row>
    <row r="75" spans="2:5" ht="20" customHeight="1" x14ac:dyDescent="0.2">
      <c r="B75" s="4" t="s">
        <v>101</v>
      </c>
      <c r="C75" s="65" t="str">
        <f>CONCATENATE(sample_wld_sddc_domain,"-host-group-affinity-rule-ec01-en02")</f>
        <v>sfo-w01-host-group-affinity-rule-ec01-en02</v>
      </c>
      <c r="D75" s="114"/>
      <c r="E75" s="8" t="s">
        <v>854</v>
      </c>
    </row>
    <row r="76" spans="2:5" ht="20" customHeight="1" x14ac:dyDescent="0.2">
      <c r="B76" s="4" t="s">
        <v>844</v>
      </c>
      <c r="C76" s="65" t="str">
        <f>sample_wld_cl01_vsan_datastore</f>
        <v>sfo-w01-sfo-w01-cl01-vsan01</v>
      </c>
      <c r="D76" s="134" t="str">
        <f>wld_cl01_vsan_datastore</f>
        <v>Value Missing</v>
      </c>
      <c r="E76" s="371" t="s">
        <v>845</v>
      </c>
    </row>
    <row r="77" spans="2:5" ht="20" customHeight="1" x14ac:dyDescent="0.2">
      <c r="B77" s="4" t="s">
        <v>104</v>
      </c>
      <c r="C77" s="109" t="s">
        <v>105</v>
      </c>
      <c r="D77" s="8" t="s">
        <v>105</v>
      </c>
      <c r="E77" s="337"/>
    </row>
    <row r="78" spans="2:5" ht="20" customHeight="1" x14ac:dyDescent="0.2">
      <c r="B78" s="4" t="s">
        <v>106</v>
      </c>
      <c r="C78" s="109" t="str">
        <f>sample_wld_cl01_az1_mgmt_vm_pg</f>
        <v>sfo-w01-cl01-vds01-pg-vm-mgmt</v>
      </c>
      <c r="D78" s="8" t="str">
        <f>wld_cl01_az1_mgmt_vm_pg</f>
        <v>Value Missing</v>
      </c>
      <c r="E78" s="371" t="s">
        <v>846</v>
      </c>
    </row>
    <row r="79" spans="2:5" ht="20" customHeight="1" x14ac:dyDescent="0.2">
      <c r="B79" s="4" t="s">
        <v>131</v>
      </c>
      <c r="C79" s="109" t="str">
        <f>IF(wld_dpg_separation_result="Included",CONCATENATE(prefix_wld_az1_cidr,"10.136","/",INT(RIGHT(sample_wld_az1_mgmt_vm_gateway_cidr,LEN(sample_wld_az1_mgmt_vm_gateway_cidr)-FIND("/",sample_wld_az1_mgmt_vm_gateway_cidr)))),CONCATENATE(prefix_wld_az1_cidr,"11.136","/",INT(RIGHT(sample_wld_az1_mgmt_vm_gateway_cidr,LEN(sample_wld_az1_mgmt_vm_gateway_cidr)-FIND("/",sample_wld_az1_mgmt_vm_gateway_cidr)))))</f>
        <v>10.13.11.136/24</v>
      </c>
      <c r="D79" s="114"/>
      <c r="E79" s="8"/>
    </row>
    <row r="80" spans="2:5" ht="20" customHeight="1" x14ac:dyDescent="0.2">
      <c r="B80" s="4" t="s">
        <v>132</v>
      </c>
      <c r="C80" s="65" t="str">
        <f>sample_wld_az1_mgmt_vm_gateway_cidr</f>
        <v>10.13.11.1/24</v>
      </c>
      <c r="D80" s="134" t="str">
        <f>wld_az1_mgmt_vm_gateway_ip</f>
        <v>Value Missing</v>
      </c>
      <c r="E80" s="371" t="s">
        <v>847</v>
      </c>
    </row>
    <row r="81" spans="2:5" ht="20" customHeight="1" x14ac:dyDescent="0.2">
      <c r="B81" s="4" t="s">
        <v>110</v>
      </c>
      <c r="C81" s="65" t="s">
        <v>142</v>
      </c>
      <c r="D81" s="134" t="str">
        <f>wld_ec01_use_host_overlay_chosen</f>
        <v xml:space="preserve">Unselected </v>
      </c>
      <c r="E81" s="184" t="s">
        <v>855</v>
      </c>
    </row>
    <row r="82" spans="2:5" ht="20" customHeight="1" x14ac:dyDescent="0.2">
      <c r="B82" s="424" t="s">
        <v>848</v>
      </c>
      <c r="C82" s="425"/>
      <c r="D82" s="425"/>
      <c r="E82" s="426"/>
    </row>
    <row r="83" spans="2:5" ht="20" customHeight="1" x14ac:dyDescent="0.2">
      <c r="B83" s="4" t="s">
        <v>113</v>
      </c>
      <c r="C83" s="65" t="s">
        <v>849</v>
      </c>
      <c r="D83" s="114"/>
      <c r="E83" s="8" t="s">
        <v>114</v>
      </c>
    </row>
    <row r="84" spans="2:5" ht="20" customHeight="1" x14ac:dyDescent="0.2">
      <c r="B84" s="23" t="s">
        <v>113</v>
      </c>
      <c r="C84" s="65" t="s">
        <v>850</v>
      </c>
      <c r="D84" s="114"/>
      <c r="E84" s="8" t="s">
        <v>856</v>
      </c>
    </row>
    <row r="85" spans="2:5" ht="20" customHeight="1" x14ac:dyDescent="0.2">
      <c r="B85" s="23" t="s">
        <v>115</v>
      </c>
      <c r="C85" s="65" t="s">
        <v>849</v>
      </c>
      <c r="D85" s="114"/>
      <c r="E85" s="8" t="s">
        <v>114</v>
      </c>
    </row>
    <row r="86" spans="2:5" ht="20" customHeight="1" x14ac:dyDescent="0.2">
      <c r="B86" s="30" t="s">
        <v>115</v>
      </c>
      <c r="C86" s="65" t="s">
        <v>850</v>
      </c>
      <c r="D86" s="114"/>
      <c r="E86" s="8" t="s">
        <v>856</v>
      </c>
    </row>
    <row r="87" spans="2:5" ht="20" customHeight="1" x14ac:dyDescent="0.2">
      <c r="B87" s="4" t="s">
        <v>116</v>
      </c>
      <c r="C87" s="103" t="str">
        <f>sample_wld_az1_edge_overlay_vlan</f>
        <v>1319</v>
      </c>
      <c r="D87" s="8" t="str">
        <f>wld_az1_edge_overlay_vlan</f>
        <v>Value Missing</v>
      </c>
      <c r="E87" s="184" t="s">
        <v>3961</v>
      </c>
    </row>
    <row r="88" spans="2:5" ht="20" customHeight="1" x14ac:dyDescent="0.2">
      <c r="B88" s="4" t="s">
        <v>117</v>
      </c>
      <c r="C88" s="65" t="s">
        <v>118</v>
      </c>
      <c r="D88" s="134" t="str">
        <f>wld_az1_en1_edge_overlay_network_ip_allocation_chosen</f>
        <v>IP Pool</v>
      </c>
      <c r="E88" s="184" t="s">
        <v>855</v>
      </c>
    </row>
    <row r="89" spans="2:5" ht="20" customHeight="1" x14ac:dyDescent="0.2">
      <c r="B89" s="4" t="s">
        <v>119</v>
      </c>
      <c r="C89" s="65" t="str">
        <f>sample_wld_az1_edge_overlay_network_pool_name</f>
        <v>sfo-w01-ip-pool02-edge</v>
      </c>
      <c r="D89" s="134" t="str">
        <f>wld_az1_edge_overlay_network_pool_name</f>
        <v>Value Missing</v>
      </c>
      <c r="E89" s="8" t="str">
        <f>IF(mgmt_az1_en1_edge_overlay_network_ip_allocation_chosen&lt;&gt;"IP Pool","Inputs are masked out and only required if IP Pools are required","Value is set based on IP Pool Name for Edge node 1 ")</f>
        <v xml:space="preserve">Value is set based on IP Pool Name for Edge node 1 </v>
      </c>
    </row>
    <row r="90" spans="2:5" ht="20" customHeight="1" x14ac:dyDescent="0.2">
      <c r="B90" s="4" t="s">
        <v>857</v>
      </c>
      <c r="C90" s="109" t="str">
        <f>CONCATENATE(prefix_wld_az1_cidr,"19.4")</f>
        <v>10.13.19.4</v>
      </c>
      <c r="D90" s="66"/>
      <c r="E90" s="8" t="s">
        <v>858</v>
      </c>
    </row>
    <row r="91" spans="2:5" ht="20" customHeight="1" x14ac:dyDescent="0.2">
      <c r="B91" s="4" t="s">
        <v>859</v>
      </c>
      <c r="C91" s="109" t="str">
        <f>CONCATENATE(prefix_wld_az1_cidr,"19.5")</f>
        <v>10.13.19.5</v>
      </c>
      <c r="D91" s="66"/>
      <c r="E91" s="8" t="s">
        <v>860</v>
      </c>
    </row>
    <row r="92" spans="2:5" ht="20" customHeight="1" x14ac:dyDescent="0.2">
      <c r="B92" s="4" t="s">
        <v>124</v>
      </c>
      <c r="C92" s="65" t="str">
        <f>sample_wld_az1_edge_overlay_gateway_ip</f>
        <v>10.13.19.1</v>
      </c>
      <c r="D92" s="8" t="str">
        <f>wld_az1_edge_overlay_gateway_ip</f>
        <v>Value Missing</v>
      </c>
      <c r="E92" s="8"/>
    </row>
    <row r="93" spans="2:5" ht="20" customHeight="1" x14ac:dyDescent="0.2">
      <c r="B93" s="4" t="s">
        <v>125</v>
      </c>
      <c r="C93" s="65" t="str">
        <f>sample_wld_az1_edge_overlay_mask</f>
        <v>255.255.255.0</v>
      </c>
      <c r="D93" s="134" t="str">
        <f>wld_az1_edge_overlay_mask</f>
        <v>Value Missing</v>
      </c>
      <c r="E93" s="184" t="s">
        <v>855</v>
      </c>
    </row>
    <row r="94" spans="2:5" ht="20" customHeight="1" x14ac:dyDescent="0.2">
      <c r="B94" s="424" t="s">
        <v>3856</v>
      </c>
      <c r="C94" s="425"/>
      <c r="D94" s="425"/>
      <c r="E94" s="426"/>
    </row>
    <row r="95" spans="2:5" ht="20" customHeight="1" x14ac:dyDescent="0.2">
      <c r="B95" s="4" t="s">
        <v>3834</v>
      </c>
      <c r="C95" s="65" t="s">
        <v>111</v>
      </c>
      <c r="D95" s="114" t="s">
        <v>156</v>
      </c>
      <c r="E95" s="8"/>
    </row>
    <row r="96" spans="2:5" ht="20" customHeight="1" x14ac:dyDescent="0.2">
      <c r="B96" s="4" t="s">
        <v>138</v>
      </c>
      <c r="C96" s="65" t="s">
        <v>139</v>
      </c>
      <c r="D96" s="66"/>
      <c r="E96" s="8"/>
    </row>
    <row r="97" spans="2:5" ht="20" customHeight="1" x14ac:dyDescent="0.2">
      <c r="B97" s="4" t="s">
        <v>140</v>
      </c>
      <c r="C97" s="65" t="s">
        <v>139</v>
      </c>
      <c r="D97" s="66"/>
      <c r="E97" s="8"/>
    </row>
    <row r="98" spans="2:5" ht="20" customHeight="1" x14ac:dyDescent="0.2">
      <c r="B98" s="424" t="s">
        <v>141</v>
      </c>
      <c r="C98" s="425"/>
      <c r="D98" s="425"/>
      <c r="E98" s="426"/>
    </row>
    <row r="99" spans="2:5" ht="20" customHeight="1" x14ac:dyDescent="0.2">
      <c r="B99" s="4" t="s">
        <v>143</v>
      </c>
      <c r="C99" s="154" t="str">
        <f>CONCATENATE(this_instance,"-w0",wld_domain_number_chosen,"-ec01-t0-gw01")</f>
        <v>sfo-w01-ec01-t0-gw01</v>
      </c>
      <c r="D99" s="66"/>
      <c r="E99" s="4"/>
    </row>
    <row r="100" spans="2:5" ht="20" customHeight="1" x14ac:dyDescent="0.2">
      <c r="B100" s="4" t="s">
        <v>144</v>
      </c>
      <c r="C100" s="65" t="s">
        <v>4158</v>
      </c>
      <c r="D100" s="114" t="s">
        <v>4157</v>
      </c>
      <c r="E100" s="4"/>
    </row>
    <row r="101" spans="2:5" ht="20" customHeight="1" x14ac:dyDescent="0.2">
      <c r="B101" s="4" t="s">
        <v>146</v>
      </c>
      <c r="C101" s="65" t="s">
        <v>147</v>
      </c>
      <c r="D101" s="114" t="s">
        <v>147</v>
      </c>
      <c r="E101" s="4"/>
    </row>
    <row r="102" spans="2:5" ht="20" customHeight="1" x14ac:dyDescent="0.2">
      <c r="B102" s="4" t="s">
        <v>148</v>
      </c>
      <c r="C102" s="103" t="str">
        <f>IF(mgmt_domain_chosen="First Instance","65102","65202")</f>
        <v>65102</v>
      </c>
      <c r="D102" s="66"/>
      <c r="E102" s="4"/>
    </row>
    <row r="103" spans="2:5" ht="20" customHeight="1" x14ac:dyDescent="0.2">
      <c r="B103" s="424" t="s">
        <v>149</v>
      </c>
      <c r="C103" s="425"/>
      <c r="D103" s="425"/>
      <c r="E103" s="426"/>
    </row>
    <row r="104" spans="2:5" ht="20" customHeight="1" x14ac:dyDescent="0.2">
      <c r="B104" s="67" t="s">
        <v>150</v>
      </c>
      <c r="C104" s="103" t="str">
        <f>CONCATENATE(prefix_wld_az1_vlan,"17")</f>
        <v>1317</v>
      </c>
      <c r="D104" s="66"/>
      <c r="E104" s="8" t="s">
        <v>151</v>
      </c>
    </row>
    <row r="105" spans="2:5" ht="20" customHeight="1" x14ac:dyDescent="0.2">
      <c r="B105" s="67" t="s">
        <v>152</v>
      </c>
      <c r="C105" s="109" t="str">
        <f>CONCATENATE(prefix_wld_az1_cidr,"17.2","/",INT(RIGHT(sample_wld_az1_uplink01_cidr,LEN(sample_wld_az1_uplink01_cidr)-FIND("/",sample_wld_az1_uplink01_cidr))))</f>
        <v>10.13.17.2/24</v>
      </c>
      <c r="D105" s="66"/>
      <c r="E105" s="8" t="s">
        <v>862</v>
      </c>
    </row>
    <row r="106" spans="2:5" ht="20" customHeight="1" x14ac:dyDescent="0.2">
      <c r="B106" s="67" t="s">
        <v>154</v>
      </c>
      <c r="C106" s="103" t="str">
        <f>CONCATENATE(prefix_wld_az1_cidr,"17.10")</f>
        <v>10.13.17.10</v>
      </c>
      <c r="D106" s="66"/>
      <c r="E106" s="8" t="s">
        <v>165</v>
      </c>
    </row>
    <row r="107" spans="2:5" ht="20" customHeight="1" x14ac:dyDescent="0.2">
      <c r="B107" s="67" t="s">
        <v>155</v>
      </c>
      <c r="C107" s="65" t="s">
        <v>156</v>
      </c>
      <c r="D107" s="66" t="s">
        <v>156</v>
      </c>
      <c r="E107" s="333"/>
    </row>
    <row r="108" spans="2:5" ht="20" customHeight="1" x14ac:dyDescent="0.2">
      <c r="B108" s="67" t="s">
        <v>157</v>
      </c>
      <c r="C108" s="103">
        <v>9000</v>
      </c>
      <c r="D108" s="66"/>
      <c r="E108" s="333"/>
    </row>
    <row r="109" spans="2:5" ht="20" customHeight="1" x14ac:dyDescent="0.2">
      <c r="B109" s="67" t="s">
        <v>158</v>
      </c>
      <c r="C109" s="103" t="str">
        <f>IF(wld_domain_chosen="First Domain",CONCATENATE(asn_start,asn_instance,asn_wld_az1,1),IF(wld_nsxt_federation_result="Included",CONCATENATE(asn_start,asn_instance,asn_wld_az1,1),CONCATENATE(asn_start,asn_instance,asn_wld_az1,1)))</f>
        <v>65131</v>
      </c>
      <c r="D109" s="66"/>
      <c r="E109" s="333"/>
    </row>
    <row r="110" spans="2:5" ht="20" customHeight="1" x14ac:dyDescent="0.2">
      <c r="B110" s="67" t="s">
        <v>159</v>
      </c>
      <c r="C110" s="103" t="s">
        <v>31</v>
      </c>
      <c r="D110" s="66"/>
      <c r="E110" s="333"/>
    </row>
    <row r="111" spans="2:5" ht="20" customHeight="1" x14ac:dyDescent="0.2">
      <c r="B111" s="67" t="s">
        <v>160</v>
      </c>
      <c r="C111" s="103" t="str">
        <f>CONCATENATE(prefix_wld_az1_vlan,"18")</f>
        <v>1318</v>
      </c>
      <c r="D111" s="66"/>
      <c r="E111" s="333" t="s">
        <v>161</v>
      </c>
    </row>
    <row r="112" spans="2:5" ht="20" customHeight="1" x14ac:dyDescent="0.2">
      <c r="B112" s="67" t="s">
        <v>152</v>
      </c>
      <c r="C112" s="109" t="str">
        <f>CONCATENATE(prefix_wld_az1_cidr,"18.2","/",INT(RIGHT(sample_wld_az1_uplink02_cidr,LEN(sample_wld_az1_uplink02_cidr)-FIND("/",sample_wld_az1_uplink02_cidr))))</f>
        <v>10.13.18.2/24</v>
      </c>
      <c r="D112" s="66"/>
      <c r="E112" s="333" t="s">
        <v>863</v>
      </c>
    </row>
    <row r="113" spans="2:5" ht="20" customHeight="1" x14ac:dyDescent="0.2">
      <c r="B113" s="67" t="s">
        <v>154</v>
      </c>
      <c r="C113" s="103" t="str">
        <f>CONCATENATE(prefix_wld_az1_cidr,"18.10")</f>
        <v>10.13.18.10</v>
      </c>
      <c r="D113" s="66"/>
      <c r="E113" s="333" t="s">
        <v>864</v>
      </c>
    </row>
    <row r="114" spans="2:5" ht="20" customHeight="1" x14ac:dyDescent="0.2">
      <c r="B114" s="67" t="s">
        <v>155</v>
      </c>
      <c r="C114" s="65" t="s">
        <v>156</v>
      </c>
      <c r="D114" s="8" t="str">
        <f>wld_en01_bfd_chosen</f>
        <v>Selected</v>
      </c>
      <c r="E114" s="333"/>
    </row>
    <row r="115" spans="2:5" ht="20" customHeight="1" x14ac:dyDescent="0.2">
      <c r="B115" s="67" t="s">
        <v>157</v>
      </c>
      <c r="C115" s="103">
        <v>9000</v>
      </c>
      <c r="D115" s="66"/>
      <c r="E115" s="333"/>
    </row>
    <row r="116" spans="2:5" ht="20" customHeight="1" x14ac:dyDescent="0.2">
      <c r="B116" s="67" t="s">
        <v>158</v>
      </c>
      <c r="C116" s="103" t="str">
        <f>IF(wld_domain_chosen="First Domain",CONCATENATE(asn_start,asn_instance,asn_wld_az1,1),IF(wld_nsxt_federation_result="Included",CONCATENATE(asn_start,asn_instance,asn_wld_az1,1),CONCATENATE(asn_start,asn_instance,asn_wld_az1,1)))</f>
        <v>65131</v>
      </c>
      <c r="D116" s="66"/>
      <c r="E116" s="8"/>
    </row>
    <row r="117" spans="2:5" ht="20" customHeight="1" x14ac:dyDescent="0.2">
      <c r="B117" s="67" t="s">
        <v>159</v>
      </c>
      <c r="C117" s="103" t="s">
        <v>31</v>
      </c>
      <c r="D117" s="66"/>
      <c r="E117" s="8"/>
    </row>
    <row r="118" spans="2:5" ht="20" customHeight="1" x14ac:dyDescent="0.2">
      <c r="B118" s="424" t="s">
        <v>163</v>
      </c>
      <c r="C118" s="425"/>
      <c r="D118" s="425"/>
      <c r="E118" s="426"/>
    </row>
    <row r="119" spans="2:5" ht="20" customHeight="1" x14ac:dyDescent="0.2">
      <c r="B119" s="23" t="s">
        <v>150</v>
      </c>
      <c r="C119" s="65" t="str">
        <f>sample_wld_az1_uplink01_vlan</f>
        <v>1317</v>
      </c>
      <c r="D119" s="134" t="str">
        <f>wld_az1_uplink01_vlan</f>
        <v>Value Missing</v>
      </c>
      <c r="E119" s="184" t="s">
        <v>151</v>
      </c>
    </row>
    <row r="120" spans="2:5" ht="20" customHeight="1" x14ac:dyDescent="0.2">
      <c r="B120" s="23" t="s">
        <v>152</v>
      </c>
      <c r="C120" s="109" t="str">
        <f>CONCATENATE(prefix_wld_az1_cidr,"17.3","/",INT(RIGHT(sample_wld_az1_uplink01_cidr,LEN(sample_wld_az1_uplink01_cidr)-FIND("/",sample_wld_az1_uplink01_cidr))))</f>
        <v>10.13.17.3/24</v>
      </c>
      <c r="D120" s="66"/>
      <c r="E120" s="8" t="s">
        <v>164</v>
      </c>
    </row>
    <row r="121" spans="2:5" ht="20" customHeight="1" x14ac:dyDescent="0.2">
      <c r="B121" s="23" t="s">
        <v>154</v>
      </c>
      <c r="C121" s="65" t="str">
        <f>sample_wld_az1_tor1_peer_ip</f>
        <v>10.13.17.10</v>
      </c>
      <c r="D121" s="134" t="str">
        <f>wld_az1_tor1_peer_ip</f>
        <v>Value Missing</v>
      </c>
      <c r="E121" s="8" t="s">
        <v>165</v>
      </c>
    </row>
    <row r="122" spans="2:5" ht="20" customHeight="1" x14ac:dyDescent="0.2">
      <c r="B122" s="23" t="s">
        <v>155</v>
      </c>
      <c r="C122" s="65" t="s">
        <v>156</v>
      </c>
      <c r="D122" s="66" t="s">
        <v>156</v>
      </c>
      <c r="E122" s="300" t="s">
        <v>855</v>
      </c>
    </row>
    <row r="123" spans="2:5" ht="20" customHeight="1" x14ac:dyDescent="0.2">
      <c r="B123" s="23" t="s">
        <v>157</v>
      </c>
      <c r="C123" s="65">
        <f>sample_wld_az1_uplink01_mtu</f>
        <v>9000</v>
      </c>
      <c r="D123" s="355" t="str">
        <f>wld_az1_uplink01_mtu</f>
        <v>Value Missing</v>
      </c>
      <c r="E123" s="300" t="s">
        <v>855</v>
      </c>
    </row>
    <row r="124" spans="2:5" ht="20" customHeight="1" x14ac:dyDescent="0.2">
      <c r="B124" s="23" t="s">
        <v>158</v>
      </c>
      <c r="C124" s="65" t="str">
        <f>sample_wld_az1_tor1_peer_asn</f>
        <v>65131</v>
      </c>
      <c r="D124" s="134" t="str">
        <f>wld_az1_tor1_peer_asn</f>
        <v>Value Missing</v>
      </c>
      <c r="E124" s="300" t="s">
        <v>855</v>
      </c>
    </row>
    <row r="125" spans="2:5" ht="20" customHeight="1" x14ac:dyDescent="0.2">
      <c r="B125" s="23" t="s">
        <v>159</v>
      </c>
      <c r="C125" s="65" t="str">
        <f>sample_wld_az1_tor1_peer_bgp_password</f>
        <v>VMw@re1!</v>
      </c>
      <c r="D125" s="134" t="str">
        <f>wld_az1_tor1_peer_bgp_password</f>
        <v>Value Missing</v>
      </c>
      <c r="E125" s="300" t="s">
        <v>855</v>
      </c>
    </row>
    <row r="126" spans="2:5" ht="20" customHeight="1" x14ac:dyDescent="0.2">
      <c r="B126" s="23" t="s">
        <v>160</v>
      </c>
      <c r="C126" s="65" t="str">
        <f>sample_wld_az1_uplink02_vlan</f>
        <v>1318</v>
      </c>
      <c r="D126" s="134" t="str">
        <f>wld_az1_uplink02_vlan</f>
        <v>Value Missing</v>
      </c>
      <c r="E126" s="8" t="s">
        <v>161</v>
      </c>
    </row>
    <row r="127" spans="2:5" ht="20" customHeight="1" x14ac:dyDescent="0.2">
      <c r="B127" s="23" t="s">
        <v>152</v>
      </c>
      <c r="C127" s="109" t="str">
        <f>CONCATENATE(prefix_wld_az1_cidr,"18.3","/",INT(RIGHT(sample_wld_az1_uplink02_cidr,LEN(sample_wld_az1_uplink02_cidr)-FIND("/",sample_wld_az1_uplink02_cidr))))</f>
        <v>10.13.18.3/24</v>
      </c>
      <c r="D127" s="66"/>
      <c r="E127" s="8" t="s">
        <v>162</v>
      </c>
    </row>
    <row r="128" spans="2:5" ht="20" customHeight="1" x14ac:dyDescent="0.2">
      <c r="B128" s="23" t="s">
        <v>154</v>
      </c>
      <c r="C128" s="65" t="str">
        <f>sample_wld_az1_tor2_peer_ip</f>
        <v>10.13.18.10</v>
      </c>
      <c r="D128" s="134" t="str">
        <f>wld_az1_tor2_peer_ip</f>
        <v>Value Missing</v>
      </c>
      <c r="E128" s="8" t="s">
        <v>865</v>
      </c>
    </row>
    <row r="129" spans="2:5" ht="20" customHeight="1" x14ac:dyDescent="0.2">
      <c r="B129" s="23" t="s">
        <v>155</v>
      </c>
      <c r="C129" s="65" t="s">
        <v>156</v>
      </c>
      <c r="D129" s="8" t="str">
        <f>wld_en02_bfd_chosen</f>
        <v>Selected</v>
      </c>
      <c r="E129" s="352"/>
    </row>
    <row r="130" spans="2:5" ht="20" customHeight="1" x14ac:dyDescent="0.2">
      <c r="B130" s="23" t="s">
        <v>157</v>
      </c>
      <c r="C130" s="65">
        <f>sample_wld_az1_uplink02_mtu</f>
        <v>9000</v>
      </c>
      <c r="D130" s="355" t="str">
        <f>wld_az1_uplink02_mtu</f>
        <v>Value Missing</v>
      </c>
      <c r="E130" s="333" t="s">
        <v>855</v>
      </c>
    </row>
    <row r="131" spans="2:5" ht="20" customHeight="1" x14ac:dyDescent="0.2">
      <c r="B131" s="23" t="s">
        <v>158</v>
      </c>
      <c r="C131" s="65" t="str">
        <f>sample_wld_az1_tor2_peer_asn</f>
        <v>65131</v>
      </c>
      <c r="D131" s="134" t="str">
        <f>wld_az1_tor2_peer_asn</f>
        <v>Value Missing</v>
      </c>
      <c r="E131" s="333" t="s">
        <v>855</v>
      </c>
    </row>
    <row r="132" spans="2:5" ht="20" customHeight="1" x14ac:dyDescent="0.2">
      <c r="B132" s="23" t="s">
        <v>159</v>
      </c>
      <c r="C132" s="65" t="str">
        <f>sample_wld_az1_tor2_peer_bgp_password</f>
        <v>VMw@re1!</v>
      </c>
      <c r="D132" s="134" t="str">
        <f>wld_az1_tor2_peer_bgp_password</f>
        <v>Value Missing</v>
      </c>
      <c r="E132" s="333" t="s">
        <v>855</v>
      </c>
    </row>
    <row r="133" spans="2:5" ht="20" customHeight="1" x14ac:dyDescent="0.2">
      <c r="B133" s="579" t="s">
        <v>84</v>
      </c>
      <c r="C133" s="580"/>
      <c r="D133" s="580"/>
      <c r="E133" s="581"/>
    </row>
    <row r="134" spans="2:5" ht="20" customHeight="1" x14ac:dyDescent="0.2">
      <c r="B134" s="67" t="s">
        <v>85</v>
      </c>
      <c r="C134" s="65" t="str">
        <f>_xlfn.CONCAT(prefix_wld_az1_vlan,98)</f>
        <v>1398</v>
      </c>
      <c r="D134" s="66"/>
      <c r="E134" s="8" t="str">
        <f>IF(wld_bgp_chosen="Centralized Connectivity","Inputs are masked out and only required if Distributed Connectivity Gateway Type is chosen from the Post-Deployment Options","Needs to be a routable network is customers envoirnment" )</f>
        <v>Needs to be a routable network is customers envoirnment</v>
      </c>
    </row>
    <row r="135" spans="2:5" ht="20" customHeight="1" x14ac:dyDescent="0.2">
      <c r="B135" s="67" t="s">
        <v>86</v>
      </c>
      <c r="C135" s="65" t="str">
        <f>CONCATENATE(prefix_wld_az1_cidr,"98.1/24")</f>
        <v>10.13.98.1/24</v>
      </c>
      <c r="D135" s="66"/>
      <c r="E135" s="4"/>
    </row>
    <row r="136" spans="2:5" ht="20" customHeight="1" x14ac:dyDescent="0.2">
      <c r="B136" s="421" t="s">
        <v>171</v>
      </c>
      <c r="C136" s="559"/>
      <c r="D136" s="422"/>
      <c r="E136" s="423"/>
    </row>
    <row r="137" spans="2:5" ht="20" customHeight="1" x14ac:dyDescent="0.2">
      <c r="B137" s="4" t="s">
        <v>3900</v>
      </c>
      <c r="C137" s="65" t="str">
        <f>CONCATENATE(this_instance,"-w0",wld_domain_number_chosen,"-vpc01-ext-ip-block")</f>
        <v>sfo-w01-vpc01-ext-ip-block</v>
      </c>
      <c r="D137" s="114"/>
      <c r="E137" s="8" t="s">
        <v>172</v>
      </c>
    </row>
    <row r="138" spans="2:5" ht="20" customHeight="1" x14ac:dyDescent="0.2">
      <c r="B138" s="4" t="s">
        <v>3857</v>
      </c>
      <c r="C138" s="65" t="s">
        <v>3858</v>
      </c>
      <c r="D138" s="114"/>
      <c r="E138" s="8" t="s">
        <v>174</v>
      </c>
    </row>
    <row r="139" spans="2:5" ht="20" customHeight="1" x14ac:dyDescent="0.2">
      <c r="B139" s="4" t="s">
        <v>172</v>
      </c>
      <c r="C139" s="65" t="str">
        <f>IF(wld_bgp_chosen="Distributed Connectivity",CONCATENATE(prefix_wld_az1_cidr,"98.0/24"),IF(mgmt_domain_chosen="First Instance","192.168.41.0/24","192.168.51.0/24"))</f>
        <v>192.168.41.0/24</v>
      </c>
      <c r="D139" s="114"/>
      <c r="E139" s="8"/>
    </row>
    <row r="140" spans="2:5" ht="20" customHeight="1" x14ac:dyDescent="0.2">
      <c r="B140" s="4" t="s">
        <v>3859</v>
      </c>
      <c r="C140" s="65" t="s">
        <v>3899</v>
      </c>
      <c r="D140" s="114"/>
      <c r="E140" s="8"/>
    </row>
    <row r="141" spans="2:5" ht="20" customHeight="1" x14ac:dyDescent="0.2">
      <c r="B141" s="4" t="s">
        <v>3860</v>
      </c>
      <c r="C141" s="65" t="s">
        <v>100</v>
      </c>
      <c r="D141" s="114"/>
      <c r="E141" s="8" t="s">
        <v>173</v>
      </c>
    </row>
    <row r="142" spans="2:5" ht="20" customHeight="1" x14ac:dyDescent="0.2">
      <c r="B142" s="4" t="s">
        <v>3901</v>
      </c>
      <c r="C142" s="65" t="str">
        <f>CONCATENATE(this_instance,"-w0",wld_domain_number_chosen,"-vpc01-priv-ip-block")</f>
        <v>sfo-w01-vpc01-priv-ip-block</v>
      </c>
      <c r="D142" s="114"/>
      <c r="E142" s="8"/>
    </row>
    <row r="143" spans="2:5" ht="20" customHeight="1" x14ac:dyDescent="0.2">
      <c r="B143" s="4" t="s">
        <v>3857</v>
      </c>
      <c r="C143" s="65" t="s">
        <v>3898</v>
      </c>
      <c r="D143" s="114"/>
      <c r="E143" s="8"/>
    </row>
    <row r="144" spans="2:5" ht="20" customHeight="1" x14ac:dyDescent="0.2">
      <c r="B144" s="4" t="s">
        <v>174</v>
      </c>
      <c r="C144" s="65" t="str">
        <f>sample_wld_cl01_supervisor_private_transit_gateway_cidr</f>
        <v>172.30.0.0/16</v>
      </c>
      <c r="D144" s="114"/>
      <c r="E144" s="8"/>
    </row>
    <row r="145" spans="2:5" ht="20" customHeight="1" x14ac:dyDescent="0.2">
      <c r="B145" s="4" t="s">
        <v>3859</v>
      </c>
      <c r="C145" s="105" t="s">
        <v>3899</v>
      </c>
      <c r="D145" s="114"/>
      <c r="E145" s="8"/>
    </row>
    <row r="146" spans="2:5" ht="20" customHeight="1" x14ac:dyDescent="0.2">
      <c r="B146" s="4" t="s">
        <v>3860</v>
      </c>
      <c r="C146" s="168" t="s">
        <v>100</v>
      </c>
      <c r="D146" s="114"/>
      <c r="E146" s="8" t="s">
        <v>175</v>
      </c>
    </row>
    <row r="147" spans="2:5" ht="20" customHeight="1" x14ac:dyDescent="0.2">
      <c r="B147" s="421" t="s">
        <v>3894</v>
      </c>
      <c r="C147" s="559"/>
      <c r="D147" s="422"/>
      <c r="E147" s="423"/>
    </row>
    <row r="148" spans="2:5" ht="20" customHeight="1" x14ac:dyDescent="0.2">
      <c r="B148" s="4" t="s">
        <v>204</v>
      </c>
      <c r="C148" s="65" t="str">
        <f>CONCATENATE(this_instance,"-w0",wld_domain_number_chosen,"-vna01")</f>
        <v>sfo-w01-vna01</v>
      </c>
      <c r="D148" s="66"/>
      <c r="E148" s="8"/>
    </row>
    <row r="149" spans="2:5" ht="20" customHeight="1" x14ac:dyDescent="0.2">
      <c r="B149" s="4" t="s">
        <v>3889</v>
      </c>
      <c r="C149" s="65" t="s">
        <v>92</v>
      </c>
      <c r="D149" s="66" t="s">
        <v>92</v>
      </c>
      <c r="E149" s="8"/>
    </row>
    <row r="150" spans="2:5" ht="20" customHeight="1" x14ac:dyDescent="0.2">
      <c r="B150" s="421" t="s">
        <v>3896</v>
      </c>
      <c r="C150" s="559"/>
      <c r="D150" s="422"/>
      <c r="E150" s="423"/>
    </row>
    <row r="151" spans="2:5" ht="20" customHeight="1" x14ac:dyDescent="0.2">
      <c r="B151" s="4" t="s">
        <v>3890</v>
      </c>
      <c r="C151" s="65" t="str">
        <f>CONCATENATE(this_instance,"-w0",wld_domain_number_chosen,"-vna01",".",sample_child_dns_zone)</f>
        <v>sfo-w01-vna01.sfo.rainpole.io</v>
      </c>
      <c r="D151" s="66"/>
      <c r="E151" s="8"/>
    </row>
    <row r="152" spans="2:5" ht="20" customHeight="1" x14ac:dyDescent="0.2">
      <c r="B152" s="4" t="s">
        <v>3891</v>
      </c>
      <c r="C152" s="65" t="str">
        <f>CONCATENATE(this_instance,"-w0",wld_domain_number_chosen,"-cl01")</f>
        <v>sfo-w01-cl01</v>
      </c>
      <c r="D152" s="8" t="str">
        <f>wld_cl01_cluster</f>
        <v>Value Missing</v>
      </c>
      <c r="E152" s="371" t="s">
        <v>842</v>
      </c>
    </row>
    <row r="153" spans="2:5" ht="20" customHeight="1" x14ac:dyDescent="0.2">
      <c r="B153" s="4" t="s">
        <v>97</v>
      </c>
      <c r="C153" s="65" t="str">
        <f>CONCATENATE(this_instance,"-w0",wld_domain_number_chosen,"-cl01-rp-vna01")</f>
        <v>sfo-w01-cl01-rp-vna01</v>
      </c>
      <c r="D153" s="66"/>
      <c r="E153" s="8" t="s">
        <v>98</v>
      </c>
    </row>
    <row r="154" spans="2:5" ht="20" customHeight="1" x14ac:dyDescent="0.2">
      <c r="B154" s="4" t="s">
        <v>844</v>
      </c>
      <c r="C154" s="65" t="str">
        <f>IF(wld_principal_storage_chosen="VMFS on Fibre Channel (FC)",CONCATENATE(this_instance,"-w0",wld_domain_number_chosen,"-ds-vmfs01"),IF(wld_principal_storage_chosen="NFSv3",CONCATENATE(this_instance,"-w0",wld_domain_number_chosen,"-m01-cl01-ds-nfs01"),CONCATENATE(this_instance,"-w0",wld_domain_number_chosen,"-cl01-ds-vsan01")))</f>
        <v>sfo-w01-cl01-ds-vsan01</v>
      </c>
      <c r="D154" s="8" t="str">
        <f>wld_cl01_vsan_datastore</f>
        <v>Value Missing</v>
      </c>
      <c r="E154" s="371" t="s">
        <v>845</v>
      </c>
    </row>
    <row r="155" spans="2:5" ht="20" customHeight="1" x14ac:dyDescent="0.2">
      <c r="B155" s="4" t="s">
        <v>3892</v>
      </c>
      <c r="C155" s="65" t="s">
        <v>3713</v>
      </c>
      <c r="D155" s="66" t="s">
        <v>3713</v>
      </c>
      <c r="E155" s="8"/>
    </row>
    <row r="156" spans="2:5" ht="20" customHeight="1" x14ac:dyDescent="0.2">
      <c r="B156" s="4" t="s">
        <v>3840</v>
      </c>
      <c r="C156" s="65" t="s">
        <v>105</v>
      </c>
      <c r="D156" s="66" t="s">
        <v>105</v>
      </c>
      <c r="E156" s="8"/>
    </row>
    <row r="157" spans="2:5" ht="20" customHeight="1" x14ac:dyDescent="0.2">
      <c r="B157" s="4" t="s">
        <v>3893</v>
      </c>
      <c r="C157" s="65" t="str">
        <f>IF(wld_dpg_separation_result="Included",CONCATENATE(prefix_wld_az1_cidr,"10.",(137 + (30*(wld_domain_number_chosen - 1))),"/24"),CONCATENATE(prefix_wld_az1_cidr,"11.",(137 + (30*(wld_domain_number_chosen - 1))),"/24"))</f>
        <v>10.13.11.137/24</v>
      </c>
      <c r="D157" s="66"/>
      <c r="E157" s="8"/>
    </row>
    <row r="158" spans="2:5" ht="20" customHeight="1" x14ac:dyDescent="0.2">
      <c r="B158" s="4" t="s">
        <v>247</v>
      </c>
      <c r="C158" s="65" t="str">
        <f>IF(wld_dpg_separation_result="Included",CONCATENATE(prefix_wld_az1_cidr,"11.1"),CONCATENATE(prefix_wld_az1_cidr,"10.1"))</f>
        <v>10.13.10.1</v>
      </c>
      <c r="D158" s="8" t="str">
        <f>wld_az1_mgmt_vm_gateway_ip</f>
        <v>Value Missing</v>
      </c>
      <c r="E158" s="371" t="s">
        <v>847</v>
      </c>
    </row>
    <row r="159" spans="2:5" ht="20" customHeight="1" x14ac:dyDescent="0.2">
      <c r="B159" s="4" t="s">
        <v>106</v>
      </c>
      <c r="C159" s="65" t="str">
        <f>CONCATENATE(this_instance,"-w0",wld_domain_number_chosen,"-cl01-vds01-pg-vm-mgmt")</f>
        <v>sfo-w01-cl01-vds01-pg-vm-mgmt</v>
      </c>
      <c r="D159" s="8" t="str">
        <f>wld_cl01_az1_mgmt_vm_pg</f>
        <v>Value Missing</v>
      </c>
      <c r="E159" s="371" t="s">
        <v>846</v>
      </c>
    </row>
    <row r="160" spans="2:5" ht="20" customHeight="1" x14ac:dyDescent="0.2">
      <c r="B160" s="421" t="s">
        <v>3895</v>
      </c>
      <c r="C160" s="559"/>
      <c r="D160" s="422"/>
      <c r="E160" s="423"/>
    </row>
    <row r="161" spans="2:5" ht="20" customHeight="1" x14ac:dyDescent="0.2">
      <c r="B161" s="4" t="s">
        <v>3890</v>
      </c>
      <c r="C161" s="65" t="str">
        <f>CONCATENATE(this_instance,"-w0",wld_domain_number_chosen,"-vna02",".",sample_child_dns_zone)</f>
        <v>sfo-w01-vna02.sfo.rainpole.io</v>
      </c>
      <c r="D161" s="66"/>
      <c r="E161" s="8"/>
    </row>
    <row r="162" spans="2:5" ht="20" customHeight="1" x14ac:dyDescent="0.2">
      <c r="B162" s="4" t="s">
        <v>3891</v>
      </c>
      <c r="C162" s="65" t="str">
        <f>CONCATENATE(this_instance,"-w0",wld_domain_number_chosen,"-cl01")</f>
        <v>sfo-w01-cl01</v>
      </c>
      <c r="D162" s="8" t="str">
        <f>wld_cl01_cluster</f>
        <v>Value Missing</v>
      </c>
      <c r="E162" s="371" t="s">
        <v>842</v>
      </c>
    </row>
    <row r="163" spans="2:5" ht="20" customHeight="1" x14ac:dyDescent="0.2">
      <c r="B163" s="4" t="s">
        <v>97</v>
      </c>
      <c r="C163" s="65" t="str">
        <f>CONCATENATE(this_instance,"-w0",wld_domain_number_chosen,"-cl01-rp-vna01")</f>
        <v>sfo-w01-cl01-rp-vna01</v>
      </c>
      <c r="D163" s="8" t="str" cm="1">
        <f t="array" ref="D163">wld_vna_rp_name</f>
        <v>Value Missing</v>
      </c>
      <c r="E163" s="8" t="s">
        <v>98</v>
      </c>
    </row>
    <row r="164" spans="2:5" ht="20" customHeight="1" x14ac:dyDescent="0.2">
      <c r="B164" s="4" t="s">
        <v>844</v>
      </c>
      <c r="C164" s="65" t="str">
        <f>IF(wld_principal_storage_chosen="VMFS on Fibre Channel (FC)",CONCATENATE(this_instance,"-w0",wld_domain_number_chosen,"-ds-vmfs01"),IF(wld_principal_storage_chosen="NFSv3",CONCATENATE(this_instance,"-w0",wld_domain_number_chosen,"-m01-cl01-ds-nfs01"),CONCATENATE(this_instance,"-w0",wld_domain_number_chosen,"-cl01-ds-vsan01")))</f>
        <v>sfo-w01-cl01-ds-vsan01</v>
      </c>
      <c r="D164" s="8" t="str">
        <f>wld_cl01_vsan_datastore</f>
        <v>Value Missing</v>
      </c>
      <c r="E164" s="371" t="s">
        <v>845</v>
      </c>
    </row>
    <row r="165" spans="2:5" ht="20" customHeight="1" x14ac:dyDescent="0.2">
      <c r="B165" s="4" t="s">
        <v>3892</v>
      </c>
      <c r="C165" s="65" t="s">
        <v>3713</v>
      </c>
      <c r="D165" s="8" t="str">
        <f>wld_vna_ip_assignment_address_type_chosen</f>
        <v>IPv4</v>
      </c>
      <c r="E165" s="8"/>
    </row>
    <row r="166" spans="2:5" ht="20" customHeight="1" x14ac:dyDescent="0.2">
      <c r="B166" s="4" t="s">
        <v>3840</v>
      </c>
      <c r="C166" s="65" t="s">
        <v>105</v>
      </c>
      <c r="D166" s="8" t="str">
        <f>wld_vna_ip_assignment_chosen</f>
        <v>Static</v>
      </c>
      <c r="E166" s="8"/>
    </row>
    <row r="167" spans="2:5" ht="20" customHeight="1" x14ac:dyDescent="0.2">
      <c r="B167" s="4" t="s">
        <v>3893</v>
      </c>
      <c r="C167" s="65" t="str">
        <f>IF(wld_dpg_separation_result="Included",CONCATENATE(prefix_wld_az1_cidr,"10.",(138 + (30*(wld_domain_number_chosen - 1))),"/24"),CONCATENATE(prefix_wld_az1_cidr,"11.",(138 + (30*(wld_domain_number_chosen - 1))),"/24"))</f>
        <v>10.13.11.138/24</v>
      </c>
      <c r="D167" s="66"/>
      <c r="E167" s="8"/>
    </row>
    <row r="168" spans="2:5" ht="20" customHeight="1" x14ac:dyDescent="0.2">
      <c r="B168" s="4" t="s">
        <v>247</v>
      </c>
      <c r="C168" s="65" t="str">
        <f>IF(wld_dpg_separation_result="Included",CONCATENATE(prefix_wld_az1_cidr,"10.1"),CONCATENATE(prefix_wld_az1_cidr,"11.1"))</f>
        <v>10.13.11.1</v>
      </c>
      <c r="D168" s="8" t="str">
        <f>wld_az1_mgmt_vm_gateway_ip</f>
        <v>Value Missing</v>
      </c>
      <c r="E168" s="371" t="s">
        <v>847</v>
      </c>
    </row>
    <row r="169" spans="2:5" ht="20" customHeight="1" x14ac:dyDescent="0.2">
      <c r="B169" s="4" t="s">
        <v>106</v>
      </c>
      <c r="C169" s="65" t="str">
        <f>CONCATENATE(this_instance,"-w0",wld_domain_number_chosen,"-cl01-vds01-pg-vm-mgmt")</f>
        <v>sfo-w01-cl01-vds01-pg-vm-mgmt</v>
      </c>
      <c r="D169" s="8" t="str">
        <f>wld_cl01_az1_mgmt_vm_pg</f>
        <v>Value Missing</v>
      </c>
      <c r="E169" s="371" t="s">
        <v>846</v>
      </c>
    </row>
    <row r="170" spans="2:5" ht="20" customHeight="1" x14ac:dyDescent="0.2">
      <c r="B170" s="421" t="s">
        <v>176</v>
      </c>
      <c r="C170" s="422"/>
      <c r="D170" s="422"/>
      <c r="E170" s="423"/>
    </row>
    <row r="171" spans="2:5" ht="20" customHeight="1" x14ac:dyDescent="0.2">
      <c r="B171" s="4" t="s">
        <v>177</v>
      </c>
      <c r="C171" s="103" t="s">
        <v>178</v>
      </c>
      <c r="D171" s="116" t="s">
        <v>178</v>
      </c>
      <c r="E171" s="4" t="str">
        <f>IF(wld_ec_api_chosen="Exclude","","Use the JSON Generator to create the JSON Spec ")</f>
        <v xml:space="preserve">Use the JSON Generator to create the JSON Spec </v>
      </c>
    </row>
    <row r="172" spans="2:5" ht="20" customHeight="1" x14ac:dyDescent="0.2">
      <c r="B172" s="424" t="s">
        <v>179</v>
      </c>
      <c r="C172" s="425"/>
      <c r="D172" s="425"/>
      <c r="E172" s="426"/>
    </row>
    <row r="173" spans="2:5" ht="20" customHeight="1" x14ac:dyDescent="0.2">
      <c r="B173" s="4" t="s">
        <v>180</v>
      </c>
      <c r="C173" s="103" t="str">
        <f>CONCATENATE(sample_wld_sddc_domain,"-cl01-vds01","-pg-uplink01")</f>
        <v>sfo-w01-cl01-vds01-pg-uplink01</v>
      </c>
      <c r="D173" s="66"/>
      <c r="E173" s="43" t="s">
        <v>866</v>
      </c>
    </row>
    <row r="174" spans="2:5" ht="20" customHeight="1" x14ac:dyDescent="0.2">
      <c r="B174" s="4" t="s">
        <v>182</v>
      </c>
      <c r="C174" s="103" t="str">
        <f>CONCATENATE(prefix_wld_az1_cidr,"17.1")</f>
        <v>10.13.17.1</v>
      </c>
      <c r="D174" s="66"/>
      <c r="E174" s="42"/>
    </row>
    <row r="175" spans="2:5" ht="20" customHeight="1" x14ac:dyDescent="0.2">
      <c r="B175" s="4" t="s">
        <v>183</v>
      </c>
      <c r="C175" s="103" t="str">
        <f>CONCATENATE(prefix_wld_az1_cidr,"17.0/24")</f>
        <v>10.13.17.0/24</v>
      </c>
      <c r="D175" s="66"/>
      <c r="E175" s="42"/>
    </row>
    <row r="176" spans="2:5" ht="20" customHeight="1" x14ac:dyDescent="0.2">
      <c r="B176" s="424" t="s">
        <v>184</v>
      </c>
      <c r="C176" s="425"/>
      <c r="D176" s="425"/>
      <c r="E176" s="426"/>
    </row>
    <row r="177" spans="2:5" ht="20" customHeight="1" x14ac:dyDescent="0.2">
      <c r="B177" s="4" t="s">
        <v>180</v>
      </c>
      <c r="C177" s="103" t="str">
        <f>CONCATENATE(sample_wld_sddc_domain,"-cl01-vds01","-pg-uplink02")</f>
        <v>sfo-w01-cl01-vds01-pg-uplink02</v>
      </c>
      <c r="D177" s="66"/>
      <c r="E177" s="43" t="s">
        <v>866</v>
      </c>
    </row>
    <row r="178" spans="2:5" ht="20" customHeight="1" x14ac:dyDescent="0.2">
      <c r="B178" s="4" t="s">
        <v>182</v>
      </c>
      <c r="C178" s="103" t="str">
        <f>CONCATENATE(prefix_wld_az1_cidr,"18.1")</f>
        <v>10.13.18.1</v>
      </c>
      <c r="D178" s="66"/>
      <c r="E178" s="42"/>
    </row>
    <row r="179" spans="2:5" ht="20" customHeight="1" x14ac:dyDescent="0.2">
      <c r="B179" s="4" t="s">
        <v>183</v>
      </c>
      <c r="C179" s="103" t="str">
        <f>CONCATENATE(prefix_wld_az1_cidr,"18.0/24")</f>
        <v>10.13.18.0/24</v>
      </c>
      <c r="D179" s="66"/>
      <c r="E179" s="42"/>
    </row>
    <row r="180" spans="2:5" ht="20" customHeight="1" x14ac:dyDescent="0.2">
      <c r="B180" s="424" t="s">
        <v>185</v>
      </c>
      <c r="C180" s="425"/>
      <c r="D180" s="425"/>
      <c r="E180" s="426"/>
    </row>
    <row r="181" spans="2:5" ht="20" customHeight="1" x14ac:dyDescent="0.2">
      <c r="B181" s="4" t="s">
        <v>157</v>
      </c>
      <c r="C181" s="103">
        <v>9000</v>
      </c>
      <c r="D181" s="66"/>
      <c r="E181" s="42"/>
    </row>
    <row r="182" spans="2:5" ht="16" customHeight="1" thickBot="1" x14ac:dyDescent="0.25"/>
    <row r="183" spans="2:5" ht="34" customHeight="1" thickBot="1" x14ac:dyDescent="0.25">
      <c r="B183" s="573" t="s">
        <v>3904</v>
      </c>
      <c r="C183" s="574"/>
      <c r="D183" s="574"/>
      <c r="E183" s="575"/>
    </row>
    <row r="184" spans="2:5" ht="20" customHeight="1" x14ac:dyDescent="0.2">
      <c r="B184" s="421" t="s">
        <v>3915</v>
      </c>
      <c r="C184" s="422"/>
      <c r="D184" s="422"/>
      <c r="E184" s="423"/>
    </row>
    <row r="185" spans="2:5" ht="20" customHeight="1" x14ac:dyDescent="0.2">
      <c r="B185" s="4" t="s">
        <v>3905</v>
      </c>
      <c r="C185" s="103" t="s">
        <v>3909</v>
      </c>
      <c r="D185" s="116" t="s">
        <v>3931</v>
      </c>
      <c r="E185" s="42"/>
    </row>
    <row r="186" spans="2:5" ht="20" customHeight="1" x14ac:dyDescent="0.2">
      <c r="B186" s="421" t="s">
        <v>3906</v>
      </c>
      <c r="C186" s="422"/>
      <c r="D186" s="422"/>
      <c r="E186" s="423"/>
    </row>
    <row r="187" spans="2:5" ht="20" customHeight="1" x14ac:dyDescent="0.2">
      <c r="B187" s="4" t="s">
        <v>3906</v>
      </c>
      <c r="C187" s="103" t="s">
        <v>3907</v>
      </c>
      <c r="D187" s="116" t="s">
        <v>3907</v>
      </c>
      <c r="E187" s="42"/>
    </row>
    <row r="188" spans="2:5" ht="20" customHeight="1" x14ac:dyDescent="0.2">
      <c r="B188" s="4" t="s">
        <v>3908</v>
      </c>
      <c r="C188" s="103" t="str">
        <f>CONCATENATE(this_instance,"-w01-sn01")</f>
        <v>sfo-w01-sn01</v>
      </c>
      <c r="D188" s="116"/>
      <c r="E188" s="42"/>
    </row>
    <row r="189" spans="2:5" ht="20" customHeight="1" x14ac:dyDescent="0.2">
      <c r="B189" s="4" t="s">
        <v>3910</v>
      </c>
      <c r="C189" s="103" t="s">
        <v>156</v>
      </c>
      <c r="D189" s="116" t="s">
        <v>156</v>
      </c>
      <c r="E189" s="42"/>
    </row>
    <row r="190" spans="2:5" ht="20" customHeight="1" x14ac:dyDescent="0.2">
      <c r="B190" s="4" t="s">
        <v>1730</v>
      </c>
      <c r="C190" s="103" t="str">
        <f>CONCATENATE(this_instance,"-w0",wld_domain_number_chosen,"-cl01")</f>
        <v>sfo-w01-cl01</v>
      </c>
      <c r="D190" s="116" t="str">
        <f>mgmt_cl01_cluster</f>
        <v>Value Missing</v>
      </c>
      <c r="E190" s="42"/>
    </row>
    <row r="191" spans="2:5" ht="20" customHeight="1" x14ac:dyDescent="0.2">
      <c r="B191" s="4" t="s">
        <v>3911</v>
      </c>
      <c r="C191" s="103" t="str">
        <f>CONCATENATE(this_instance,"-w0",wld_domain_number_chosen,"-zn01")</f>
        <v>sfo-w01-zn01</v>
      </c>
      <c r="D191" s="116"/>
      <c r="E191" s="42"/>
    </row>
    <row r="192" spans="2:5" ht="20" customHeight="1" x14ac:dyDescent="0.2">
      <c r="B192" s="421" t="s">
        <v>728</v>
      </c>
      <c r="C192" s="422"/>
      <c r="D192" s="422"/>
      <c r="E192" s="423"/>
    </row>
    <row r="193" spans="2:5" ht="20" customHeight="1" x14ac:dyDescent="0.2">
      <c r="B193" s="4" t="s">
        <v>3912</v>
      </c>
      <c r="C193" s="103" t="str">
        <f>CONCATENATE(this_instance,"-w0",wld_domain_number_chosen,"-cl01","- Optimal Datastore Default Policy - AutoRAID")</f>
        <v>sfo-w01-cl01- Optimal Datastore Default Policy - AutoRAID</v>
      </c>
      <c r="D193" s="116"/>
      <c r="E193" s="42"/>
    </row>
    <row r="194" spans="2:5" ht="20" customHeight="1" x14ac:dyDescent="0.2">
      <c r="B194" s="4" t="s">
        <v>3913</v>
      </c>
      <c r="C194" s="103" t="str">
        <f>CONCATENATE(this_instance,"-w0",wld_domain_number_chosen,"-cl01","- Optimal Datastore Default Policy - AutoRAID")</f>
        <v>sfo-w01-cl01- Optimal Datastore Default Policy - AutoRAID</v>
      </c>
      <c r="D194" s="116"/>
      <c r="E194" s="42"/>
    </row>
    <row r="195" spans="2:5" ht="20" customHeight="1" x14ac:dyDescent="0.2">
      <c r="B195" s="4" t="s">
        <v>3914</v>
      </c>
      <c r="C195" s="103" t="str">
        <f>CONCATENATE(this_instance,"-w0",wld_domain_number_chosen,"-cl01","- Optimal Datastore Default Policy - AutoRAID")</f>
        <v>sfo-w01-cl01- Optimal Datastore Default Policy - AutoRAID</v>
      </c>
      <c r="D195" s="116"/>
      <c r="E195" s="42"/>
    </row>
    <row r="196" spans="2:5" ht="20" customHeight="1" x14ac:dyDescent="0.2">
      <c r="B196" s="421" t="s">
        <v>273</v>
      </c>
      <c r="C196" s="422"/>
      <c r="D196" s="422"/>
      <c r="E196" s="423"/>
    </row>
    <row r="197" spans="2:5" ht="20" customHeight="1" x14ac:dyDescent="0.2">
      <c r="B197" s="4" t="s">
        <v>3916</v>
      </c>
      <c r="C197" s="103" t="s">
        <v>105</v>
      </c>
      <c r="D197" s="116" t="s">
        <v>105</v>
      </c>
      <c r="E197" s="42"/>
    </row>
    <row r="198" spans="2:5" ht="20" customHeight="1" x14ac:dyDescent="0.2">
      <c r="B198" s="4" t="s">
        <v>245</v>
      </c>
      <c r="C198" s="103" t="str">
        <f>CONCATENATE(this_instance,"-w0",wld_domain_number_chosen,"-cl01-vds01-pg-vm-mgmt")</f>
        <v>sfo-w01-cl01-vds01-pg-vm-mgmt</v>
      </c>
      <c r="D198" s="116" t="str">
        <f>wld_cl01_az1_mgmt_vm_pg</f>
        <v>Value Missing</v>
      </c>
      <c r="E198" s="42"/>
    </row>
    <row r="199" spans="2:5" ht="20" customHeight="1" x14ac:dyDescent="0.2">
      <c r="B199" s="4" t="s">
        <v>3917</v>
      </c>
      <c r="C199" s="103" t="str">
        <f>IF(mgmt_dpg_reuse_result="Excluded",CONCATENATE(prefix_wld_az1_cidr,"10.201"," - ",prefix_mgmt_az1_cidr,"10.205"),CONCATENATE(prefix_wld_az1_cidr,"11.201"," - ",prefix_wld_az1_cidr,"11.205"))</f>
        <v>10.13.11.201 - 10.13.11.205</v>
      </c>
      <c r="D199" s="116"/>
      <c r="E199" s="42"/>
    </row>
    <row r="200" spans="2:5" ht="20" customHeight="1" x14ac:dyDescent="0.2">
      <c r="B200" s="4" t="s">
        <v>246</v>
      </c>
      <c r="C200" s="103" t="s">
        <v>126</v>
      </c>
      <c r="D200" s="116" t="str">
        <f>wld_az1_mgmt_vm_mask</f>
        <v>Value Missing</v>
      </c>
      <c r="E200" s="42"/>
    </row>
    <row r="201" spans="2:5" ht="20" customHeight="1" x14ac:dyDescent="0.2">
      <c r="B201" s="4" t="s">
        <v>182</v>
      </c>
      <c r="C201" s="103" t="str">
        <f>IF(mgmt_dpg_reuse_result="Excluded",CONCATENATE(prefix_wld_az1_cidr,"10.1"),CONCATENATE(prefix_wld_az1_cidr,"11.1"))</f>
        <v>10.13.11.1</v>
      </c>
      <c r="D201" s="116" t="str">
        <f>wld_az1_mgmt_vm_gateway_ip</f>
        <v>Value Missing</v>
      </c>
      <c r="E201" s="42"/>
    </row>
    <row r="202" spans="2:5" ht="20" customHeight="1" x14ac:dyDescent="0.2">
      <c r="B202" s="4" t="s">
        <v>565</v>
      </c>
      <c r="C202" s="103" t="str">
        <f>IF(mgmt_dpg_reuse_result="Included",CONCATENATE(prefix_mgmt_az1_cidr,"10.4",",",,prefix_mgmt_az1_cidr,"10.5"),CONCATENATE(prefix_mgmt_az1_cidr,"11.4",",",,prefix_mgmt_az1_cidr,"11.5"))</f>
        <v>10.11.10.4,10.11.10.5</v>
      </c>
      <c r="D202" s="116"/>
      <c r="E202" s="42"/>
    </row>
    <row r="203" spans="2:5" ht="20" customHeight="1" x14ac:dyDescent="0.2">
      <c r="B203" s="4" t="s">
        <v>3918</v>
      </c>
      <c r="C203" s="103" t="str">
        <f>CONCATENATE(this_instance,".rainpole.io",",","rainpole.io")</f>
        <v>sfo.rainpole.io,rainpole.io</v>
      </c>
      <c r="D203" s="116"/>
      <c r="E203" s="42"/>
    </row>
    <row r="204" spans="2:5" ht="20" customHeight="1" x14ac:dyDescent="0.2">
      <c r="B204" s="4" t="s">
        <v>3919</v>
      </c>
      <c r="C204" s="103" t="str">
        <f>CONCATENATE("ntp0.",this_instance,".rainpole.io",",","ntp1.",this_instance,".rainpole.io")</f>
        <v>ntp0.sfo.rainpole.io,ntp1.sfo.rainpole.io</v>
      </c>
      <c r="D204" s="116"/>
      <c r="E204" s="42"/>
    </row>
    <row r="205" spans="2:5" ht="20" customHeight="1" x14ac:dyDescent="0.2">
      <c r="B205" s="421" t="s">
        <v>3920</v>
      </c>
      <c r="C205" s="422"/>
      <c r="D205" s="422"/>
      <c r="E205" s="423"/>
    </row>
    <row r="206" spans="2:5" ht="20" customHeight="1" x14ac:dyDescent="0.2">
      <c r="B206" s="4" t="s">
        <v>801</v>
      </c>
      <c r="C206" s="103" t="s">
        <v>745</v>
      </c>
      <c r="D206" s="116"/>
      <c r="E206" s="42"/>
    </row>
    <row r="207" spans="2:5" ht="20" customHeight="1" x14ac:dyDescent="0.2">
      <c r="B207" s="4" t="s">
        <v>802</v>
      </c>
      <c r="C207" s="103" t="s">
        <v>3926</v>
      </c>
      <c r="D207" s="116"/>
      <c r="E207" s="42"/>
    </row>
    <row r="208" spans="2:5" ht="20" customHeight="1" x14ac:dyDescent="0.2">
      <c r="B208" s="4" t="s">
        <v>3921</v>
      </c>
      <c r="C208" s="65" t="str">
        <f>CONCATENATE(this_instance,"-w0",wld_domain_number_chosen,"-vpc01-ext-ip-block")</f>
        <v>sfo-w01-vpc01-ext-ip-block</v>
      </c>
      <c r="D208" s="116"/>
      <c r="E208" s="42"/>
    </row>
    <row r="209" spans="2:5" ht="20" customHeight="1" x14ac:dyDescent="0.2">
      <c r="B209" s="4" t="s">
        <v>3922</v>
      </c>
      <c r="C209" s="65" t="str">
        <f>CONCATENATE(this_instance,"-w0",wld_domain_number_chosen,"-vpc01-priv-ip-block")</f>
        <v>sfo-w01-vpc01-priv-ip-block</v>
      </c>
      <c r="D209" s="116"/>
      <c r="E209" s="42"/>
    </row>
    <row r="210" spans="2:5" ht="20" customHeight="1" x14ac:dyDescent="0.2">
      <c r="B210" s="4" t="s">
        <v>3923</v>
      </c>
      <c r="C210" s="103" t="s">
        <v>3932</v>
      </c>
      <c r="D210" s="116"/>
      <c r="E210" s="42"/>
    </row>
    <row r="211" spans="2:5" ht="20" customHeight="1" x14ac:dyDescent="0.2">
      <c r="B211" s="4" t="s">
        <v>797</v>
      </c>
      <c r="C211" s="103" t="s">
        <v>3933</v>
      </c>
      <c r="D211" s="116"/>
      <c r="E211" s="42"/>
    </row>
    <row r="212" spans="2:5" ht="20" customHeight="1" x14ac:dyDescent="0.2">
      <c r="B212" s="4" t="s">
        <v>3924</v>
      </c>
      <c r="C212" s="103" t="str">
        <f>IF(mgmt_dpg_reuse_result="Included",CONCATENATE(prefix_mgmt_az1_cidr,"10.4",",",,prefix_mgmt_az1_cidr,"10.5"),CONCATENATE(prefix_mgmt_az1_cidr,"11.4",",",,prefix_mgmt_az1_cidr,"11.5"))</f>
        <v>10.11.10.4,10.11.10.5</v>
      </c>
      <c r="D212" s="116"/>
      <c r="E212" s="42"/>
    </row>
    <row r="213" spans="2:5" ht="20" customHeight="1" x14ac:dyDescent="0.2">
      <c r="B213" s="4" t="s">
        <v>3925</v>
      </c>
      <c r="C213" s="103" t="str">
        <f>CONCATENATE("ntp0.",this_instance,".rainpole.io"," , ","ntp0.",this_instance,".rainpole.io")</f>
        <v>ntp0.sfo.rainpole.io , ntp0.sfo.rainpole.io</v>
      </c>
      <c r="D213" s="116"/>
      <c r="E213" s="42"/>
    </row>
    <row r="214" spans="2:5" ht="20" customHeight="1" x14ac:dyDescent="0.2">
      <c r="B214" s="421" t="s">
        <v>3927</v>
      </c>
      <c r="C214" s="422"/>
      <c r="D214" s="422"/>
      <c r="E214" s="423"/>
    </row>
    <row r="215" spans="2:5" ht="20" customHeight="1" x14ac:dyDescent="0.2">
      <c r="B215" s="4" t="s">
        <v>3928</v>
      </c>
      <c r="C215" s="103" t="s">
        <v>539</v>
      </c>
      <c r="D215" s="116" t="s">
        <v>539</v>
      </c>
      <c r="E215" s="42"/>
    </row>
    <row r="216" spans="2:5" ht="20" customHeight="1" x14ac:dyDescent="0.2">
      <c r="B216" s="4" t="s">
        <v>3929</v>
      </c>
      <c r="C216" s="103" t="str">
        <f>CONCATENATE(this_instance,"-w0",wld_domain_number_chosen,"-supervisor.",sample_child_dns_zone)</f>
        <v>sfo-w01-supervisor.sfo.rainpole.io</v>
      </c>
      <c r="D216" s="116"/>
      <c r="E216" s="42"/>
    </row>
    <row r="217" spans="2:5" ht="20" customHeight="1" x14ac:dyDescent="0.2">
      <c r="B217" s="9"/>
      <c r="C217" s="9"/>
      <c r="D217" s="9"/>
    </row>
    <row r="218" spans="2:5" ht="34" customHeight="1" x14ac:dyDescent="0.2">
      <c r="B218" s="566" t="s">
        <v>187</v>
      </c>
      <c r="C218" s="567"/>
      <c r="D218" s="567"/>
      <c r="E218" s="568"/>
    </row>
    <row r="219" spans="2:5" ht="20" customHeight="1" x14ac:dyDescent="0.2">
      <c r="B219" s="421" t="s">
        <v>867</v>
      </c>
      <c r="C219" s="422"/>
      <c r="D219" s="422"/>
      <c r="E219" s="423"/>
    </row>
    <row r="220" spans="2:5" ht="20" customHeight="1" x14ac:dyDescent="0.2">
      <c r="B220" s="63" t="s">
        <v>18</v>
      </c>
      <c r="C220" s="63" t="s">
        <v>19</v>
      </c>
      <c r="D220" s="63" t="s">
        <v>20</v>
      </c>
      <c r="E220" s="63" t="s">
        <v>21</v>
      </c>
    </row>
    <row r="221" spans="2:5" ht="20" customHeight="1" x14ac:dyDescent="0.2">
      <c r="B221" s="421" t="s">
        <v>188</v>
      </c>
      <c r="C221" s="422"/>
      <c r="D221" s="422"/>
      <c r="E221" s="423"/>
    </row>
    <row r="222" spans="2:5" ht="20" customHeight="1" x14ac:dyDescent="0.2">
      <c r="B222" s="4" t="s">
        <v>189</v>
      </c>
      <c r="C222" s="65" t="s">
        <v>190</v>
      </c>
      <c r="D222" s="1"/>
      <c r="E222" s="4"/>
    </row>
    <row r="223" spans="2:5" ht="20" customHeight="1" x14ac:dyDescent="0.2">
      <c r="B223" s="421" t="s">
        <v>191</v>
      </c>
      <c r="C223" s="422"/>
      <c r="D223" s="422"/>
      <c r="E223" s="423"/>
    </row>
    <row r="224" spans="2:5" ht="20" customHeight="1" x14ac:dyDescent="0.2">
      <c r="B224" s="4" t="s">
        <v>88</v>
      </c>
      <c r="C224" s="65" t="s">
        <v>92</v>
      </c>
      <c r="D224" s="66" t="s">
        <v>92</v>
      </c>
      <c r="E224" s="4"/>
    </row>
    <row r="225" spans="2:7" ht="20" customHeight="1" x14ac:dyDescent="0.2">
      <c r="B225" s="421" t="s">
        <v>192</v>
      </c>
      <c r="C225" s="422"/>
      <c r="D225" s="422"/>
      <c r="E225" s="423"/>
    </row>
    <row r="226" spans="2:7" ht="20" customHeight="1" x14ac:dyDescent="0.2">
      <c r="B226" s="4" t="s">
        <v>193</v>
      </c>
      <c r="C226" s="65" t="str">
        <f>sample_avilb_root_password</f>
        <v>VMw@re1!VMw@re1!</v>
      </c>
      <c r="D226" s="66"/>
      <c r="E226" s="4"/>
    </row>
    <row r="227" spans="2:7" ht="20" customHeight="1" x14ac:dyDescent="0.2">
      <c r="B227" s="4" t="s">
        <v>195</v>
      </c>
      <c r="C227" s="109" t="str">
        <f>IF(mgmt_dpg_reuse_result="Included",CONCATENATE(prefix_mgmt_az1_cidr,"10.",(152 + (30*(wld_domain_number_chosen - 1)))),CONCATENATE(prefix_mgmt_az1_cidr,"11.",(152 + (30*(wld_domain_number_chosen - 1)))))</f>
        <v>10.11.10.152</v>
      </c>
      <c r="D227" s="66"/>
      <c r="E227" s="4"/>
    </row>
    <row r="228" spans="2:7" ht="20" customHeight="1" x14ac:dyDescent="0.2">
      <c r="B228" s="4" t="s">
        <v>197</v>
      </c>
      <c r="C228" s="109" t="str">
        <f>IF(mgmt_dpg_reuse_result="Included",CONCATENATE(prefix_mgmt_az1_cidr,"10.",(153 + (30*(wld_domain_number_chosen - 1)))),CONCATENATE(prefix_mgmt_az1_cidr,"11.",(153 + (30*(wld_domain_number_chosen - 1)))))</f>
        <v>10.11.10.153</v>
      </c>
      <c r="D228" s="66"/>
      <c r="E228" s="4"/>
    </row>
    <row r="229" spans="2:7" ht="20" customHeight="1" x14ac:dyDescent="0.2">
      <c r="B229" s="4" t="s">
        <v>199</v>
      </c>
      <c r="C229" s="109" t="str">
        <f>IF(mgmt_dpg_reuse_result="Included",CONCATENATE(prefix_mgmt_az1_cidr,"10.",(154 + (30*(wld_domain_number_chosen - 1)))),CONCATENATE(prefix_mgmt_az1_cidr,"11.",(154 + (30*(wld_domain_number_chosen - 1)))))</f>
        <v>10.11.10.154</v>
      </c>
      <c r="D229" s="66"/>
      <c r="E229" s="4"/>
    </row>
    <row r="230" spans="2:7" ht="20" customHeight="1" x14ac:dyDescent="0.2">
      <c r="B230" s="4" t="s">
        <v>201</v>
      </c>
      <c r="C230" s="109" t="str">
        <f>IF(mgmt_dpg_reuse_result="Included",CONCATENATE(prefix_mgmt_az1_cidr,"10.",(151 + (30*(wld_domain_number_chosen - 1)))),CONCATENATE(prefix_mgmt_az1_cidr,"11.",(151 + (30*(wld_domain_number_chosen - 1)))))</f>
        <v>10.11.10.151</v>
      </c>
      <c r="D230" s="66"/>
      <c r="E230" s="4"/>
    </row>
    <row r="231" spans="2:7" ht="20" customHeight="1" x14ac:dyDescent="0.2">
      <c r="B231" s="4" t="s">
        <v>203</v>
      </c>
      <c r="C231" s="65" t="str">
        <f>CONCATENATE(this_instance,"-w0",wld_domain_number_chosen,"-avilb01",".",sample_child_dns_zone)</f>
        <v>sfo-w01-avilb01.sfo.rainpole.io</v>
      </c>
      <c r="D231" s="66"/>
      <c r="E231" s="4"/>
    </row>
    <row r="232" spans="2:7" ht="20" customHeight="1" x14ac:dyDescent="0.2">
      <c r="B232" s="4" t="s">
        <v>204</v>
      </c>
      <c r="C232" s="65" t="str">
        <f>CONCATENATE(this_instance,"-w01-cl01-avilb01")</f>
        <v>sfo-w01-cl01-avilb01</v>
      </c>
      <c r="D232" s="66"/>
      <c r="E232" s="4"/>
    </row>
    <row r="233" spans="2:7" ht="16" customHeight="1" x14ac:dyDescent="0.2"/>
    <row r="234" spans="2:7" ht="34" customHeight="1" x14ac:dyDescent="0.2">
      <c r="B234" s="586" t="s">
        <v>3655</v>
      </c>
      <c r="C234" s="587"/>
      <c r="D234" s="587"/>
      <c r="E234" s="588"/>
    </row>
    <row r="235" spans="2:7" ht="16" customHeight="1" x14ac:dyDescent="0.2">
      <c r="G235" s="36"/>
    </row>
    <row r="236" spans="2:7" ht="34" customHeight="1" x14ac:dyDescent="0.2">
      <c r="B236" s="569" t="s">
        <v>703</v>
      </c>
      <c r="C236" s="570"/>
      <c r="D236" s="570"/>
      <c r="E236" s="571"/>
    </row>
    <row r="237" spans="2:7" ht="20" customHeight="1" x14ac:dyDescent="0.2">
      <c r="B237" s="601"/>
      <c r="C237" s="601"/>
      <c r="D237" s="601"/>
      <c r="E237" s="601"/>
    </row>
    <row r="238" spans="2:7" ht="20" customHeight="1" x14ac:dyDescent="0.2">
      <c r="B238" s="63" t="s">
        <v>18</v>
      </c>
      <c r="C238" s="63" t="s">
        <v>19</v>
      </c>
      <c r="D238" s="63" t="s">
        <v>20</v>
      </c>
      <c r="E238" s="63" t="s">
        <v>21</v>
      </c>
    </row>
    <row r="239" spans="2:7" ht="20" customHeight="1" x14ac:dyDescent="0.2">
      <c r="B239" s="424" t="s">
        <v>206</v>
      </c>
      <c r="C239" s="425"/>
      <c r="D239" s="425"/>
      <c r="E239" s="426"/>
    </row>
    <row r="240" spans="2:7" ht="20" customHeight="1" x14ac:dyDescent="0.2">
      <c r="B240" s="4" t="s">
        <v>85</v>
      </c>
      <c r="C240" s="103" t="str">
        <f>CONCATENATE(prefix_wld_az2_vlan,"11")</f>
        <v>1411</v>
      </c>
      <c r="D240" s="66"/>
      <c r="E240" s="113"/>
    </row>
    <row r="241" spans="2:5" ht="20" customHeight="1" x14ac:dyDescent="0.2">
      <c r="B241" s="4" t="s">
        <v>182</v>
      </c>
      <c r="C241" s="103" t="str">
        <f>CONCATENATE(prefix_wld_az2_cidr,"11.1")</f>
        <v>10.14.11.1</v>
      </c>
      <c r="D241" s="66"/>
      <c r="E241" s="42"/>
    </row>
    <row r="242" spans="2:5" ht="20" customHeight="1" x14ac:dyDescent="0.2">
      <c r="B242" s="4" t="s">
        <v>183</v>
      </c>
      <c r="C242" s="103" t="str">
        <f>CONCATENATE(prefix_wld_az2_cidr,"11.0/24")</f>
        <v>10.14.11.0/24</v>
      </c>
      <c r="D242" s="66"/>
      <c r="E242" s="42"/>
    </row>
    <row r="243" spans="2:5" ht="20" customHeight="1" x14ac:dyDescent="0.2">
      <c r="B243" s="4" t="s">
        <v>157</v>
      </c>
      <c r="C243" s="103">
        <v>1500</v>
      </c>
      <c r="D243" s="66"/>
      <c r="E243" s="42"/>
    </row>
    <row r="244" spans="2:5" ht="20" customHeight="1" x14ac:dyDescent="0.2">
      <c r="B244" s="556" t="s">
        <v>207</v>
      </c>
      <c r="C244" s="557"/>
      <c r="D244" s="557"/>
      <c r="E244" s="558"/>
    </row>
    <row r="245" spans="2:5" ht="20" customHeight="1" x14ac:dyDescent="0.2">
      <c r="B245" s="23" t="s">
        <v>208</v>
      </c>
      <c r="C245" s="109" t="str">
        <f>CONCATENATE(prefix_wld_az2_cidr,"11.101")</f>
        <v>10.14.11.101</v>
      </c>
      <c r="D245" s="66"/>
      <c r="E245" s="163" t="s">
        <v>209</v>
      </c>
    </row>
    <row r="246" spans="2:5" ht="20" customHeight="1" x14ac:dyDescent="0.2">
      <c r="B246" s="23" t="s">
        <v>210</v>
      </c>
      <c r="C246" s="109" t="str">
        <f>CONCATENATE(prefix_wld_az2_cidr,"11.102")</f>
        <v>10.14.11.102</v>
      </c>
      <c r="D246" s="66"/>
      <c r="E246" s="163" t="s">
        <v>211</v>
      </c>
    </row>
    <row r="247" spans="2:5" ht="20" customHeight="1" x14ac:dyDescent="0.2">
      <c r="B247" s="23" t="s">
        <v>212</v>
      </c>
      <c r="C247" s="109" t="str">
        <f>CONCATENATE(prefix_wld_az2_cidr,"11.103")</f>
        <v>10.14.11.103</v>
      </c>
      <c r="D247" s="66"/>
      <c r="E247" s="163" t="s">
        <v>213</v>
      </c>
    </row>
    <row r="248" spans="2:5" ht="20" customHeight="1" x14ac:dyDescent="0.2">
      <c r="B248" s="23" t="s">
        <v>214</v>
      </c>
      <c r="C248" s="109" t="str">
        <f>CONCATENATE(prefix_wld_az2_cidr,"11.104")</f>
        <v>10.14.11.104</v>
      </c>
      <c r="D248" s="66"/>
      <c r="E248" s="163" t="s">
        <v>215</v>
      </c>
    </row>
    <row r="249" spans="2:5" ht="20" customHeight="1" x14ac:dyDescent="0.2">
      <c r="B249" s="23" t="s">
        <v>216</v>
      </c>
      <c r="C249" s="109" t="str">
        <f>CONCATENATE(prefix_wld_az2_cidr,"11.105")</f>
        <v>10.14.11.105</v>
      </c>
      <c r="D249" s="66"/>
      <c r="E249" s="163" t="s">
        <v>217</v>
      </c>
    </row>
    <row r="250" spans="2:5" ht="20" customHeight="1" x14ac:dyDescent="0.2">
      <c r="B250" s="23" t="s">
        <v>218</v>
      </c>
      <c r="C250" s="109" t="str">
        <f>CONCATENATE(prefix_wld_az2_cidr,"11.106")</f>
        <v>10.14.11.106</v>
      </c>
      <c r="D250" s="66"/>
      <c r="E250" s="163" t="s">
        <v>219</v>
      </c>
    </row>
    <row r="251" spans="2:5" ht="20" customHeight="1" x14ac:dyDescent="0.2">
      <c r="B251" s="23" t="s">
        <v>220</v>
      </c>
      <c r="C251" s="109" t="str">
        <f>CONCATENATE(prefix_wld_az2_cidr,"11.107")</f>
        <v>10.14.11.107</v>
      </c>
      <c r="D251" s="66"/>
      <c r="E251" s="163" t="s">
        <v>221</v>
      </c>
    </row>
    <row r="252" spans="2:5" ht="20" customHeight="1" x14ac:dyDescent="0.2">
      <c r="B252" s="23" t="s">
        <v>222</v>
      </c>
      <c r="C252" s="109" t="str">
        <f>CONCATENATE(prefix_wld_az2_cidr,"11.108")</f>
        <v>10.14.11.108</v>
      </c>
      <c r="D252" s="66"/>
      <c r="E252" s="163" t="s">
        <v>223</v>
      </c>
    </row>
    <row r="253" spans="2:5" ht="20" customHeight="1" x14ac:dyDescent="0.2">
      <c r="B253" s="23" t="s">
        <v>224</v>
      </c>
      <c r="C253" s="109" t="str">
        <f>CONCATENATE(prefix_wld_az2_cidr,"11.109")</f>
        <v>10.14.11.109</v>
      </c>
      <c r="D253" s="66"/>
      <c r="E253" s="163" t="s">
        <v>225</v>
      </c>
    </row>
    <row r="254" spans="2:5" ht="20" customHeight="1" x14ac:dyDescent="0.2">
      <c r="B254" s="23" t="s">
        <v>226</v>
      </c>
      <c r="C254" s="109" t="str">
        <f>CONCATENATE(prefix_wld_az2_cidr,"11.110")</f>
        <v>10.14.11.110</v>
      </c>
      <c r="D254" s="66"/>
      <c r="E254" s="163" t="s">
        <v>227</v>
      </c>
    </row>
    <row r="255" spans="2:5" ht="20" customHeight="1" x14ac:dyDescent="0.2">
      <c r="B255" s="23" t="s">
        <v>228</v>
      </c>
      <c r="C255" s="109" t="str">
        <f>CONCATENATE(prefix_wld_az2_cidr,"11.111")</f>
        <v>10.14.11.111</v>
      </c>
      <c r="D255" s="66"/>
      <c r="E255" s="163" t="s">
        <v>229</v>
      </c>
    </row>
    <row r="256" spans="2:5" ht="20" customHeight="1" x14ac:dyDescent="0.2">
      <c r="B256" s="23" t="s">
        <v>230</v>
      </c>
      <c r="C256" s="109" t="str">
        <f>CONCATENATE(prefix_wld_az2_cidr,"11.112")</f>
        <v>10.14.11.112</v>
      </c>
      <c r="D256" s="66"/>
      <c r="E256" s="163" t="s">
        <v>231</v>
      </c>
    </row>
    <row r="257" spans="2:7" ht="20" customHeight="1" x14ac:dyDescent="0.2">
      <c r="B257" s="23" t="s">
        <v>232</v>
      </c>
      <c r="C257" s="109" t="str">
        <f>CONCATENATE(prefix_wld_az2_cidr,"11.113")</f>
        <v>10.14.11.113</v>
      </c>
      <c r="D257" s="66"/>
      <c r="E257" s="163" t="s">
        <v>233</v>
      </c>
    </row>
    <row r="258" spans="2:7" ht="20" customHeight="1" x14ac:dyDescent="0.2">
      <c r="B258" s="23" t="s">
        <v>234</v>
      </c>
      <c r="C258" s="109" t="str">
        <f>CONCATENATE(prefix_wld_az2_cidr,"11.114")</f>
        <v>10.14.11.114</v>
      </c>
      <c r="D258" s="66"/>
      <c r="E258" s="163" t="s">
        <v>235</v>
      </c>
    </row>
    <row r="259" spans="2:7" ht="20" customHeight="1" x14ac:dyDescent="0.2">
      <c r="B259" s="23" t="s">
        <v>236</v>
      </c>
      <c r="C259" s="109" t="str">
        <f>CONCATENATE(prefix_wld_az2_cidr,"11.115")</f>
        <v>10.14.11.115</v>
      </c>
      <c r="D259" s="66"/>
      <c r="E259" s="163" t="s">
        <v>237</v>
      </c>
    </row>
    <row r="260" spans="2:7" ht="20" customHeight="1" x14ac:dyDescent="0.2">
      <c r="B260" s="23" t="s">
        <v>238</v>
      </c>
      <c r="C260" s="109" t="str">
        <f>CONCATENATE(prefix_wld_az2_cidr,"11.116")</f>
        <v>10.14.11.116</v>
      </c>
      <c r="D260" s="66"/>
      <c r="E260" s="163" t="s">
        <v>239</v>
      </c>
    </row>
    <row r="261" spans="2:7" ht="16" customHeight="1" x14ac:dyDescent="0.2">
      <c r="D261" s="1"/>
      <c r="G261" s="36"/>
    </row>
    <row r="262" spans="2:7" ht="34" customHeight="1" x14ac:dyDescent="0.2">
      <c r="B262" s="569" t="s">
        <v>705</v>
      </c>
      <c r="C262" s="570"/>
      <c r="D262" s="570"/>
      <c r="E262" s="571"/>
    </row>
    <row r="263" spans="2:7" ht="20" customHeight="1" x14ac:dyDescent="0.2">
      <c r="B263" s="601"/>
      <c r="C263" s="601"/>
      <c r="D263" s="601"/>
      <c r="E263" s="601"/>
    </row>
    <row r="264" spans="2:7" ht="20" customHeight="1" x14ac:dyDescent="0.2">
      <c r="B264" s="63" t="s">
        <v>18</v>
      </c>
      <c r="C264" s="63" t="s">
        <v>19</v>
      </c>
      <c r="D264" s="63" t="s">
        <v>20</v>
      </c>
      <c r="E264" s="63" t="s">
        <v>21</v>
      </c>
    </row>
    <row r="265" spans="2:7" ht="20" customHeight="1" x14ac:dyDescent="0.2">
      <c r="B265" s="4" t="s">
        <v>241</v>
      </c>
      <c r="C265" s="65" t="s">
        <v>242</v>
      </c>
      <c r="D265" s="66" t="s">
        <v>242</v>
      </c>
      <c r="E265" s="4" t="str">
        <f>IF(wld_az2_reuse_vcf_networkpool_chosen="Re-use an existing VCF Network Pool","An exisiting VCF Network Pool will be reused for Host TEP assignment","A new VCF Network Pool will be created")</f>
        <v>A new VCF Network Pool will be created</v>
      </c>
    </row>
    <row r="266" spans="2:7" ht="20" customHeight="1" x14ac:dyDescent="0.2">
      <c r="B266" s="23" t="s">
        <v>243</v>
      </c>
      <c r="C266" s="103" t="str">
        <f>CONCATENATE(this_instance,"02-w0",wld_domain_number_chosen,"-r01-network-pool-01")</f>
        <v>sfo02-w01-r01-network-pool-01</v>
      </c>
      <c r="D266" s="66"/>
      <c r="E266" s="42"/>
    </row>
    <row r="267" spans="2:7" ht="20" customHeight="1" x14ac:dyDescent="0.2">
      <c r="B267" s="424" t="s">
        <v>244</v>
      </c>
      <c r="C267" s="425"/>
      <c r="D267" s="425"/>
      <c r="E267" s="426"/>
    </row>
    <row r="268" spans="2:7" ht="20" customHeight="1" x14ac:dyDescent="0.2">
      <c r="B268" s="4" t="s">
        <v>85</v>
      </c>
      <c r="C268" s="103" t="str">
        <f>CONCATENATE(prefix_wld_az2_vlan,"12")</f>
        <v>1412</v>
      </c>
      <c r="D268" s="66"/>
      <c r="E268" s="113"/>
    </row>
    <row r="269" spans="2:7" ht="20" customHeight="1" x14ac:dyDescent="0.2">
      <c r="B269" s="4" t="s">
        <v>157</v>
      </c>
      <c r="C269" s="103">
        <v>9000</v>
      </c>
      <c r="D269" s="66"/>
      <c r="E269" s="42"/>
    </row>
    <row r="270" spans="2:7" ht="20" customHeight="1" x14ac:dyDescent="0.2">
      <c r="B270" s="4" t="s">
        <v>245</v>
      </c>
      <c r="C270" s="103" t="str">
        <f>CONCATENATE(prefix_wld_az2_cidr,"12.0")</f>
        <v>10.14.12.0</v>
      </c>
      <c r="D270" s="66"/>
      <c r="E270" s="42"/>
    </row>
    <row r="271" spans="2:7" ht="20" customHeight="1" x14ac:dyDescent="0.2">
      <c r="B271" s="4" t="s">
        <v>278</v>
      </c>
      <c r="C271" s="103" t="s">
        <v>126</v>
      </c>
      <c r="D271" s="66"/>
      <c r="E271" s="42"/>
    </row>
    <row r="272" spans="2:7" ht="20" customHeight="1" x14ac:dyDescent="0.2">
      <c r="B272" s="4" t="s">
        <v>182</v>
      </c>
      <c r="C272" s="103" t="str">
        <f>CONCATENATE(prefix_wld_az2_cidr,"12.1")</f>
        <v>10.14.12.1</v>
      </c>
      <c r="D272" s="66"/>
      <c r="E272" s="42"/>
    </row>
    <row r="273" spans="2:5" ht="20" customHeight="1" x14ac:dyDescent="0.2">
      <c r="B273" s="23" t="s">
        <v>248</v>
      </c>
      <c r="C273" s="103" t="str">
        <f>CONCATENATE(prefix_wld_az2_cidr,"12.101")</f>
        <v>10.14.12.101</v>
      </c>
      <c r="D273" s="66"/>
      <c r="E273" s="42"/>
    </row>
    <row r="274" spans="2:5" ht="20" customHeight="1" x14ac:dyDescent="0.2">
      <c r="B274" s="23" t="s">
        <v>249</v>
      </c>
      <c r="C274" s="103" t="str">
        <f>CONCATENATE(prefix_wld_az2_cidr,"12.116")</f>
        <v>10.14.12.116</v>
      </c>
      <c r="D274" s="66"/>
      <c r="E274" s="42"/>
    </row>
    <row r="275" spans="2:5" ht="20" customHeight="1" x14ac:dyDescent="0.2">
      <c r="B275" s="424" t="s">
        <v>250</v>
      </c>
      <c r="C275" s="425"/>
      <c r="D275" s="425"/>
      <c r="E275" s="426"/>
    </row>
    <row r="276" spans="2:5" ht="20" customHeight="1" x14ac:dyDescent="0.2">
      <c r="B276" s="4" t="s">
        <v>85</v>
      </c>
      <c r="C276" s="103" t="str">
        <f>CONCATENATE(prefix_wld_az2_vlan,"13")</f>
        <v>1413</v>
      </c>
      <c r="D276" s="66"/>
      <c r="E276" s="42"/>
    </row>
    <row r="277" spans="2:5" ht="20" customHeight="1" x14ac:dyDescent="0.2">
      <c r="B277" s="4" t="s">
        <v>157</v>
      </c>
      <c r="C277" s="103">
        <v>9000</v>
      </c>
      <c r="D277" s="66"/>
      <c r="E277" s="42"/>
    </row>
    <row r="278" spans="2:5" ht="20" customHeight="1" x14ac:dyDescent="0.2">
      <c r="B278" s="4" t="s">
        <v>245</v>
      </c>
      <c r="C278" s="103" t="str">
        <f>CONCATENATE(prefix_wld_az2_cidr,"13.0")</f>
        <v>10.14.13.0</v>
      </c>
      <c r="D278" s="66"/>
      <c r="E278" s="80"/>
    </row>
    <row r="279" spans="2:5" ht="20" customHeight="1" x14ac:dyDescent="0.2">
      <c r="B279" s="4" t="s">
        <v>278</v>
      </c>
      <c r="C279" s="103" t="s">
        <v>126</v>
      </c>
      <c r="D279" s="66"/>
      <c r="E279" s="80"/>
    </row>
    <row r="280" spans="2:5" ht="20" customHeight="1" x14ac:dyDescent="0.2">
      <c r="B280" s="4" t="s">
        <v>182</v>
      </c>
      <c r="C280" s="103" t="str">
        <f>CONCATENATE(prefix_wld_az2_cidr,"13.1")</f>
        <v>10.14.13.1</v>
      </c>
      <c r="D280" s="66"/>
      <c r="E280" s="42" t="str">
        <f>IF(AND(mgmt_stretched_cluster_result="Included",mgmt_dpg_reuse_result="Excluded"),"Stretched L2","")</f>
        <v/>
      </c>
    </row>
    <row r="281" spans="2:5" ht="20" customHeight="1" x14ac:dyDescent="0.2">
      <c r="B281" s="23" t="s">
        <v>248</v>
      </c>
      <c r="C281" s="103" t="str">
        <f>CONCATENATE(prefix_wld_az2_cidr,"13.101")</f>
        <v>10.14.13.101</v>
      </c>
      <c r="D281" s="66"/>
      <c r="E281" s="80"/>
    </row>
    <row r="282" spans="2:5" ht="20" customHeight="1" x14ac:dyDescent="0.2">
      <c r="B282" s="23" t="s">
        <v>249</v>
      </c>
      <c r="C282" s="103" t="str">
        <f>CONCATENATE(prefix_wld_az2_cidr,"13.116")</f>
        <v>10.14.13.116</v>
      </c>
      <c r="D282" s="66"/>
      <c r="E282" s="80"/>
    </row>
    <row r="283" spans="2:5" ht="20" customHeight="1" x14ac:dyDescent="0.2">
      <c r="B283" s="424" t="str">
        <f>IF(wld_secondary_storage_chosen="Secondary NFS Storage Network","NFS Storage Network","vSAN Storage Client")</f>
        <v>vSAN Storage Client</v>
      </c>
      <c r="C283" s="425"/>
      <c r="D283" s="425"/>
      <c r="E283" s="426"/>
    </row>
    <row r="284" spans="2:5" ht="20" customHeight="1" x14ac:dyDescent="0.2">
      <c r="B284" s="4" t="s">
        <v>85</v>
      </c>
      <c r="C284" s="103" t="str">
        <f>CONCATENATE(prefix_wld_az2_vlan,"15")</f>
        <v>1415</v>
      </c>
      <c r="D284" s="66"/>
      <c r="E284" s="42"/>
    </row>
    <row r="285" spans="2:5" ht="20" customHeight="1" x14ac:dyDescent="0.2">
      <c r="B285" s="4" t="s">
        <v>157</v>
      </c>
      <c r="C285" s="103">
        <v>9000</v>
      </c>
      <c r="D285" s="66"/>
      <c r="E285" s="80"/>
    </row>
    <row r="286" spans="2:5" ht="20" customHeight="1" x14ac:dyDescent="0.2">
      <c r="B286" s="4" t="s">
        <v>245</v>
      </c>
      <c r="C286" s="103" t="str">
        <f>CONCATENATE(prefix_wld_az2_cidr,"15.0")</f>
        <v>10.14.15.0</v>
      </c>
      <c r="D286" s="66"/>
      <c r="E286" s="42"/>
    </row>
    <row r="287" spans="2:5" ht="20" customHeight="1" x14ac:dyDescent="0.2">
      <c r="B287" s="4" t="s">
        <v>278</v>
      </c>
      <c r="C287" s="103" t="s">
        <v>126</v>
      </c>
      <c r="D287" s="66"/>
      <c r="E287" s="42"/>
    </row>
    <row r="288" spans="2:5" ht="20" customHeight="1" x14ac:dyDescent="0.2">
      <c r="B288" s="4" t="s">
        <v>182</v>
      </c>
      <c r="C288" s="103" t="str">
        <f>CONCATENATE(prefix_wld_az2_cidr,"15.1")</f>
        <v>10.14.15.1</v>
      </c>
      <c r="D288" s="66"/>
      <c r="E288" s="42" t="str">
        <f>IF(AND(mgmt_stretched_cluster_result="Included",mgmt_dpg_reuse_result="Excluded"),"Stretched L2","")</f>
        <v/>
      </c>
    </row>
    <row r="289" spans="2:5" ht="20" customHeight="1" x14ac:dyDescent="0.2">
      <c r="B289" s="23" t="s">
        <v>248</v>
      </c>
      <c r="C289" s="103" t="str">
        <f>CONCATENATE(prefix_wld_az2_cidr,"15.101")</f>
        <v>10.14.15.101</v>
      </c>
      <c r="D289" s="66"/>
      <c r="E289" s="80"/>
    </row>
    <row r="290" spans="2:5" ht="20" customHeight="1" x14ac:dyDescent="0.2">
      <c r="B290" s="23" t="s">
        <v>249</v>
      </c>
      <c r="C290" s="103" t="str">
        <f>CONCATENATE(prefix_wld_az2_cidr,"15.116")</f>
        <v>10.14.15.116</v>
      </c>
      <c r="D290" s="66"/>
      <c r="E290" s="80"/>
    </row>
    <row r="291" spans="2:5" ht="20" customHeight="1" x14ac:dyDescent="0.2">
      <c r="B291" s="424" t="s">
        <v>706</v>
      </c>
      <c r="C291" s="425"/>
      <c r="D291" s="425"/>
      <c r="E291" s="426"/>
    </row>
    <row r="292" spans="2:5" ht="20" customHeight="1" x14ac:dyDescent="0.2">
      <c r="B292" s="4" t="s">
        <v>85</v>
      </c>
      <c r="C292" s="103" t="str">
        <f>CONCATENATE(prefix_wld_az2_vlan,"16")</f>
        <v>1416</v>
      </c>
      <c r="D292" s="66"/>
      <c r="E292" s="42"/>
    </row>
    <row r="293" spans="2:5" ht="20" customHeight="1" x14ac:dyDescent="0.2">
      <c r="B293" s="4" t="s">
        <v>157</v>
      </c>
      <c r="C293" s="103">
        <v>9000</v>
      </c>
      <c r="D293" s="66"/>
      <c r="E293" s="80"/>
    </row>
    <row r="294" spans="2:5" ht="20" customHeight="1" x14ac:dyDescent="0.2">
      <c r="B294" s="4" t="s">
        <v>245</v>
      </c>
      <c r="C294" s="103" t="str">
        <f>CONCATENATE(prefix_wld_az2_cidr,"16.0")</f>
        <v>10.14.16.0</v>
      </c>
      <c r="D294" s="66"/>
      <c r="E294" s="42"/>
    </row>
    <row r="295" spans="2:5" ht="20" customHeight="1" x14ac:dyDescent="0.2">
      <c r="B295" s="4" t="s">
        <v>278</v>
      </c>
      <c r="C295" s="103" t="s">
        <v>126</v>
      </c>
      <c r="D295" s="66"/>
      <c r="E295" s="42"/>
    </row>
    <row r="296" spans="2:5" ht="20" customHeight="1" x14ac:dyDescent="0.2">
      <c r="B296" s="4" t="s">
        <v>182</v>
      </c>
      <c r="C296" s="103" t="str">
        <f>CONCATENATE(prefix_wld_az2_cidr,"16.1")</f>
        <v>10.14.16.1</v>
      </c>
      <c r="D296" s="66"/>
      <c r="E296" s="42" t="str">
        <f>IF(AND(mgmt_stretched_cluster_result="Included",mgmt_dpg_reuse_result="Excluded"),"Stretched L2","")</f>
        <v/>
      </c>
    </row>
    <row r="297" spans="2:5" ht="20" customHeight="1" x14ac:dyDescent="0.2">
      <c r="B297" s="23" t="s">
        <v>248</v>
      </c>
      <c r="C297" s="103" t="str">
        <f>CONCATENATE(prefix_wld_az2_cidr,"16.101")</f>
        <v>10.14.16.101</v>
      </c>
      <c r="D297" s="66"/>
      <c r="E297" s="80"/>
    </row>
    <row r="298" spans="2:5" ht="20" customHeight="1" x14ac:dyDescent="0.2">
      <c r="B298" s="23" t="s">
        <v>249</v>
      </c>
      <c r="C298" s="103" t="str">
        <f>CONCATENATE(prefix_wld_az2_cidr,"16.116")</f>
        <v>10.14.16.116</v>
      </c>
      <c r="D298" s="66"/>
      <c r="E298" s="80"/>
    </row>
    <row r="299" spans="2:5" ht="16" customHeight="1" x14ac:dyDescent="0.2"/>
    <row r="300" spans="2:5" ht="34" customHeight="1" x14ac:dyDescent="0.2">
      <c r="B300" s="569" t="s">
        <v>707</v>
      </c>
      <c r="C300" s="570"/>
      <c r="D300" s="570"/>
      <c r="E300" s="571"/>
    </row>
    <row r="301" spans="2:5" ht="20" customHeight="1" x14ac:dyDescent="0.2">
      <c r="B301" s="601"/>
      <c r="C301" s="601"/>
      <c r="D301" s="601"/>
      <c r="E301" s="601"/>
    </row>
    <row r="302" spans="2:5" ht="20" customHeight="1" x14ac:dyDescent="0.2">
      <c r="B302" s="63" t="s">
        <v>18</v>
      </c>
      <c r="C302" s="63" t="s">
        <v>19</v>
      </c>
      <c r="D302" s="63" t="s">
        <v>20</v>
      </c>
      <c r="E302" s="63" t="s">
        <v>21</v>
      </c>
    </row>
    <row r="303" spans="2:5" ht="20" customHeight="1" x14ac:dyDescent="0.2">
      <c r="B303" s="23" t="s">
        <v>208</v>
      </c>
      <c r="C303" s="180" t="str">
        <f>CONCATENATE(this_instance,"02-w0",wld_domain_number_chosen,"-r01-esx01",".",sample_child_dns_zone)</f>
        <v>sfo02-w01-r01-esx01.sfo.rainpole.io</v>
      </c>
      <c r="D303" s="209"/>
      <c r="E303" s="42"/>
    </row>
    <row r="304" spans="2:5" ht="20" customHeight="1" x14ac:dyDescent="0.2">
      <c r="B304" s="23" t="s">
        <v>210</v>
      </c>
      <c r="C304" s="210" t="str">
        <f>CONCATENATE(this_instance,"02-w0",wld_domain_number_chosen,"-r01-esx02",".",sample_child_dns_zone)</f>
        <v>sfo02-w01-r01-esx02.sfo.rainpole.io</v>
      </c>
      <c r="D304" s="209"/>
      <c r="E304" s="42"/>
    </row>
    <row r="305" spans="2:5" ht="20" customHeight="1" x14ac:dyDescent="0.2">
      <c r="B305" s="23" t="s">
        <v>212</v>
      </c>
      <c r="C305" s="210" t="str">
        <f>CONCATENATE(this_instance,"02-w0",wld_domain_number_chosen,"-r01-esx03",".",sample_child_dns_zone)</f>
        <v>sfo02-w01-r01-esx03.sfo.rainpole.io</v>
      </c>
      <c r="D305" s="209"/>
      <c r="E305" s="42"/>
    </row>
    <row r="306" spans="2:5" ht="20" customHeight="1" x14ac:dyDescent="0.2">
      <c r="B306" s="23" t="s">
        <v>214</v>
      </c>
      <c r="C306" s="210" t="str">
        <f>CONCATENATE(this_instance,"02-w0",wld_domain_number_chosen,"-r01-esx04",".",sample_child_dns_zone)</f>
        <v>sfo02-w01-r01-esx04.sfo.rainpole.io</v>
      </c>
      <c r="D306" s="209"/>
      <c r="E306" s="42"/>
    </row>
    <row r="307" spans="2:5" ht="20" customHeight="1" x14ac:dyDescent="0.2">
      <c r="B307" s="23" t="s">
        <v>216</v>
      </c>
      <c r="C307" s="210" t="str">
        <f>CONCATENATE(this_instance,"02-w0",wld_domain_number_chosen,"-r01-esx05",".",sample_child_dns_zone)</f>
        <v>sfo02-w01-r01-esx05.sfo.rainpole.io</v>
      </c>
      <c r="D307" s="209"/>
      <c r="E307" s="42"/>
    </row>
    <row r="308" spans="2:5" ht="20" customHeight="1" x14ac:dyDescent="0.2">
      <c r="B308" s="23" t="s">
        <v>218</v>
      </c>
      <c r="C308" s="210" t="str">
        <f>CONCATENATE(this_instance,"02-w0",wld_domain_number_chosen,"-r01-esx06",".",sample_child_dns_zone)</f>
        <v>sfo02-w01-r01-esx06.sfo.rainpole.io</v>
      </c>
      <c r="D308" s="209"/>
      <c r="E308" s="42"/>
    </row>
    <row r="309" spans="2:5" ht="20" customHeight="1" x14ac:dyDescent="0.2">
      <c r="B309" s="23" t="s">
        <v>220</v>
      </c>
      <c r="C309" s="210" t="str">
        <f>CONCATENATE(this_instance,"02-w0",wld_domain_number_chosen,"-r01-esx07",".",sample_child_dns_zone)</f>
        <v>sfo02-w01-r01-esx07.sfo.rainpole.io</v>
      </c>
      <c r="D309" s="209"/>
      <c r="E309" s="42"/>
    </row>
    <row r="310" spans="2:5" ht="20" customHeight="1" x14ac:dyDescent="0.2">
      <c r="B310" s="23" t="s">
        <v>222</v>
      </c>
      <c r="C310" s="210" t="str">
        <f>CONCATENATE(this_instance,"02-w0",wld_domain_number_chosen,"-r01-esx08",".",sample_child_dns_zone)</f>
        <v>sfo02-w01-r01-esx08.sfo.rainpole.io</v>
      </c>
      <c r="D310" s="209"/>
      <c r="E310" s="42"/>
    </row>
    <row r="311" spans="2:5" ht="20" customHeight="1" x14ac:dyDescent="0.2">
      <c r="B311" s="23" t="s">
        <v>224</v>
      </c>
      <c r="C311" s="210" t="str">
        <f>CONCATENATE(this_instance,"02-w0",wld_domain_number_chosen,"-r01-esx09",".",sample_child_dns_zone)</f>
        <v>sfo02-w01-r01-esx09.sfo.rainpole.io</v>
      </c>
      <c r="D311" s="209"/>
      <c r="E311" s="42"/>
    </row>
    <row r="312" spans="2:5" ht="20" customHeight="1" x14ac:dyDescent="0.2">
      <c r="B312" s="23" t="s">
        <v>226</v>
      </c>
      <c r="C312" s="210" t="str">
        <f>CONCATENATE(this_instance,"02-w0",wld_domain_number_chosen,"-r01-esx10",".",sample_child_dns_zone)</f>
        <v>sfo02-w01-r01-esx10.sfo.rainpole.io</v>
      </c>
      <c r="D312" s="209"/>
      <c r="E312" s="42"/>
    </row>
    <row r="313" spans="2:5" ht="20" customHeight="1" x14ac:dyDescent="0.2">
      <c r="B313" s="23" t="s">
        <v>228</v>
      </c>
      <c r="C313" s="210" t="str">
        <f>CONCATENATE(this_instance,"02-w0",wld_domain_number_chosen,"-r01-esx11",".",sample_child_dns_zone)</f>
        <v>sfo02-w01-r01-esx11.sfo.rainpole.io</v>
      </c>
      <c r="D313" s="209"/>
      <c r="E313" s="42"/>
    </row>
    <row r="314" spans="2:5" ht="20" customHeight="1" x14ac:dyDescent="0.2">
      <c r="B314" s="23" t="s">
        <v>230</v>
      </c>
      <c r="C314" s="210" t="str">
        <f>CONCATENATE(this_instance,"02-w0",wld_domain_number_chosen,"-r01-esx12",".",sample_child_dns_zone)</f>
        <v>sfo02-w01-r01-esx12.sfo.rainpole.io</v>
      </c>
      <c r="D314" s="209"/>
      <c r="E314" s="42"/>
    </row>
    <row r="315" spans="2:5" ht="20" customHeight="1" x14ac:dyDescent="0.2">
      <c r="B315" s="23" t="s">
        <v>232</v>
      </c>
      <c r="C315" s="210" t="str">
        <f>CONCATENATE(this_instance,"02-w0",wld_domain_number_chosen,"-r01-esx13",".",sample_child_dns_zone)</f>
        <v>sfo02-w01-r01-esx13.sfo.rainpole.io</v>
      </c>
      <c r="D315" s="209"/>
      <c r="E315" s="42"/>
    </row>
    <row r="316" spans="2:5" ht="20" customHeight="1" x14ac:dyDescent="0.2">
      <c r="B316" s="23" t="s">
        <v>234</v>
      </c>
      <c r="C316" s="210" t="str">
        <f>CONCATENATE(this_instance,"02-w0",wld_domain_number_chosen,"-r01-esx14",".",sample_child_dns_zone)</f>
        <v>sfo02-w01-r01-esx14.sfo.rainpole.io</v>
      </c>
      <c r="D316" s="209"/>
      <c r="E316" s="42"/>
    </row>
    <row r="317" spans="2:5" ht="20" customHeight="1" x14ac:dyDescent="0.2">
      <c r="B317" s="23" t="s">
        <v>236</v>
      </c>
      <c r="C317" s="210" t="str">
        <f>CONCATENATE(this_instance,"02-w0",wld_domain_number_chosen,"-r01-esx15",".",sample_child_dns_zone)</f>
        <v>sfo02-w01-r01-esx15.sfo.rainpole.io</v>
      </c>
      <c r="D317" s="209"/>
      <c r="E317" s="42"/>
    </row>
    <row r="318" spans="2:5" ht="20" customHeight="1" x14ac:dyDescent="0.2">
      <c r="B318" s="23" t="s">
        <v>238</v>
      </c>
      <c r="C318" s="210" t="str">
        <f>CONCATENATE(this_instance,"02-w0",wld_domain_number_chosen,"-r01-esx16",".",sample_child_dns_zone)</f>
        <v>sfo02-w01-r01-esx16.sfo.rainpole.io</v>
      </c>
      <c r="D318" s="209"/>
      <c r="E318" s="42"/>
    </row>
    <row r="319" spans="2:5" ht="20" customHeight="1" x14ac:dyDescent="0.2">
      <c r="B319" s="23" t="s">
        <v>257</v>
      </c>
      <c r="C319" s="100" t="s">
        <v>665</v>
      </c>
      <c r="D319" s="211" t="str">
        <f>IF(wld_principal_storage_chosen="vSAN-ESA","Selected","Unselected")</f>
        <v>Selected</v>
      </c>
      <c r="E319" s="42"/>
    </row>
    <row r="320" spans="2:5" ht="20" customHeight="1" x14ac:dyDescent="0.2">
      <c r="B320" s="23" t="s">
        <v>259</v>
      </c>
      <c r="C320" s="100" t="s">
        <v>260</v>
      </c>
      <c r="D320" s="209" t="s">
        <v>260</v>
      </c>
      <c r="E320" s="42"/>
    </row>
    <row r="321" spans="2:5" ht="20" customHeight="1" x14ac:dyDescent="0.2">
      <c r="B321" s="23" t="s">
        <v>261</v>
      </c>
      <c r="C321" s="100" t="s">
        <v>156</v>
      </c>
      <c r="D321" s="211" t="str">
        <f>IF(OR(wld_principal_storage_chosen="vSAN-ESA",wld_principal_storage_chosen="vSAN Storage Cluster"),"Selected","Unselected")</f>
        <v>Selected</v>
      </c>
      <c r="E321" s="42"/>
    </row>
    <row r="322" spans="2:5" ht="20" customHeight="1" x14ac:dyDescent="0.2">
      <c r="B322" s="23" t="s">
        <v>243</v>
      </c>
      <c r="C322" s="100" t="str">
        <f>sample_wld_az2_pool_name</f>
        <v>sfo02-w01-r01-network-pool-01</v>
      </c>
      <c r="D322" s="211" t="str">
        <f>wld_az2_pool_name</f>
        <v>Value Missing</v>
      </c>
      <c r="E322" s="42"/>
    </row>
    <row r="323" spans="2:5" ht="20" customHeight="1" x14ac:dyDescent="0.2">
      <c r="B323" s="23" t="s">
        <v>47</v>
      </c>
      <c r="C323" s="100" t="s">
        <v>262</v>
      </c>
      <c r="D323" s="209"/>
      <c r="E323" s="42"/>
    </row>
    <row r="324" spans="2:5" ht="20" customHeight="1" x14ac:dyDescent="0.2">
      <c r="B324" s="23" t="s">
        <v>30</v>
      </c>
      <c r="C324" s="100" t="s">
        <v>31</v>
      </c>
      <c r="D324" s="209"/>
      <c r="E324" s="42"/>
    </row>
    <row r="325" spans="2:5" ht="16" customHeight="1" x14ac:dyDescent="0.2">
      <c r="B325" s="202"/>
      <c r="C325" s="202"/>
      <c r="D325" s="202"/>
    </row>
    <row r="326" spans="2:5" ht="20" customHeight="1" x14ac:dyDescent="0.2">
      <c r="B326" s="424" t="s">
        <v>868</v>
      </c>
      <c r="C326" s="425"/>
      <c r="D326" s="425"/>
      <c r="E326" s="426"/>
    </row>
    <row r="327" spans="2:5" ht="20" customHeight="1" x14ac:dyDescent="0.2">
      <c r="B327" s="63" t="s">
        <v>18</v>
      </c>
      <c r="C327" s="63" t="s">
        <v>19</v>
      </c>
      <c r="D327" s="63" t="s">
        <v>20</v>
      </c>
      <c r="E327" s="63" t="s">
        <v>21</v>
      </c>
    </row>
    <row r="328" spans="2:5" ht="20" customHeight="1" x14ac:dyDescent="0.2">
      <c r="B328" s="4" t="s">
        <v>85</v>
      </c>
      <c r="C328" s="103" t="str">
        <f>IF(mgmt_dpg_reuse_result="Included",CONCATENATE(prefix_wld_witness_vlan,"10"),CONCATENATE(prefix_wld_witness_vlan,"11"))</f>
        <v>2110</v>
      </c>
      <c r="D328" s="66"/>
      <c r="E328" s="42"/>
    </row>
    <row r="329" spans="2:5" ht="20" customHeight="1" x14ac:dyDescent="0.2">
      <c r="B329" s="4" t="s">
        <v>182</v>
      </c>
      <c r="C329" s="65" t="str">
        <f>IF(mgmt_dpg_reuse_result="Included",CONCATENATE(prefix_wld_witness_cidr,"10.1"),CONCATENATE(prefix_wld_witness_cidr,"11.1"))</f>
        <v>10.21.10.1</v>
      </c>
      <c r="D329" s="66"/>
      <c r="E329" s="42" t="str">
        <f>IF(AND(mgmt_stretched_cluster_result="Included",mgmt_dpg_reuse_result="Excluded"),"Stretched L2","")</f>
        <v/>
      </c>
    </row>
    <row r="330" spans="2:5" ht="20" customHeight="1" x14ac:dyDescent="0.2">
      <c r="B330" s="4" t="s">
        <v>183</v>
      </c>
      <c r="C330" s="103" t="str">
        <f>IF(mgmt_dpg_reuse_result="Included",CONCATENATE(prefix_wld_witness_cidr,"10.0/24"),CONCATENATE(prefix_wld_witness_cidr,"11.0/24"))</f>
        <v>10.21.10.0/24</v>
      </c>
      <c r="D330" s="66"/>
      <c r="E330" s="42"/>
    </row>
    <row r="331" spans="2:5" ht="20" customHeight="1" x14ac:dyDescent="0.2">
      <c r="B331" s="4" t="s">
        <v>157</v>
      </c>
      <c r="C331" s="65">
        <f>sample_wld_witnessaz_mgmt_mtu</f>
        <v>1500</v>
      </c>
      <c r="D331" s="209"/>
      <c r="E331" s="42"/>
    </row>
    <row r="332" spans="2:5" ht="20" customHeight="1" x14ac:dyDescent="0.2"/>
    <row r="333" spans="2:5" ht="34" customHeight="1" x14ac:dyDescent="0.2">
      <c r="B333" s="569" t="s">
        <v>3559</v>
      </c>
      <c r="C333" s="570"/>
      <c r="D333" s="570"/>
      <c r="E333" s="571"/>
    </row>
    <row r="334" spans="2:5" ht="20" customHeight="1" x14ac:dyDescent="0.2">
      <c r="B334" s="379"/>
      <c r="C334" s="380"/>
      <c r="D334" s="380"/>
      <c r="E334" s="381"/>
    </row>
    <row r="335" spans="2:5" ht="20" customHeight="1" x14ac:dyDescent="0.2">
      <c r="B335" s="63" t="s">
        <v>18</v>
      </c>
      <c r="C335" s="63" t="s">
        <v>19</v>
      </c>
      <c r="D335" s="63" t="s">
        <v>20</v>
      </c>
      <c r="E335" s="63" t="s">
        <v>21</v>
      </c>
    </row>
    <row r="336" spans="2:5" ht="20" customHeight="1" x14ac:dyDescent="0.2">
      <c r="B336" s="4" t="s">
        <v>266</v>
      </c>
      <c r="C336" s="154" t="str">
        <f>CONCATENATE(other_instance,"-m01-vc01.",other_instance,".rainpole.io")</f>
        <v>lax-m01-vc01.lax.rainpole.io</v>
      </c>
      <c r="D336" s="66"/>
      <c r="E336" s="4"/>
    </row>
    <row r="337" spans="2:5" ht="20" customHeight="1" x14ac:dyDescent="0.2">
      <c r="B337" s="4" t="s">
        <v>268</v>
      </c>
      <c r="C337" s="109" t="str">
        <f>IF(mgmt_dpg_reuse_result="Included",CONCATENATE(prefix_other_region_az1_cidr,"10.70"),CONCATENATE(prefix_other_region_az1_cidr,"11.70"))</f>
        <v>10.21.10.70</v>
      </c>
      <c r="D337" s="66"/>
      <c r="E337" s="4"/>
    </row>
    <row r="338" spans="2:5" ht="20" customHeight="1" x14ac:dyDescent="0.2">
      <c r="B338" s="4" t="s">
        <v>269</v>
      </c>
      <c r="C338" s="154" t="str">
        <f>CONCATENATE(this_instance,"-w0",wld_domain_number_chosen,"-cl01-vsw01")</f>
        <v>sfo-w01-cl01-vsw01</v>
      </c>
      <c r="D338" s="66"/>
      <c r="E338" s="4"/>
    </row>
    <row r="339" spans="2:5" ht="20" customHeight="1" x14ac:dyDescent="0.2">
      <c r="B339" s="4" t="s">
        <v>270</v>
      </c>
      <c r="C339" s="65" t="str">
        <f>CONCATENATE(other_instance,"-m01-cl01")</f>
        <v>lax-m01-cl01</v>
      </c>
      <c r="D339" s="66"/>
      <c r="E339" s="4"/>
    </row>
    <row r="340" spans="2:5" ht="20" customHeight="1" x14ac:dyDescent="0.2">
      <c r="B340" s="4" t="s">
        <v>271</v>
      </c>
      <c r="C340" s="65" t="str">
        <f>CONCATENATE(other_instance,"-fd-mgmt")</f>
        <v>lax-fd-mgmt</v>
      </c>
      <c r="D340" s="66"/>
      <c r="E340" s="4"/>
    </row>
    <row r="341" spans="2:5" ht="20" customHeight="1" x14ac:dyDescent="0.2">
      <c r="B341" s="4" t="s">
        <v>272</v>
      </c>
      <c r="C341" s="65" t="str">
        <f>CONCATENATE(other_instance,"-m01-cl01-ds-vsan01")</f>
        <v>lax-m01-cl01-ds-vsan01</v>
      </c>
      <c r="D341" s="66"/>
      <c r="E341" s="4"/>
    </row>
    <row r="342" spans="2:5" ht="20" customHeight="1" x14ac:dyDescent="0.2">
      <c r="B342" s="4" t="s">
        <v>273</v>
      </c>
      <c r="C342" s="65" t="str">
        <f>CONCATENATE(other_instance,"01-m01-cl01-vds01-pg-vm-mgmt")</f>
        <v>lax01-m01-cl01-vds01-pg-vm-mgmt</v>
      </c>
      <c r="D342" s="66"/>
      <c r="E342" s="4"/>
    </row>
    <row r="343" spans="2:5" ht="20" customHeight="1" x14ac:dyDescent="0.2">
      <c r="B343" s="4" t="s">
        <v>274</v>
      </c>
      <c r="C343" s="65" t="str">
        <f>sample_wld_witness_mgmt_pg</f>
        <v>lax01-m01-cl01-vds01-pg-vm-mgmt</v>
      </c>
      <c r="D343" s="211" t="str">
        <f>wld_witness_mgmt_pg</f>
        <v>Value Missing</v>
      </c>
      <c r="E343" s="4"/>
    </row>
    <row r="344" spans="2:5" ht="20" customHeight="1" x14ac:dyDescent="0.2">
      <c r="B344" s="4" t="s">
        <v>275</v>
      </c>
      <c r="C344" s="65" t="s">
        <v>31</v>
      </c>
      <c r="D344" s="157"/>
      <c r="E344" s="8" t="s">
        <v>869</v>
      </c>
    </row>
    <row r="345" spans="2:5" ht="20" customHeight="1" x14ac:dyDescent="0.2">
      <c r="B345" s="4" t="s">
        <v>870</v>
      </c>
      <c r="C345" s="154" t="str">
        <f>IF(mgmt_dpg_reuse_result="Included",CONCATENATE(prefix_other_region_az1_cidr,"10.",(218 + wld_domain_number_chosen)),CONCATENATE(prefix_other_region_az1_cidr,"11.",(218 + wld_domain_number_chosen)))</f>
        <v>10.21.10.219</v>
      </c>
      <c r="D345" s="66"/>
      <c r="E345" s="4"/>
    </row>
    <row r="346" spans="2:5" ht="20" customHeight="1" x14ac:dyDescent="0.2">
      <c r="B346" s="4" t="s">
        <v>278</v>
      </c>
      <c r="C346" s="65" t="s">
        <v>126</v>
      </c>
      <c r="D346" s="66"/>
      <c r="E346" s="4"/>
    </row>
    <row r="347" spans="2:5" ht="20" customHeight="1" x14ac:dyDescent="0.2">
      <c r="B347" s="4" t="s">
        <v>182</v>
      </c>
      <c r="C347" s="65" t="str">
        <f>sample_wld_witnessaz_mgmt_gateway_ip</f>
        <v>10.21.10.1</v>
      </c>
      <c r="D347" s="8" t="str">
        <f>wld_witnessaz_mgmt_gateway_ip</f>
        <v>Value Missing</v>
      </c>
      <c r="E347" s="4"/>
    </row>
    <row r="348" spans="2:5" ht="20" customHeight="1" x14ac:dyDescent="0.2">
      <c r="B348" s="4" t="s">
        <v>279</v>
      </c>
      <c r="C348" s="65" t="str">
        <f>sample_child_dns_zone</f>
        <v>sfo.rainpole.io</v>
      </c>
      <c r="D348" s="66"/>
      <c r="E348" s="4"/>
    </row>
    <row r="349" spans="2:5" ht="20" customHeight="1" x14ac:dyDescent="0.2">
      <c r="B349" s="4" t="s">
        <v>280</v>
      </c>
      <c r="C349" s="65" t="str">
        <f>sample_wld_witness_hostname</f>
        <v>sfo-w01-cl01-vsw01</v>
      </c>
      <c r="D349" s="8" t="str">
        <f>wld_witness_hostname</f>
        <v>Value Missing</v>
      </c>
      <c r="E349" s="4"/>
    </row>
    <row r="350" spans="2:5" ht="20" customHeight="1" x14ac:dyDescent="0.2">
      <c r="B350" s="4" t="s">
        <v>281</v>
      </c>
      <c r="C350" s="65" t="str">
        <f>IF(mgmt_dpg_reuse_result="Included",CONCATENATE(prefix_other_region_az1_cidr,"10.4"),CONCATENATE(prefix_other_region_az1_cidr,"11.4"))</f>
        <v>10.21.10.4</v>
      </c>
      <c r="D350" s="66"/>
      <c r="E350" s="42"/>
    </row>
    <row r="351" spans="2:5" ht="20" customHeight="1" x14ac:dyDescent="0.2">
      <c r="B351" s="4" t="s">
        <v>283</v>
      </c>
      <c r="C351" s="65" t="str">
        <f>IF(mgmt_dpg_reuse_result="Included",CONCATENATE(prefix_other_region_az1_cidr,"10.5"),CONCATENATE(prefix_other_region_az1_cidr,"11.5"))</f>
        <v>10.21.10.5</v>
      </c>
      <c r="D351" s="66"/>
      <c r="E351" s="42"/>
    </row>
    <row r="352" spans="2:5" ht="20" customHeight="1" x14ac:dyDescent="0.2">
      <c r="B352" s="4" t="s">
        <v>285</v>
      </c>
      <c r="C352" s="65" t="str">
        <f>CONCATENATE("ntp0.",other_instance,".rainpole.io")</f>
        <v>ntp0.lax.rainpole.io</v>
      </c>
      <c r="D352" s="66"/>
      <c r="E352" s="4"/>
    </row>
    <row r="353" spans="2:5" ht="20" customHeight="1" x14ac:dyDescent="0.2">
      <c r="B353" s="4" t="s">
        <v>286</v>
      </c>
      <c r="C353" s="65" t="str">
        <f>CONCATENATE("ntp1.",other_instance,".rainpole.io")</f>
        <v>ntp1.lax.rainpole.io</v>
      </c>
      <c r="D353" s="66"/>
      <c r="E353" s="4"/>
    </row>
    <row r="354" spans="2:5" ht="20" customHeight="1" x14ac:dyDescent="0.2">
      <c r="B354" s="563" t="s">
        <v>287</v>
      </c>
      <c r="C354" s="564"/>
      <c r="D354" s="564"/>
      <c r="E354" s="565"/>
    </row>
    <row r="355" spans="2:5" ht="20" customHeight="1" x14ac:dyDescent="0.2">
      <c r="B355" s="63" t="s">
        <v>18</v>
      </c>
      <c r="C355" s="63" t="s">
        <v>19</v>
      </c>
      <c r="D355" s="63" t="s">
        <v>20</v>
      </c>
      <c r="E355" s="63" t="s">
        <v>21</v>
      </c>
    </row>
    <row r="356" spans="2:5" ht="20" customHeight="1" x14ac:dyDescent="0.2">
      <c r="B356" s="4" t="s">
        <v>266</v>
      </c>
      <c r="C356" s="65" t="str">
        <f>sample_wld_vc_fqdn</f>
        <v>sfo-w01-vc01.sfo.rainpole.io</v>
      </c>
      <c r="D356" s="8" t="str">
        <f>wld_vc_fqdn</f>
        <v>Value Missing</v>
      </c>
      <c r="E356" s="4"/>
    </row>
    <row r="357" spans="2:5" ht="20" customHeight="1" x14ac:dyDescent="0.2">
      <c r="B357" s="4" t="s">
        <v>288</v>
      </c>
      <c r="C357" s="65" t="str">
        <f>CONCATENATE(this_instance,"-w0",wld_domain_number_chosen,"-dc")</f>
        <v>sfo-w01-dc</v>
      </c>
      <c r="D357" s="66"/>
      <c r="E357" s="4"/>
    </row>
    <row r="358" spans="2:5" ht="20" customHeight="1" x14ac:dyDescent="0.2">
      <c r="B358" s="4" t="s">
        <v>39</v>
      </c>
      <c r="C358" s="65" t="str">
        <f>CONCATENATE(sample_wld_witness_hostname,".",sample_child_dns_zone)</f>
        <v>sfo-w01-cl01-vsw01.sfo.rainpole.io</v>
      </c>
      <c r="D358" s="66"/>
      <c r="E358" s="4"/>
    </row>
    <row r="359" spans="2:5" ht="20" customHeight="1" x14ac:dyDescent="0.2">
      <c r="B359" s="4" t="s">
        <v>289</v>
      </c>
      <c r="C359" s="65" t="str">
        <f>sample_wld_witness_root_password</f>
        <v>VMw@re1!</v>
      </c>
      <c r="D359" s="8" t="str">
        <f>wld_witness_root_password</f>
        <v>Value Missing</v>
      </c>
      <c r="E359" s="4"/>
    </row>
    <row r="360" spans="2:5" ht="20" customHeight="1" x14ac:dyDescent="0.2">
      <c r="B360" s="563" t="s">
        <v>290</v>
      </c>
      <c r="C360" s="564"/>
      <c r="D360" s="564"/>
      <c r="E360" s="565"/>
    </row>
    <row r="361" spans="2:5" ht="20" customHeight="1" x14ac:dyDescent="0.2">
      <c r="B361" s="63" t="s">
        <v>18</v>
      </c>
      <c r="C361" s="63" t="s">
        <v>19</v>
      </c>
      <c r="D361" s="63" t="s">
        <v>20</v>
      </c>
      <c r="E361" s="63" t="s">
        <v>21</v>
      </c>
    </row>
    <row r="362" spans="2:5" ht="20" customHeight="1" x14ac:dyDescent="0.2">
      <c r="B362" s="4" t="s">
        <v>266</v>
      </c>
      <c r="C362" s="65" t="str">
        <f>sample_wld_vc_fqdn</f>
        <v>sfo-w01-vc01.sfo.rainpole.io</v>
      </c>
      <c r="D362" s="8" t="str">
        <f>wld_vc_fqdn</f>
        <v>Value Missing</v>
      </c>
      <c r="E362" s="4"/>
    </row>
    <row r="363" spans="2:5" ht="20" customHeight="1" x14ac:dyDescent="0.2">
      <c r="B363" s="4" t="s">
        <v>291</v>
      </c>
      <c r="C363" s="65" t="str">
        <f>sample_wld_witness_hostname</f>
        <v>sfo-w01-cl01-vsw01</v>
      </c>
      <c r="D363" s="8" t="str">
        <f>wld_witness_hostname</f>
        <v>Value Missing</v>
      </c>
      <c r="E363" s="4"/>
    </row>
    <row r="364" spans="2:5" ht="20" customHeight="1" x14ac:dyDescent="0.2">
      <c r="B364" s="4" t="s">
        <v>292</v>
      </c>
      <c r="C364" s="65" t="str">
        <f>IF(AND((NOT(ISBLANK(sample_mgmt_witness_ntp2_server))),(sample_mgmt_witness_ntp2_server &lt;&gt; "n/a")),CONCATENATE(sample_mgmt_witness_ntp1_server,",",sample_mgmt_witness_ntp2_server),sample_mgmt_witness_ntp1_server)</f>
        <v>ntp0.sfo.rainpole.io,ntp1.sfo.rainpole.io</v>
      </c>
      <c r="D364" s="8" t="str">
        <f>IF(AND((NOT(ISBLANK(witness_ntp2_server))),(witness_ntp2_server&lt;&gt;"n/a"),(witness_ntp2_server&lt;&gt;"")),CONCATENATE(witness_ntp1_server,",",witness_ntp2_server,witness_ntp1_server))</f>
        <v>Value Missing,Value MissingValue Missing</v>
      </c>
      <c r="E364" s="42"/>
    </row>
    <row r="365" spans="2:5" ht="20" customHeight="1" x14ac:dyDescent="0.2">
      <c r="B365" s="563" t="s">
        <v>293</v>
      </c>
      <c r="C365" s="564"/>
      <c r="D365" s="564"/>
      <c r="E365" s="565"/>
    </row>
    <row r="366" spans="2:5" ht="20" customHeight="1" x14ac:dyDescent="0.2">
      <c r="B366" s="63" t="s">
        <v>18</v>
      </c>
      <c r="C366" s="63" t="s">
        <v>19</v>
      </c>
      <c r="D366" s="63" t="s">
        <v>20</v>
      </c>
      <c r="E366" s="63" t="s">
        <v>21</v>
      </c>
    </row>
    <row r="367" spans="2:5" ht="20" customHeight="1" x14ac:dyDescent="0.2">
      <c r="B367" s="4" t="s">
        <v>266</v>
      </c>
      <c r="C367" s="65" t="str">
        <f>sample_wld_vc_fqdn</f>
        <v>sfo-w01-vc01.sfo.rainpole.io</v>
      </c>
      <c r="D367" s="8" t="str">
        <f>mgmt_vc_fqdn</f>
        <v>Value Missing</v>
      </c>
      <c r="E367" s="4"/>
    </row>
    <row r="368" spans="2:5" ht="20" customHeight="1" x14ac:dyDescent="0.2">
      <c r="B368" s="4" t="s">
        <v>288</v>
      </c>
      <c r="C368" s="65" t="str">
        <f>sample_wld_datacenter</f>
        <v>sfo-w01-dc</v>
      </c>
      <c r="D368" s="8" t="str">
        <f>wld_datacenter</f>
        <v>Value Missing</v>
      </c>
      <c r="E368" s="4"/>
    </row>
    <row r="369" spans="2:5" ht="20" customHeight="1" x14ac:dyDescent="0.2">
      <c r="B369" s="4" t="s">
        <v>295</v>
      </c>
      <c r="C369" s="65" t="str">
        <f>sample_wld_witness_hostname</f>
        <v>sfo-w01-cl01-vsw01</v>
      </c>
      <c r="D369" s="8" t="str">
        <f>wld_witness_hostname</f>
        <v>Value Missing</v>
      </c>
      <c r="E369" s="4"/>
    </row>
    <row r="370" spans="2:5" ht="20" customHeight="1" x14ac:dyDescent="0.2">
      <c r="B370" s="97"/>
      <c r="C370" s="386"/>
      <c r="D370" s="102"/>
      <c r="E370" s="97"/>
    </row>
    <row r="371" spans="2:5" ht="34" customHeight="1" x14ac:dyDescent="0.2">
      <c r="B371" s="569" t="s">
        <v>3558</v>
      </c>
      <c r="C371" s="570"/>
      <c r="D371" s="570"/>
      <c r="E371" s="571"/>
    </row>
    <row r="372" spans="2:5" ht="20" customHeight="1" x14ac:dyDescent="0.2">
      <c r="B372" s="379"/>
      <c r="C372" s="380"/>
      <c r="D372" s="380"/>
      <c r="E372" s="381"/>
    </row>
    <row r="373" spans="2:5" ht="20" customHeight="1" x14ac:dyDescent="0.2">
      <c r="B373" s="63" t="s">
        <v>18</v>
      </c>
      <c r="C373" s="63" t="s">
        <v>19</v>
      </c>
      <c r="D373" s="63" t="s">
        <v>20</v>
      </c>
      <c r="E373" s="63" t="s">
        <v>21</v>
      </c>
    </row>
    <row r="374" spans="2:5" ht="20" customHeight="1" x14ac:dyDescent="0.2">
      <c r="B374" s="28" t="str">
        <f t="array" ref="B374:B389">wld_az2_host_fqdns</f>
        <v>Value Missing</v>
      </c>
      <c r="C374" s="65" t="s">
        <v>297</v>
      </c>
      <c r="D374" s="66"/>
      <c r="E374" s="8" t="s">
        <v>871</v>
      </c>
    </row>
    <row r="375" spans="2:5" ht="20" customHeight="1" x14ac:dyDescent="0.2">
      <c r="B375" s="4" t="str">
        <v>Value Missing</v>
      </c>
      <c r="C375" s="65" t="s">
        <v>299</v>
      </c>
      <c r="D375" s="66"/>
      <c r="E375" s="8" t="s">
        <v>871</v>
      </c>
    </row>
    <row r="376" spans="2:5" ht="20" customHeight="1" x14ac:dyDescent="0.2">
      <c r="B376" s="4" t="str">
        <v>Value Missing</v>
      </c>
      <c r="C376" s="65" t="s">
        <v>301</v>
      </c>
      <c r="D376" s="66"/>
      <c r="E376" s="8" t="s">
        <v>871</v>
      </c>
    </row>
    <row r="377" spans="2:5" ht="20" customHeight="1" x14ac:dyDescent="0.2">
      <c r="B377" s="4" t="str">
        <v>Value Missing</v>
      </c>
      <c r="C377" s="65" t="s">
        <v>303</v>
      </c>
      <c r="D377" s="66"/>
      <c r="E377" s="8" t="s">
        <v>871</v>
      </c>
    </row>
    <row r="378" spans="2:5" ht="20" customHeight="1" x14ac:dyDescent="0.2">
      <c r="B378" s="4" t="str">
        <v>Value Missing</v>
      </c>
      <c r="C378" s="65" t="s">
        <v>872</v>
      </c>
      <c r="D378" s="66"/>
      <c r="E378" s="8"/>
    </row>
    <row r="379" spans="2:5" ht="20" customHeight="1" x14ac:dyDescent="0.2">
      <c r="B379" s="4" t="str">
        <v>Value Missing</v>
      </c>
      <c r="C379" s="65" t="s">
        <v>873</v>
      </c>
      <c r="D379" s="66"/>
      <c r="E379" s="8"/>
    </row>
    <row r="380" spans="2:5" ht="20" customHeight="1" x14ac:dyDescent="0.2">
      <c r="B380" s="4" t="str">
        <v>Value Missing</v>
      </c>
      <c r="C380" s="65" t="s">
        <v>874</v>
      </c>
      <c r="D380" s="66"/>
      <c r="E380" s="8"/>
    </row>
    <row r="381" spans="2:5" ht="20" customHeight="1" x14ac:dyDescent="0.2">
      <c r="B381" s="4" t="str">
        <v>Value Missing</v>
      </c>
      <c r="C381" s="65" t="s">
        <v>875</v>
      </c>
      <c r="D381" s="66"/>
      <c r="E381" s="8"/>
    </row>
    <row r="382" spans="2:5" ht="20" customHeight="1" x14ac:dyDescent="0.2">
      <c r="B382" s="4" t="str">
        <v>Value Missing</v>
      </c>
      <c r="C382" s="65" t="s">
        <v>876</v>
      </c>
      <c r="D382" s="66"/>
      <c r="E382" s="8"/>
    </row>
    <row r="383" spans="2:5" ht="20" customHeight="1" x14ac:dyDescent="0.2">
      <c r="B383" s="4" t="str">
        <v>Value Missing</v>
      </c>
      <c r="C383" s="65" t="s">
        <v>877</v>
      </c>
      <c r="D383" s="66"/>
      <c r="E383" s="8"/>
    </row>
    <row r="384" spans="2:5" ht="20" customHeight="1" x14ac:dyDescent="0.2">
      <c r="B384" s="4" t="str">
        <v>Value Missing</v>
      </c>
      <c r="C384" s="65" t="s">
        <v>878</v>
      </c>
      <c r="D384" s="66"/>
      <c r="E384" s="8"/>
    </row>
    <row r="385" spans="2:5" ht="20" customHeight="1" x14ac:dyDescent="0.2">
      <c r="B385" s="4" t="str">
        <v>Value Missing</v>
      </c>
      <c r="C385" s="65" t="s">
        <v>879</v>
      </c>
      <c r="D385" s="66"/>
      <c r="E385" s="8"/>
    </row>
    <row r="386" spans="2:5" ht="20" customHeight="1" x14ac:dyDescent="0.2">
      <c r="B386" s="4" t="str">
        <v>Value Missing</v>
      </c>
      <c r="C386" s="65" t="s">
        <v>880</v>
      </c>
      <c r="D386" s="66"/>
      <c r="E386" s="8"/>
    </row>
    <row r="387" spans="2:5" ht="20" customHeight="1" x14ac:dyDescent="0.2">
      <c r="B387" s="4" t="str">
        <v>Value Missing</v>
      </c>
      <c r="C387" s="65" t="s">
        <v>881</v>
      </c>
      <c r="D387" s="66"/>
      <c r="E387" s="8"/>
    </row>
    <row r="388" spans="2:5" ht="20" customHeight="1" x14ac:dyDescent="0.2">
      <c r="B388" s="4" t="str">
        <v>Value Missing</v>
      </c>
      <c r="C388" s="65" t="s">
        <v>882</v>
      </c>
      <c r="D388" s="66"/>
      <c r="E388" s="8"/>
    </row>
    <row r="389" spans="2:5" ht="20" customHeight="1" x14ac:dyDescent="0.2">
      <c r="B389" s="4" t="str">
        <v>Value Missing</v>
      </c>
      <c r="C389" s="65" t="s">
        <v>883</v>
      </c>
      <c r="D389" s="66"/>
      <c r="E389" s="8"/>
    </row>
    <row r="390" spans="2:5" ht="20" customHeight="1" x14ac:dyDescent="0.2">
      <c r="B390" s="4" t="s">
        <v>329</v>
      </c>
      <c r="C390" s="65" t="str">
        <f>CONCATENATE(this_instance,"02-",sample_wld_cl01_cluster,"-r01-network-profile")</f>
        <v>sfo02-sfo-w01-cl01-r01-network-profile</v>
      </c>
      <c r="D390" s="66"/>
      <c r="E390" s="212"/>
    </row>
    <row r="391" spans="2:5" ht="20" customHeight="1" x14ac:dyDescent="0.2">
      <c r="B391" s="4" t="s">
        <v>330</v>
      </c>
      <c r="C391" s="65" t="s">
        <v>331</v>
      </c>
      <c r="D391" s="66" t="s">
        <v>331</v>
      </c>
      <c r="E391" s="8" t="str">
        <f>IF(AND(wld_az1_host_overlay_new_pool_chosen="Re-use an existing Pool",wld_host_overlay_addressing_chosen="Static IP Pool"),"An exisitng Pool will be reused for Host TEP assignment",IF(AND(wld_az1_host_overlay_new_pool_chosen="Create New Static IP Pool",wld_host_overlay_addressing_chosen="Static IP Pool"),"A new Pool will be created for Host TEP assignment",""))</f>
        <v>A new Pool will be created for Host TEP assignment</v>
      </c>
    </row>
    <row r="392" spans="2:5" ht="20" customHeight="1" x14ac:dyDescent="0.2">
      <c r="B392" s="4" t="s">
        <v>332</v>
      </c>
      <c r="C392" s="65" t="str">
        <f>CONCATENATE(this_instance,"02-w0",wld_domain_number_chosen,"-r01-ip-pool01-host")</f>
        <v>sfo02-w01-r01-ip-pool01-host</v>
      </c>
      <c r="D392" s="66"/>
      <c r="E392" s="4"/>
    </row>
    <row r="393" spans="2:5" ht="20" customHeight="1" x14ac:dyDescent="0.2">
      <c r="B393" s="4" t="s">
        <v>333</v>
      </c>
      <c r="C393" s="65" t="str">
        <f>CONCATENATE(this_instance,"02-w0",wld_domain_number_chosen,"-r01-uplink-profile01")</f>
        <v>sfo02-w01-r01-uplink-profile01</v>
      </c>
      <c r="D393" s="66"/>
      <c r="E393" s="4"/>
    </row>
    <row r="394" spans="2:5" ht="20" customHeight="1" x14ac:dyDescent="0.2">
      <c r="B394" s="23" t="s">
        <v>334</v>
      </c>
      <c r="C394" s="65" t="str">
        <f>CONCATENATE(prefix_wld_az2_vlan,"14")</f>
        <v>1414</v>
      </c>
      <c r="D394" s="66"/>
      <c r="E394" s="4"/>
    </row>
    <row r="395" spans="2:5" ht="20" customHeight="1" x14ac:dyDescent="0.2">
      <c r="B395" s="4" t="s">
        <v>335</v>
      </c>
      <c r="C395" s="103" t="str">
        <f>CONCATENATE(prefix_wld_az2_cidr,"14.1")</f>
        <v>10.14.14.1</v>
      </c>
      <c r="D395" s="66"/>
      <c r="E395" s="42" t="str">
        <f>IF(AND(mgmt_stretched_cluster_result="Included",mgmt_dpg_reuse_result="Excluded"),"Stretched L2","")</f>
        <v/>
      </c>
    </row>
    <row r="396" spans="2:5" ht="20" customHeight="1" x14ac:dyDescent="0.2">
      <c r="B396" s="4" t="s">
        <v>336</v>
      </c>
      <c r="C396" s="103" t="str">
        <f>CONCATENATE(prefix_wld_az2_cidr,"14.0/24")</f>
        <v>10.14.14.0/24</v>
      </c>
      <c r="D396" s="66"/>
      <c r="E396" s="42"/>
    </row>
    <row r="397" spans="2:5" ht="20" customHeight="1" x14ac:dyDescent="0.2">
      <c r="B397" s="4" t="s">
        <v>337</v>
      </c>
      <c r="C397" s="103">
        <v>9000</v>
      </c>
      <c r="D397" s="66"/>
      <c r="E397" s="80"/>
    </row>
    <row r="398" spans="2:5" ht="20" customHeight="1" x14ac:dyDescent="0.2">
      <c r="B398" s="23" t="s">
        <v>248</v>
      </c>
      <c r="C398" s="103" t="str">
        <f>CONCATENATE(prefix_wld_az2_cidr,"14.101")</f>
        <v>10.14.14.101</v>
      </c>
      <c r="D398" s="66"/>
      <c r="E398" s="80"/>
    </row>
    <row r="399" spans="2:5" ht="20" customHeight="1" x14ac:dyDescent="0.2">
      <c r="B399" s="23" t="s">
        <v>249</v>
      </c>
      <c r="C399" s="103" t="str">
        <f>CONCATENATE(prefix_wld_az2_cidr,"14.132")</f>
        <v>10.14.14.132</v>
      </c>
      <c r="D399" s="66"/>
      <c r="E399" s="80"/>
    </row>
    <row r="400" spans="2:5" ht="20" customHeight="1" x14ac:dyDescent="0.2">
      <c r="B400" s="4" t="s">
        <v>884</v>
      </c>
      <c r="C400" s="65" t="str">
        <f>sample_wld_witness_fqdn</f>
        <v>sfo-w01-cl01-vsw01.sfo.rainpole.io</v>
      </c>
      <c r="D400" s="8" t="str">
        <f>wld_witness_fqdn</f>
        <v>Value Missing</v>
      </c>
      <c r="E400" s="4"/>
    </row>
    <row r="401" spans="2:5" ht="20" customHeight="1" x14ac:dyDescent="0.2">
      <c r="B401" s="4" t="s">
        <v>342</v>
      </c>
      <c r="C401" s="65" t="str">
        <f>sample_wld_witnessaz_mgmt_cidr</f>
        <v>10.21.10.0/24</v>
      </c>
      <c r="D401" s="8" t="str">
        <f>wld_witnessaz_mgmt_cidr</f>
        <v>Value Missing</v>
      </c>
      <c r="E401" s="4"/>
    </row>
    <row r="402" spans="2:5" ht="20" customHeight="1" x14ac:dyDescent="0.2">
      <c r="B402" s="4" t="s">
        <v>340</v>
      </c>
      <c r="C402" s="65" t="str">
        <f>sample_wld_witness_ip</f>
        <v>10.21.10.219</v>
      </c>
      <c r="D402" s="8" t="str">
        <f>wld_witness_mgmt_ip</f>
        <v>Value Missing</v>
      </c>
      <c r="E402" s="4"/>
    </row>
    <row r="403" spans="2:5" ht="20" customHeight="1" x14ac:dyDescent="0.2">
      <c r="B403" s="4" t="s">
        <v>345</v>
      </c>
      <c r="C403" s="65" t="s">
        <v>344</v>
      </c>
      <c r="D403" s="66"/>
      <c r="E403" s="8"/>
    </row>
    <row r="404" spans="2:5" ht="20" customHeight="1" x14ac:dyDescent="0.2">
      <c r="B404" s="572"/>
      <c r="C404" s="572"/>
      <c r="D404" s="572"/>
      <c r="E404" s="572"/>
    </row>
    <row r="405" spans="2:5" ht="34" customHeight="1" x14ac:dyDescent="0.2">
      <c r="B405" s="569" t="s">
        <v>3557</v>
      </c>
      <c r="C405" s="570"/>
      <c r="D405" s="570"/>
      <c r="E405" s="571"/>
    </row>
    <row r="406" spans="2:5" ht="20" customHeight="1" x14ac:dyDescent="0.2">
      <c r="B406" s="382" t="s">
        <v>346</v>
      </c>
      <c r="C406" s="383"/>
      <c r="D406" s="383"/>
      <c r="E406" s="383"/>
    </row>
    <row r="407" spans="2:5" ht="20" customHeight="1" x14ac:dyDescent="0.2">
      <c r="B407" s="63" t="s">
        <v>18</v>
      </c>
      <c r="C407" s="63" t="s">
        <v>19</v>
      </c>
      <c r="D407" s="63" t="s">
        <v>20</v>
      </c>
      <c r="E407" s="63" t="s">
        <v>21</v>
      </c>
    </row>
    <row r="408" spans="2:5" ht="20" customHeight="1" x14ac:dyDescent="0.2">
      <c r="B408" s="4" t="s">
        <v>347</v>
      </c>
      <c r="C408" s="65" t="str">
        <f>sample_wld_nsxt_vip_fqdn</f>
        <v>sfo-w01-nsx01.sfo.rainpole.io</v>
      </c>
      <c r="D408" s="8" t="str">
        <f>wld_nsxt_vip_fqdn</f>
        <v>Value Missing</v>
      </c>
      <c r="E408" s="4" t="str">
        <f>IF(wld_bgp_chosen&lt;&gt;"Centralized Connectivity", "These sections are masked out as NSX connectivity has not be configured or selected in Post-Deployment Options","")</f>
        <v>These sections are masked out as NSX connectivity has not be configured or selected in Post-Deployment Options</v>
      </c>
    </row>
    <row r="409" spans="2:5" ht="20" customHeight="1" x14ac:dyDescent="0.2">
      <c r="B409" s="613" t="s">
        <v>348</v>
      </c>
      <c r="C409" s="601"/>
      <c r="D409" s="601"/>
      <c r="E409" s="601"/>
    </row>
    <row r="410" spans="2:5" ht="20" customHeight="1" x14ac:dyDescent="0.2">
      <c r="B410" s="63" t="s">
        <v>18</v>
      </c>
      <c r="C410" s="63" t="s">
        <v>19</v>
      </c>
      <c r="D410" s="63" t="s">
        <v>20</v>
      </c>
      <c r="E410" s="63" t="s">
        <v>21</v>
      </c>
    </row>
    <row r="411" spans="2:5" ht="20" customHeight="1" x14ac:dyDescent="0.2">
      <c r="B411" s="4" t="s">
        <v>347</v>
      </c>
      <c r="C411" s="65" t="str">
        <f>sample_wld_nsxt_vip_fqdn</f>
        <v>sfo-w01-nsx01.sfo.rainpole.io</v>
      </c>
      <c r="D411" s="8" t="str">
        <f>wld_nsxt_vip_fqdn</f>
        <v>Value Missing</v>
      </c>
      <c r="E411" s="4"/>
    </row>
    <row r="412" spans="2:5" ht="20" customHeight="1" x14ac:dyDescent="0.2">
      <c r="B412" s="4" t="s">
        <v>349</v>
      </c>
      <c r="C412" s="65" t="str">
        <f>sample_wld_en_asn</f>
        <v>65102</v>
      </c>
      <c r="D412" s="8" t="str">
        <f>wld_en_asn</f>
        <v>Value Missing</v>
      </c>
      <c r="E412" s="4"/>
    </row>
    <row r="413" spans="2:5" ht="20" customHeight="1" x14ac:dyDescent="0.2">
      <c r="B413" s="613" t="s">
        <v>350</v>
      </c>
      <c r="C413" s="601"/>
      <c r="D413" s="601"/>
      <c r="E413" s="601"/>
    </row>
    <row r="414" spans="2:5" ht="20" customHeight="1" x14ac:dyDescent="0.2">
      <c r="B414" s="63" t="s">
        <v>18</v>
      </c>
      <c r="C414" s="63" t="s">
        <v>19</v>
      </c>
      <c r="D414" s="63" t="s">
        <v>20</v>
      </c>
      <c r="E414" s="63" t="s">
        <v>21</v>
      </c>
    </row>
    <row r="415" spans="2:5" ht="20" customHeight="1" x14ac:dyDescent="0.2">
      <c r="B415" s="4" t="s">
        <v>347</v>
      </c>
      <c r="C415" s="65" t="str">
        <f>sample_wld_nsxt_vip_fqdn</f>
        <v>sfo-w01-nsx01.sfo.rainpole.io</v>
      </c>
      <c r="D415" s="8" t="str">
        <f>wld_nsxt_vip_fqdn</f>
        <v>Value Missing</v>
      </c>
      <c r="E415" s="4"/>
    </row>
    <row r="416" spans="2:5" ht="20" customHeight="1" x14ac:dyDescent="0.2">
      <c r="B416" s="4" t="s">
        <v>351</v>
      </c>
      <c r="C416" s="103" t="str">
        <f>CONCATENATE(prefix_wld_az1_cidr,"17.11")</f>
        <v>10.13.17.11</v>
      </c>
      <c r="D416" s="66"/>
      <c r="E416" s="4"/>
    </row>
    <row r="417" spans="2:5" ht="20" customHeight="1" x14ac:dyDescent="0.2">
      <c r="B417" s="4" t="s">
        <v>352</v>
      </c>
      <c r="C417" s="103" t="str">
        <f>CONCATENATE(asn_start,asn_instance,asn_wld_az2,1)</f>
        <v>65141</v>
      </c>
      <c r="D417" s="66"/>
      <c r="E417" s="4"/>
    </row>
    <row r="418" spans="2:5" ht="20" customHeight="1" x14ac:dyDescent="0.2">
      <c r="B418" s="4" t="s">
        <v>353</v>
      </c>
      <c r="C418" s="65" t="str">
        <f>sample_wld_az1_en1_uplink01_interface_cidr</f>
        <v>10.13.17.2/24</v>
      </c>
      <c r="D418" s="8" t="str">
        <f>wld_az1_en1_uplink01_interface_cidr</f>
        <v>Value Missing</v>
      </c>
      <c r="E418" s="4"/>
    </row>
    <row r="419" spans="2:5" ht="20" customHeight="1" x14ac:dyDescent="0.2">
      <c r="B419" s="4" t="s">
        <v>354</v>
      </c>
      <c r="C419" s="65" t="str">
        <f>sample_wld_az1_en2_uplink01_interface_cidr</f>
        <v>10.13.17.3/24</v>
      </c>
      <c r="D419" s="8" t="str">
        <f>wld_az1_en2_uplink01_interface_cidr</f>
        <v>Value Missing</v>
      </c>
      <c r="E419" s="4"/>
    </row>
    <row r="420" spans="2:5" ht="20" customHeight="1" x14ac:dyDescent="0.2">
      <c r="B420" s="4" t="s">
        <v>355</v>
      </c>
      <c r="C420" s="103" t="s">
        <v>31</v>
      </c>
      <c r="D420" s="66"/>
      <c r="E420" s="4"/>
    </row>
    <row r="421" spans="2:5" ht="20" customHeight="1" x14ac:dyDescent="0.2">
      <c r="B421" s="4" t="s">
        <v>356</v>
      </c>
      <c r="C421" s="103" t="str">
        <f>CONCATENATE(prefix_wld_az1_cidr,"18.11")</f>
        <v>10.13.18.11</v>
      </c>
      <c r="D421" s="66"/>
      <c r="E421" s="4"/>
    </row>
    <row r="422" spans="2:5" ht="20" customHeight="1" x14ac:dyDescent="0.2">
      <c r="B422" s="4" t="s">
        <v>357</v>
      </c>
      <c r="C422" s="103" t="str">
        <f>CONCATENATE(asn_start,asn_instance,asn_wld_az2,1)</f>
        <v>65141</v>
      </c>
      <c r="D422" s="66"/>
      <c r="E422" s="4"/>
    </row>
    <row r="423" spans="2:5" ht="20" customHeight="1" x14ac:dyDescent="0.2">
      <c r="B423" s="4" t="s">
        <v>353</v>
      </c>
      <c r="C423" s="65" t="str">
        <f>sample_wld_az1_en1_uplink02_interface_cidr</f>
        <v>10.13.18.2/24</v>
      </c>
      <c r="D423" s="8" t="str">
        <f>wld_az1_en1_uplink02_interface_cidr</f>
        <v>Value Missing</v>
      </c>
      <c r="E423" s="4"/>
    </row>
    <row r="424" spans="2:5" ht="20" customHeight="1" x14ac:dyDescent="0.2">
      <c r="B424" s="4" t="s">
        <v>354</v>
      </c>
      <c r="C424" s="65" t="str">
        <f>sample_wld_az1_en2_uplink02_interface_cidr</f>
        <v>10.13.18.3/24</v>
      </c>
      <c r="D424" s="8" t="str">
        <f>wld_az1_en2_uplink02_interface_cidr</f>
        <v>Value Missing</v>
      </c>
      <c r="E424" s="4"/>
    </row>
    <row r="425" spans="2:5" ht="20" customHeight="1" x14ac:dyDescent="0.2">
      <c r="B425" s="4" t="s">
        <v>355</v>
      </c>
      <c r="C425" s="103" t="s">
        <v>31</v>
      </c>
      <c r="D425" s="66"/>
      <c r="E425" s="4"/>
    </row>
    <row r="426" spans="2:5" ht="16" customHeight="1" x14ac:dyDescent="0.2"/>
    <row r="427" spans="2:5" ht="34" customHeight="1" x14ac:dyDescent="0.2">
      <c r="B427" s="584" t="s">
        <v>838</v>
      </c>
      <c r="C427" s="585"/>
      <c r="D427" s="585"/>
      <c r="E427" s="585"/>
    </row>
    <row r="428" spans="2:5" ht="20" customHeight="1" x14ac:dyDescent="0.2">
      <c r="B428" s="613" t="s">
        <v>358</v>
      </c>
      <c r="C428" s="601"/>
      <c r="D428" s="601"/>
      <c r="E428" s="601"/>
    </row>
    <row r="429" spans="2:5" ht="20" customHeight="1" x14ac:dyDescent="0.2">
      <c r="B429" s="63" t="s">
        <v>18</v>
      </c>
      <c r="C429" s="63" t="s">
        <v>19</v>
      </c>
      <c r="D429" s="63" t="s">
        <v>20</v>
      </c>
      <c r="E429" s="63" t="s">
        <v>21</v>
      </c>
    </row>
    <row r="430" spans="2:5" ht="20" customHeight="1" x14ac:dyDescent="0.2">
      <c r="B430" s="23" t="s">
        <v>359</v>
      </c>
      <c r="C430" s="65" t="str">
        <f>sample_mgmt_vc_fqdn</f>
        <v>sfo-m01-vc01.sfo.rainpole.io</v>
      </c>
      <c r="D430" s="8" t="str">
        <f>mgmt_vc_fqdn</f>
        <v>Value Missing</v>
      </c>
      <c r="E430" s="4"/>
    </row>
    <row r="431" spans="2:5" ht="20" customHeight="1" x14ac:dyDescent="0.2">
      <c r="B431" s="563" t="s">
        <v>360</v>
      </c>
      <c r="C431" s="564"/>
      <c r="D431" s="564"/>
      <c r="E431" s="565"/>
    </row>
    <row r="432" spans="2:5" ht="20" customHeight="1" x14ac:dyDescent="0.2">
      <c r="B432" s="30" t="s">
        <v>885</v>
      </c>
      <c r="C432" s="109" t="str">
        <f>CONCATENATE(this_instance,"-w0",wld_domain_number_chosen,"-nsx-gm01a")</f>
        <v>sfo-w01-nsx-gm01a</v>
      </c>
      <c r="D432" s="8"/>
      <c r="E432" s="4"/>
    </row>
    <row r="433" spans="2:5" ht="20" customHeight="1" x14ac:dyDescent="0.2">
      <c r="B433" s="30" t="s">
        <v>886</v>
      </c>
      <c r="C433" s="65" t="str">
        <f>sample_mgmt_datacenter</f>
        <v>sfo-m01-dc01</v>
      </c>
      <c r="D433" s="8" t="str">
        <f>mgmt_datacenter</f>
        <v>Value Missing</v>
      </c>
      <c r="E433" s="4"/>
    </row>
    <row r="434" spans="2:5" ht="20" customHeight="1" x14ac:dyDescent="0.2">
      <c r="B434" s="30" t="s">
        <v>887</v>
      </c>
      <c r="C434" s="65" t="str">
        <f>sample_mgmt_cl01_cluster</f>
        <v>sfo-m01-cl01</v>
      </c>
      <c r="D434" s="8" t="str">
        <f>mgmt_cl01_cluster</f>
        <v>Value Missing</v>
      </c>
      <c r="E434" s="4"/>
    </row>
    <row r="435" spans="2:5" ht="20" customHeight="1" x14ac:dyDescent="0.2">
      <c r="B435" s="30" t="s">
        <v>888</v>
      </c>
      <c r="C435" s="65" t="s">
        <v>657</v>
      </c>
      <c r="D435" s="8" t="s">
        <v>657</v>
      </c>
      <c r="E435" s="4"/>
    </row>
    <row r="436" spans="2:5" ht="20" customHeight="1" x14ac:dyDescent="0.2">
      <c r="B436" s="30" t="s">
        <v>889</v>
      </c>
      <c r="C436" s="65" t="str">
        <f>sample_mgmt_cl01_vsan_datastore</f>
        <v>sfo-m01-cl01-ds-vsan01</v>
      </c>
      <c r="D436" s="8" t="str">
        <f>mgmt_cl01_vsan_datastore</f>
        <v>Value Missing</v>
      </c>
      <c r="E436" s="4"/>
    </row>
    <row r="437" spans="2:5" ht="20" customHeight="1" x14ac:dyDescent="0.2">
      <c r="B437" s="30" t="s">
        <v>890</v>
      </c>
      <c r="C437" s="65" t="str">
        <f>sample_mgmt_cl01_az1_mgmt_vm_pg</f>
        <v>sfo-m01-cl01-vds01-pg-vm-mgmt</v>
      </c>
      <c r="D437" s="8" t="str">
        <f>mgmt_cl01_az1_mgmt_vm_pg</f>
        <v>Value Missing</v>
      </c>
      <c r="E437" s="4"/>
    </row>
    <row r="438" spans="2:5" ht="20" customHeight="1" x14ac:dyDescent="0.2">
      <c r="B438" s="30" t="s">
        <v>891</v>
      </c>
      <c r="C438" s="65" t="s">
        <v>139</v>
      </c>
      <c r="D438" s="8"/>
      <c r="E438" s="4"/>
    </row>
    <row r="439" spans="2:5" ht="20" customHeight="1" x14ac:dyDescent="0.2">
      <c r="B439" s="30" t="s">
        <v>892</v>
      </c>
      <c r="C439" s="65" t="s">
        <v>139</v>
      </c>
      <c r="D439" s="8"/>
      <c r="E439" s="4"/>
    </row>
    <row r="440" spans="2:5" ht="20" customHeight="1" x14ac:dyDescent="0.2">
      <c r="B440" s="30" t="s">
        <v>893</v>
      </c>
      <c r="C440" s="65" t="s">
        <v>139</v>
      </c>
      <c r="D440" s="8"/>
      <c r="E440" s="4"/>
    </row>
    <row r="441" spans="2:5" ht="20" customHeight="1" x14ac:dyDescent="0.2">
      <c r="B441" s="30" t="s">
        <v>894</v>
      </c>
      <c r="C441" s="65" t="str">
        <f>CONCATENATE(sample_wld_nsxt_global_mgra_hostname,".",sample_child_dns_zone)</f>
        <v>sfo-w01-nsx-gm01a.sfo.rainpole.io</v>
      </c>
      <c r="D441" s="8"/>
      <c r="E441" s="4"/>
    </row>
    <row r="442" spans="2:5" ht="20" customHeight="1" x14ac:dyDescent="0.2">
      <c r="B442" s="30" t="s">
        <v>895</v>
      </c>
      <c r="C442" s="109" t="str">
        <f>IF(mgmt_dpg_reuse_result="Included",CONCATENATE(prefix_mgmt_az1_cidr,"10.",(142 + (30*(wld_domain_number_chosen - 1)))),CONCATENATE(prefix_mgmt_az1_cidr,"11.",(142 + (30*(wld_domain_number_chosen - 1)))))</f>
        <v>10.11.10.142</v>
      </c>
      <c r="D442" s="8"/>
      <c r="E442" s="4"/>
    </row>
    <row r="443" spans="2:5" ht="20" customHeight="1" x14ac:dyDescent="0.2">
      <c r="B443" s="30" t="s">
        <v>896</v>
      </c>
      <c r="C443" s="65" t="s">
        <v>126</v>
      </c>
      <c r="D443" s="8" t="str">
        <f>mgmt_az1_mgmt_vm_mask</f>
        <v>Value Missing</v>
      </c>
      <c r="E443" s="4"/>
    </row>
    <row r="444" spans="2:5" ht="20" customHeight="1" x14ac:dyDescent="0.2">
      <c r="B444" s="30" t="s">
        <v>897</v>
      </c>
      <c r="C444" s="65" t="str">
        <f>sample_mgmt_az1_mgmt_vm_gateway_cidr</f>
        <v>10.11.10.1/24</v>
      </c>
      <c r="D444" s="8" t="str">
        <f>mgmt_az1_mgmt_vm_gateway_ip</f>
        <v>Value Missing</v>
      </c>
      <c r="E444" s="4"/>
    </row>
    <row r="445" spans="2:5" ht="20" customHeight="1" x14ac:dyDescent="0.2">
      <c r="B445" s="30" t="s">
        <v>898</v>
      </c>
      <c r="C445" s="65" t="str">
        <f>CONCATENATE(sample_region_dns1_ip,",",sample_region_dns2_ip)</f>
        <v>10.11.10.4,10.11.10.5</v>
      </c>
      <c r="D445" s="8" t="str">
        <f>IF(ISBLANK(input_region_dns1_ip),"Value Missing",CONCATENATE(region_dns1_ip,",",IF(ISBLANK(input_region_dns2_ip),"Value Missing",region_dns2_ip)))</f>
        <v>Value Missing</v>
      </c>
      <c r="E445" s="4"/>
    </row>
    <row r="446" spans="2:5" ht="20" customHeight="1" x14ac:dyDescent="0.2">
      <c r="B446" s="30" t="s">
        <v>899</v>
      </c>
      <c r="C446" s="65" t="str">
        <f>CONCATENATE(sample_child_dns_zone,",",sample_parent_dns_zone)</f>
        <v>sfo.rainpole.io,rainpole.io</v>
      </c>
      <c r="D446" s="8" t="str">
        <f>child_dns_zone</f>
        <v>Value Missing</v>
      </c>
      <c r="E446" s="4"/>
    </row>
    <row r="447" spans="2:5" ht="20" customHeight="1" x14ac:dyDescent="0.2">
      <c r="B447" s="30" t="s">
        <v>900</v>
      </c>
      <c r="C447" s="65" t="str">
        <f>IF(AND((NOT(ISBLANK(sample_region_ntp2_server))),(sample_region_ntp2_server &lt;&gt; "n/a")),CONCATENATE(sample_region_ntp1_server,",",sample_region_ntp2_server),sample_region_ntp1_server)</f>
        <v>ntp0.sfo.rainpole.io,ntp1.sfo.rainpole.io</v>
      </c>
      <c r="D447" s="8" t="str">
        <f>IF(AND((NOT(ISBLANK(region_ntp2_server))),(region_ntp2_server &lt;&gt; "n/a")),CONCATENATE(region_ntp1_server,",",region_ntp2_server),region_ntp1_server)</f>
        <v>Value Missing,Value Missing</v>
      </c>
      <c r="E447" s="4"/>
    </row>
    <row r="448" spans="2:5" ht="20" customHeight="1" x14ac:dyDescent="0.2">
      <c r="B448" s="563" t="s">
        <v>378</v>
      </c>
      <c r="C448" s="564"/>
      <c r="D448" s="564"/>
      <c r="E448" s="565"/>
    </row>
    <row r="449" spans="2:5" ht="20" customHeight="1" x14ac:dyDescent="0.2">
      <c r="B449" s="30" t="s">
        <v>901</v>
      </c>
      <c r="C449" s="109" t="str">
        <f>CONCATENATE(this_instance,"-w0",wld_domain_number_chosen,"-nsx-gm01b")</f>
        <v>sfo-w01-nsx-gm01b</v>
      </c>
      <c r="D449" s="8"/>
      <c r="E449" s="4"/>
    </row>
    <row r="450" spans="2:5" ht="20" customHeight="1" x14ac:dyDescent="0.2">
      <c r="B450" s="30" t="s">
        <v>902</v>
      </c>
      <c r="C450" s="65" t="str">
        <f>sample_mgmt_datacenter</f>
        <v>sfo-m01-dc01</v>
      </c>
      <c r="D450" s="8" t="str">
        <f>mgmt_datacenter</f>
        <v>Value Missing</v>
      </c>
      <c r="E450" s="4"/>
    </row>
    <row r="451" spans="2:5" ht="20" customHeight="1" x14ac:dyDescent="0.2">
      <c r="B451" s="30" t="s">
        <v>903</v>
      </c>
      <c r="C451" s="65" t="str">
        <f>sample_mgmt_cl01_cluster</f>
        <v>sfo-m01-cl01</v>
      </c>
      <c r="D451" s="8" t="str">
        <f>mgmt_cl01_cluster</f>
        <v>Value Missing</v>
      </c>
      <c r="E451" s="4"/>
    </row>
    <row r="452" spans="2:5" ht="20" customHeight="1" x14ac:dyDescent="0.2">
      <c r="B452" s="30" t="s">
        <v>904</v>
      </c>
      <c r="C452" s="65" t="s">
        <v>657</v>
      </c>
      <c r="D452" s="8" t="str">
        <f>D435</f>
        <v>Large</v>
      </c>
      <c r="E452" s="4"/>
    </row>
    <row r="453" spans="2:5" ht="20" customHeight="1" x14ac:dyDescent="0.2">
      <c r="B453" s="30" t="s">
        <v>905</v>
      </c>
      <c r="C453" s="65" t="str">
        <f>sample_mgmt_cl01_vsan_datastore</f>
        <v>sfo-m01-cl01-ds-vsan01</v>
      </c>
      <c r="D453" s="8" t="str">
        <f>mgmt_cl01_vsan_datastore</f>
        <v>Value Missing</v>
      </c>
      <c r="E453" s="4"/>
    </row>
    <row r="454" spans="2:5" ht="20" customHeight="1" x14ac:dyDescent="0.2">
      <c r="B454" s="30" t="s">
        <v>906</v>
      </c>
      <c r="C454" s="65" t="str">
        <f>sample_mgmt_cl01_az1_mgmt_vm_pg</f>
        <v>sfo-m01-cl01-vds01-pg-vm-mgmt</v>
      </c>
      <c r="D454" s="8" t="str">
        <f>mgmt_cl01_az1_mgmt_vm_pg</f>
        <v>Value Missing</v>
      </c>
      <c r="E454" s="4"/>
    </row>
    <row r="455" spans="2:5" ht="20" customHeight="1" x14ac:dyDescent="0.2">
      <c r="B455" s="30" t="s">
        <v>907</v>
      </c>
      <c r="C455" s="65" t="str">
        <f>sample_wld_nsxt_gm_root_password</f>
        <v>VMw@re1!VMw@re1!</v>
      </c>
      <c r="D455" s="8" t="str">
        <f t="array" ref="D455">wld_nsxt_gm_root_password</f>
        <v>Value Missing</v>
      </c>
      <c r="E455" s="4"/>
    </row>
    <row r="456" spans="2:5" ht="20" customHeight="1" x14ac:dyDescent="0.2">
      <c r="B456" s="30" t="s">
        <v>908</v>
      </c>
      <c r="C456" s="65" t="str">
        <f>sample_wld_nsxt_gm_admin_password</f>
        <v>VMw@re1!VMw@re1!</v>
      </c>
      <c r="D456" s="8" t="str">
        <f t="array" ref="D456">wld_nsxt_gm_admin_password</f>
        <v>Value Missing</v>
      </c>
      <c r="E456" s="4"/>
    </row>
    <row r="457" spans="2:5" ht="20" customHeight="1" x14ac:dyDescent="0.2">
      <c r="B457" s="30" t="s">
        <v>909</v>
      </c>
      <c r="C457" s="65" t="str">
        <f>sample_wld_nsxt_gm_audit_password</f>
        <v>VMw@re1!VMw@re1!</v>
      </c>
      <c r="D457" s="8" t="str">
        <f t="array" ref="D457">wld_nsxt_gm_audit_password</f>
        <v>Value Missing</v>
      </c>
      <c r="E457" s="4"/>
    </row>
    <row r="458" spans="2:5" ht="20" customHeight="1" x14ac:dyDescent="0.2">
      <c r="B458" s="30" t="s">
        <v>910</v>
      </c>
      <c r="C458" s="65" t="str">
        <f>CONCATENATE(sample_wld_nsxt_global_mgrb_hostname,".",sample_child_dns_zone)</f>
        <v>sfo-w01-nsx-gm01b.sfo.rainpole.io</v>
      </c>
      <c r="D458" s="8"/>
      <c r="E458" s="4"/>
    </row>
    <row r="459" spans="2:5" ht="20" customHeight="1" x14ac:dyDescent="0.2">
      <c r="B459" s="30" t="s">
        <v>911</v>
      </c>
      <c r="C459" s="109" t="str">
        <f>IF(mgmt_dpg_reuse_result="Included",CONCATENATE(prefix_mgmt_az1_cidr,"10.",(143 + (30*(wld_domain_number_chosen - 1)))),CONCATENATE(prefix_mgmt_az1_cidr,"11.",(143 + (30*(wld_domain_number_chosen - 1)))))</f>
        <v>10.11.10.143</v>
      </c>
      <c r="D459" s="8"/>
      <c r="E459" s="4"/>
    </row>
    <row r="460" spans="2:5" ht="20" customHeight="1" x14ac:dyDescent="0.2">
      <c r="B460" s="30" t="s">
        <v>912</v>
      </c>
      <c r="C460" s="65" t="s">
        <v>126</v>
      </c>
      <c r="D460" s="8" t="str">
        <f>mgmt_az1_mgmt_vm_mask</f>
        <v>Value Missing</v>
      </c>
      <c r="E460" s="4"/>
    </row>
    <row r="461" spans="2:5" ht="20" customHeight="1" x14ac:dyDescent="0.2">
      <c r="B461" s="30" t="s">
        <v>913</v>
      </c>
      <c r="C461" s="65" t="str">
        <f>sample_mgmt_az1_mgmt_vm_gateway_cidr</f>
        <v>10.11.10.1/24</v>
      </c>
      <c r="D461" s="8" t="str">
        <f>mgmt_az1_mgmt_vm_gateway_ip</f>
        <v>Value Missing</v>
      </c>
      <c r="E461" s="4"/>
    </row>
    <row r="462" spans="2:5" ht="20" customHeight="1" x14ac:dyDescent="0.2">
      <c r="B462" s="30" t="s">
        <v>914</v>
      </c>
      <c r="C462" s="65" t="str">
        <f>CONCATENATE(sample_region_dns1_ip,",",sample_region_dns2_ip)</f>
        <v>10.11.10.4,10.11.10.5</v>
      </c>
      <c r="D462" s="8" t="str">
        <f>IF(ISBLANK(input_region_dns1_ip),"Value Missing",CONCATENATE(region_dns1_ip,",",IF(ISBLANK(region_dns2_ip),"Value Missing",region_dns2_ip)))</f>
        <v>Value Missing</v>
      </c>
      <c r="E462" s="4"/>
    </row>
    <row r="463" spans="2:5" ht="20" customHeight="1" x14ac:dyDescent="0.2">
      <c r="B463" s="30" t="s">
        <v>915</v>
      </c>
      <c r="C463" s="65" t="str">
        <f>CONCATENATE(sample_child_dns_zone,",",sample_parent_dns_zone)</f>
        <v>sfo.rainpole.io,rainpole.io</v>
      </c>
      <c r="D463" s="8" t="str">
        <f>CONCATENATE(child_dns_zone,",",parent_dns_zone)</f>
        <v>Value Missing,Value Missing</v>
      </c>
      <c r="E463" s="4"/>
    </row>
    <row r="464" spans="2:5" ht="20" customHeight="1" x14ac:dyDescent="0.2">
      <c r="B464" s="30" t="s">
        <v>916</v>
      </c>
      <c r="C464" s="65" t="str">
        <f>IF(AND((NOT(ISBLANK(sample_region_ntp2_server))),(sample_region_ntp2_server &lt;&gt; "n/a")),CONCATENATE(sample_region_ntp1_server,",",sample_region_ntp2_server),sample_region_ntp1_server)</f>
        <v>ntp0.sfo.rainpole.io,ntp1.sfo.rainpole.io</v>
      </c>
      <c r="D464" s="8" t="str">
        <f>IF(AND((NOT(ISBLANK(region_ntp2_server))),(region_ntp2_server &lt;&gt; "n/a")),CONCATENATE(region_ntp1_server,",",region_ntp2_server),region_ntp1_server)</f>
        <v>Value Missing,Value Missing</v>
      </c>
      <c r="E464" s="4"/>
    </row>
    <row r="465" spans="2:5" ht="20" customHeight="1" x14ac:dyDescent="0.2">
      <c r="B465" s="563" t="s">
        <v>395</v>
      </c>
      <c r="C465" s="564"/>
      <c r="D465" s="564"/>
      <c r="E465" s="565"/>
    </row>
    <row r="466" spans="2:5" ht="20" customHeight="1" x14ac:dyDescent="0.2">
      <c r="B466" s="30" t="s">
        <v>917</v>
      </c>
      <c r="C466" s="109" t="str">
        <f>CONCATENATE(this_instance,"-w0",wld_domain_number_chosen,"-nsx-gm01c")</f>
        <v>sfo-w01-nsx-gm01c</v>
      </c>
      <c r="D466" s="8"/>
      <c r="E466" s="4"/>
    </row>
    <row r="467" spans="2:5" ht="20" customHeight="1" x14ac:dyDescent="0.2">
      <c r="B467" s="30" t="s">
        <v>918</v>
      </c>
      <c r="C467" s="65" t="str">
        <f>sample_mgmt_datacenter</f>
        <v>sfo-m01-dc01</v>
      </c>
      <c r="D467" s="8" t="str">
        <f>mgmt_datacenter</f>
        <v>Value Missing</v>
      </c>
      <c r="E467" s="4"/>
    </row>
    <row r="468" spans="2:5" ht="20" customHeight="1" x14ac:dyDescent="0.2">
      <c r="B468" s="30" t="s">
        <v>919</v>
      </c>
      <c r="C468" s="65" t="str">
        <f>sample_mgmt_cl01_cluster</f>
        <v>sfo-m01-cl01</v>
      </c>
      <c r="D468" s="8" t="str">
        <f>mgmt_cl01_cluster</f>
        <v>Value Missing</v>
      </c>
      <c r="E468" s="4"/>
    </row>
    <row r="469" spans="2:5" ht="20" customHeight="1" x14ac:dyDescent="0.2">
      <c r="B469" s="30" t="s">
        <v>920</v>
      </c>
      <c r="C469" s="65" t="s">
        <v>657</v>
      </c>
      <c r="D469" s="8" t="str">
        <f>D435</f>
        <v>Large</v>
      </c>
      <c r="E469" s="4"/>
    </row>
    <row r="470" spans="2:5" ht="20" customHeight="1" x14ac:dyDescent="0.2">
      <c r="B470" s="30" t="s">
        <v>921</v>
      </c>
      <c r="C470" s="65" t="str">
        <f>sample_mgmt_cl01_vsan_datastore</f>
        <v>sfo-m01-cl01-ds-vsan01</v>
      </c>
      <c r="D470" s="8" t="str">
        <f>mgmt_cl01_vsan_datastore</f>
        <v>Value Missing</v>
      </c>
      <c r="E470" s="4"/>
    </row>
    <row r="471" spans="2:5" ht="20" customHeight="1" x14ac:dyDescent="0.2">
      <c r="B471" s="30" t="s">
        <v>922</v>
      </c>
      <c r="C471" s="65" t="str">
        <f>sample_mgmt_cl01_az1_mgmt_vm_pg</f>
        <v>sfo-m01-cl01-vds01-pg-vm-mgmt</v>
      </c>
      <c r="D471" s="8" t="str">
        <f>mgmt_cl01_az1_mgmt_vm_pg</f>
        <v>Value Missing</v>
      </c>
      <c r="E471" s="4"/>
    </row>
    <row r="472" spans="2:5" ht="20" customHeight="1" x14ac:dyDescent="0.2">
      <c r="B472" s="30" t="s">
        <v>923</v>
      </c>
      <c r="C472" s="65" t="str">
        <f>sample_wld_nsxt_gm_root_password</f>
        <v>VMw@re1!VMw@re1!</v>
      </c>
      <c r="D472" s="8" t="str">
        <f t="array" ref="D472">wld_nsxt_gm_root_password</f>
        <v>Value Missing</v>
      </c>
      <c r="E472" s="4"/>
    </row>
    <row r="473" spans="2:5" ht="20" customHeight="1" x14ac:dyDescent="0.2">
      <c r="B473" s="30" t="s">
        <v>924</v>
      </c>
      <c r="C473" s="65" t="str">
        <f>sample_wld_nsxt_gm_admin_password</f>
        <v>VMw@re1!VMw@re1!</v>
      </c>
      <c r="D473" s="8" t="str">
        <f t="array" ref="D473">wld_nsxt_gm_admin_password</f>
        <v>Value Missing</v>
      </c>
      <c r="E473" s="4"/>
    </row>
    <row r="474" spans="2:5" ht="20" customHeight="1" x14ac:dyDescent="0.2">
      <c r="B474" s="30" t="s">
        <v>925</v>
      </c>
      <c r="C474" s="65" t="str">
        <f>sample_wld_nsxt_gm_audit_password</f>
        <v>VMw@re1!VMw@re1!</v>
      </c>
      <c r="D474" s="8" t="str">
        <f t="array" ref="D474">wld_nsxt_gm_audit_password</f>
        <v>Value Missing</v>
      </c>
      <c r="E474" s="4"/>
    </row>
    <row r="475" spans="2:5" ht="20" customHeight="1" x14ac:dyDescent="0.2">
      <c r="B475" s="30" t="s">
        <v>926</v>
      </c>
      <c r="C475" s="65" t="str">
        <f>CONCATENATE(sample_wld_nsxt_global_mgrc_hostname,".",sample_child_dns_zone)</f>
        <v>sfo-w01-nsx-gm01c.sfo.rainpole.io</v>
      </c>
      <c r="D475" s="8"/>
      <c r="E475" s="4"/>
    </row>
    <row r="476" spans="2:5" ht="20" customHeight="1" x14ac:dyDescent="0.2">
      <c r="B476" s="30" t="s">
        <v>927</v>
      </c>
      <c r="C476" s="109" t="str">
        <f>IF(mgmt_dpg_reuse_result="Included",CONCATENATE(prefix_mgmt_az1_cidr,"10.",(144 + (30*(wld_domain_number_chosen - 1)))),CONCATENATE(prefix_mgmt_az1_cidr,"11.",(144 + (30*(wld_domain_number_chosen - 1)))))</f>
        <v>10.11.10.144</v>
      </c>
      <c r="D476" s="8"/>
      <c r="E476" s="4"/>
    </row>
    <row r="477" spans="2:5" ht="20" customHeight="1" x14ac:dyDescent="0.2">
      <c r="B477" s="30" t="s">
        <v>928</v>
      </c>
      <c r="C477" s="65" t="s">
        <v>126</v>
      </c>
      <c r="D477" s="8" t="str">
        <f>mgmt_az1_mgmt_vm_mask</f>
        <v>Value Missing</v>
      </c>
      <c r="E477" s="4"/>
    </row>
    <row r="478" spans="2:5" ht="20" customHeight="1" x14ac:dyDescent="0.2">
      <c r="B478" s="30" t="s">
        <v>929</v>
      </c>
      <c r="C478" s="65" t="str">
        <f>sample_mgmt_az1_mgmt_vm_gateway_cidr</f>
        <v>10.11.10.1/24</v>
      </c>
      <c r="D478" s="8" t="str">
        <f>mgmt_az1_mgmt_vm_gateway_ip</f>
        <v>Value Missing</v>
      </c>
      <c r="E478" s="4"/>
    </row>
    <row r="479" spans="2:5" ht="20" customHeight="1" x14ac:dyDescent="0.2">
      <c r="B479" s="30" t="s">
        <v>930</v>
      </c>
      <c r="C479" s="65" t="str">
        <f>CONCATENATE(sample_region_dns1_ip,",",sample_region_dns2_ip)</f>
        <v>10.11.10.4,10.11.10.5</v>
      </c>
      <c r="D479" s="8" t="str">
        <f>IF(ISBLANK(region_dns1_ip),"Value Missing",_xlfn.CONCAT(region_dns1_ip,",",IF(ISBLANK(region_dns2_ip),"Value Missing",region_dns2_ip)))</f>
        <v>Value Missing,Value Missing</v>
      </c>
      <c r="E479" s="4"/>
    </row>
    <row r="480" spans="2:5" ht="20" customHeight="1" x14ac:dyDescent="0.2">
      <c r="B480" s="30" t="s">
        <v>931</v>
      </c>
      <c r="C480" s="65" t="str">
        <f>CONCATENATE(sample_child_dns_zone,",",sample_parent_dns_zone)</f>
        <v>sfo.rainpole.io,rainpole.io</v>
      </c>
      <c r="D480" s="8" t="str">
        <f>CONCATENATE(child_dns_zone,",",parent_dns_zone)</f>
        <v>Value Missing,Value Missing</v>
      </c>
      <c r="E480" s="4"/>
    </row>
    <row r="481" spans="2:5" ht="20" customHeight="1" x14ac:dyDescent="0.2">
      <c r="B481" s="30" t="s">
        <v>932</v>
      </c>
      <c r="C481" s="65" t="str">
        <f>IF(AND((NOT(ISBLANK(sample_region_ntp2_server))),(sample_region_ntp2_server &lt;&gt; "n/a")),CONCATENATE(sample_region_ntp1_server,",",sample_region_ntp2_server),sample_region_ntp1_server)</f>
        <v>ntp0.sfo.rainpole.io,ntp1.sfo.rainpole.io</v>
      </c>
      <c r="D481" s="8" t="str">
        <f>IF(AND((NOT(ISBLANK(region_ntp2_server))),(region_ntp2_server &lt;&gt; "n/a")),CONCATENATE(region_ntp1_server,",",region_ntp2_server),region_ntp1_server)</f>
        <v>Value Missing,Value Missing</v>
      </c>
      <c r="E481" s="4"/>
    </row>
    <row r="482" spans="2:5" ht="20" customHeight="1" x14ac:dyDescent="0.2">
      <c r="B482" s="30" t="s">
        <v>412</v>
      </c>
      <c r="C482" s="65" t="str">
        <f>CONCATENATE(sample_wld_nsxt_global_mgra_hostname,".",sample_child_dns_zone)</f>
        <v>sfo-w01-nsx-gm01a.sfo.rainpole.io</v>
      </c>
      <c r="D482" s="8" t="str">
        <f>wld_nsxt_global_mgra_fqdn</f>
        <v>Value Missing</v>
      </c>
      <c r="E482" s="4"/>
    </row>
    <row r="483" spans="2:5" ht="16" customHeight="1" x14ac:dyDescent="0.2"/>
    <row r="484" spans="2:5" ht="20" customHeight="1" x14ac:dyDescent="0.2">
      <c r="B484" s="613" t="s">
        <v>413</v>
      </c>
      <c r="C484" s="601"/>
      <c r="D484" s="601"/>
      <c r="E484" s="601"/>
    </row>
    <row r="485" spans="2:5" ht="20" customHeight="1" x14ac:dyDescent="0.2">
      <c r="B485" s="63" t="s">
        <v>18</v>
      </c>
      <c r="C485" s="63" t="s">
        <v>19</v>
      </c>
      <c r="D485" s="63" t="s">
        <v>20</v>
      </c>
      <c r="E485" s="63" t="s">
        <v>21</v>
      </c>
    </row>
    <row r="486" spans="2:5" ht="20" customHeight="1" x14ac:dyDescent="0.2">
      <c r="B486" s="23" t="s">
        <v>359</v>
      </c>
      <c r="C486" s="65" t="str">
        <f>sample_mgmt_vc_fqdn</f>
        <v>sfo-m01-vc01.sfo.rainpole.io</v>
      </c>
      <c r="D486" s="8" t="str">
        <f>mgmt_vc_fqdn</f>
        <v>Value Missing</v>
      </c>
      <c r="E486" s="4"/>
    </row>
    <row r="487" spans="2:5" ht="20" customHeight="1" x14ac:dyDescent="0.2">
      <c r="B487" s="23" t="s">
        <v>414</v>
      </c>
      <c r="C487" s="154" t="s">
        <v>933</v>
      </c>
      <c r="D487" s="8"/>
      <c r="E487" s="87"/>
    </row>
    <row r="488" spans="2:5" ht="20" customHeight="1" x14ac:dyDescent="0.2">
      <c r="B488" s="23" t="s">
        <v>934</v>
      </c>
      <c r="C488" s="154" t="s">
        <v>935</v>
      </c>
      <c r="D488" s="8"/>
      <c r="E488" s="87"/>
    </row>
    <row r="489" spans="2:5" ht="20" customHeight="1" x14ac:dyDescent="0.2">
      <c r="B489" s="23" t="s">
        <v>418</v>
      </c>
      <c r="C489" s="65" t="str">
        <f>CONCATENATE(sample_wld_nsxt_global_mgrb_hostname,".",sample_child_dns_zone)</f>
        <v>sfo-w01-nsx-gm01b.sfo.rainpole.io</v>
      </c>
      <c r="D489" s="8" t="str">
        <f>wld_nsxt_global_mgrb_fqdn</f>
        <v>Value Missing</v>
      </c>
      <c r="E489" s="87"/>
    </row>
    <row r="490" spans="2:5" ht="20" customHeight="1" x14ac:dyDescent="0.2">
      <c r="B490" s="23" t="s">
        <v>419</v>
      </c>
      <c r="C490" s="65" t="str">
        <f>sample_wld_nsxt_global_mgra_ip</f>
        <v>10.11.10.142</v>
      </c>
      <c r="D490" s="8" t="str">
        <f>wld_nsxt_global_mgra_ip</f>
        <v>Value Missing</v>
      </c>
      <c r="E490" s="87"/>
    </row>
    <row r="491" spans="2:5" ht="20" customHeight="1" x14ac:dyDescent="0.2">
      <c r="B491" s="23" t="s">
        <v>420</v>
      </c>
      <c r="C491" s="65" t="str">
        <f>sample_wld_nsxt_global_mgr_cluster_id</f>
        <v>da3bd7dc-aa06-4f2d-a9e1-0c4999354c9b</v>
      </c>
      <c r="D491" s="8" t="str">
        <f>wld_nsxt_global_mgr_cluster_id</f>
        <v>Value Missing</v>
      </c>
      <c r="E491" s="87"/>
    </row>
    <row r="492" spans="2:5" ht="20" customHeight="1" x14ac:dyDescent="0.2">
      <c r="B492" s="23" t="s">
        <v>421</v>
      </c>
      <c r="C492" s="65" t="s">
        <v>422</v>
      </c>
      <c r="D492" s="8"/>
      <c r="E492" s="87"/>
    </row>
    <row r="493" spans="2:5" ht="20" customHeight="1" x14ac:dyDescent="0.2">
      <c r="B493" s="23" t="s">
        <v>423</v>
      </c>
      <c r="C493" s="65" t="str">
        <f>sample_nsxt_gm_admin_password</f>
        <v>VMw@re1!VMw@re1!</v>
      </c>
      <c r="D493" s="8" t="str">
        <f>nsxt_gm_admin_password</f>
        <v>Value Missing</v>
      </c>
      <c r="E493" s="87"/>
    </row>
    <row r="494" spans="2:5" ht="20" customHeight="1" x14ac:dyDescent="0.2">
      <c r="B494" s="23" t="s">
        <v>424</v>
      </c>
      <c r="C494" s="65" t="str">
        <f>sample_wld_nsxt_global_mgr_vmca_signed_thumbprint</f>
        <v>d7a6264cd8f74033e851944a205110afdeb046386af42ce47240939c417acb93</v>
      </c>
      <c r="D494" s="8" t="str">
        <f>wld_nsxt_global_mgr_vmca_signed_thumbprint</f>
        <v>Value Missing</v>
      </c>
      <c r="E494" s="87"/>
    </row>
    <row r="495" spans="2:5" ht="20" customHeight="1" x14ac:dyDescent="0.2">
      <c r="B495" s="23" t="s">
        <v>425</v>
      </c>
      <c r="C495" s="65" t="str">
        <f>CONCATENATE(sample_wld_nsxt_global_mgrc_hostname,".",sample_child_dns_zone)</f>
        <v>sfo-w01-nsx-gm01c.sfo.rainpole.io</v>
      </c>
      <c r="D495" s="8" t="str">
        <f>wld_nsxt_global_mgrc_fqdn</f>
        <v>Value Missing</v>
      </c>
      <c r="E495" s="87"/>
    </row>
    <row r="496" spans="2:5" ht="20" customHeight="1" x14ac:dyDescent="0.2">
      <c r="B496" s="23" t="s">
        <v>936</v>
      </c>
      <c r="C496" s="65" t="str">
        <f>sample_wld_nsxt_global_mgra_ip</f>
        <v>10.11.10.142</v>
      </c>
      <c r="D496" s="8" t="str">
        <f>wld_nsxt_global_mgra_ip</f>
        <v>Value Missing</v>
      </c>
      <c r="E496" s="87"/>
    </row>
    <row r="497" spans="2:5" ht="20" customHeight="1" x14ac:dyDescent="0.2">
      <c r="B497" s="23" t="s">
        <v>937</v>
      </c>
      <c r="C497" s="65" t="str">
        <f>sample_wld_nsxt_global_mgr_cluster_id</f>
        <v>da3bd7dc-aa06-4f2d-a9e1-0c4999354c9b</v>
      </c>
      <c r="D497" s="8" t="str">
        <f>wld_nsxt_global_mgr_cluster_id</f>
        <v>Value Missing</v>
      </c>
      <c r="E497" s="87"/>
    </row>
    <row r="498" spans="2:5" ht="20" customHeight="1" x14ac:dyDescent="0.2">
      <c r="B498" s="23" t="s">
        <v>428</v>
      </c>
      <c r="C498" s="65" t="s">
        <v>422</v>
      </c>
      <c r="D498" s="8"/>
      <c r="E498" s="87"/>
    </row>
    <row r="499" spans="2:5" ht="20" customHeight="1" x14ac:dyDescent="0.2">
      <c r="B499" s="23" t="s">
        <v>429</v>
      </c>
      <c r="C499" s="65" t="str">
        <f>sample_nsxt_gm_admin_password</f>
        <v>VMw@re1!VMw@re1!</v>
      </c>
      <c r="D499" s="8" t="str">
        <f>nsxt_gm_admin_password</f>
        <v>Value Missing</v>
      </c>
      <c r="E499" s="87"/>
    </row>
    <row r="500" spans="2:5" ht="20" customHeight="1" x14ac:dyDescent="0.2">
      <c r="B500" s="23" t="s">
        <v>430</v>
      </c>
      <c r="C500" s="65" t="str">
        <f>sample_wld_nsxt_global_mgr_vmca_signed_thumbprint</f>
        <v>d7a6264cd8f74033e851944a205110afdeb046386af42ce47240939c417acb93</v>
      </c>
      <c r="D500" s="8" t="str">
        <f>wld_nsxt_global_mgr_vmca_signed_thumbprint</f>
        <v>Value Missing</v>
      </c>
      <c r="E500" s="87"/>
    </row>
    <row r="501" spans="2:5" ht="16" customHeight="1" x14ac:dyDescent="0.2"/>
    <row r="502" spans="2:5" ht="20" customHeight="1" x14ac:dyDescent="0.2">
      <c r="B502" s="563" t="s">
        <v>431</v>
      </c>
      <c r="C502" s="564"/>
      <c r="D502" s="564"/>
      <c r="E502" s="565"/>
    </row>
    <row r="503" spans="2:5" ht="20" customHeight="1" x14ac:dyDescent="0.2">
      <c r="B503" s="63" t="s">
        <v>18</v>
      </c>
      <c r="C503" s="63" t="s">
        <v>19</v>
      </c>
      <c r="D503" s="63" t="s">
        <v>20</v>
      </c>
      <c r="E503" s="63" t="s">
        <v>21</v>
      </c>
    </row>
    <row r="504" spans="2:5" ht="20" customHeight="1" x14ac:dyDescent="0.2">
      <c r="B504" s="4" t="s">
        <v>359</v>
      </c>
      <c r="C504" s="65" t="str">
        <f>sample_mgmt_vc_fqdn</f>
        <v>sfo-m01-vc01.sfo.rainpole.io</v>
      </c>
      <c r="D504" s="8" t="str">
        <f>mgmt_vc_fqdn</f>
        <v>Value Missing</v>
      </c>
      <c r="E504" s="4"/>
    </row>
    <row r="505" spans="2:5" ht="20" customHeight="1" x14ac:dyDescent="0.2">
      <c r="B505" s="4" t="s">
        <v>254</v>
      </c>
      <c r="C505" s="65" t="str">
        <f>CONCATENATE(sample_wld_sddc_domain,"-anti-affinity-rule-nsx-global-managers")</f>
        <v>sfo-w01-anti-affinity-rule-nsx-global-managers</v>
      </c>
      <c r="D505" s="8"/>
      <c r="E505" s="4"/>
    </row>
    <row r="506" spans="2:5" ht="20" customHeight="1" x14ac:dyDescent="0.2">
      <c r="B506" s="4" t="s">
        <v>432</v>
      </c>
      <c r="C506" s="65" t="str">
        <f>sample_wld_nsxt_global_mgra_hostname</f>
        <v>sfo-w01-nsx-gm01a</v>
      </c>
      <c r="D506" s="8" t="str">
        <f>wld_nsxt_global_mgra_hostname</f>
        <v>Value Missing</v>
      </c>
      <c r="E506" s="4"/>
    </row>
    <row r="507" spans="2:5" ht="20" customHeight="1" x14ac:dyDescent="0.2">
      <c r="B507" s="4" t="s">
        <v>433</v>
      </c>
      <c r="C507" s="65" t="str">
        <f>sample_wld_nsxt_global_mgrb_hostname</f>
        <v>sfo-w01-nsx-gm01b</v>
      </c>
      <c r="D507" s="8" t="str">
        <f>wld_nsxt_global_mgrb_hostname</f>
        <v>Value Missing</v>
      </c>
      <c r="E507" s="4"/>
    </row>
    <row r="508" spans="2:5" ht="20" customHeight="1" x14ac:dyDescent="0.2">
      <c r="B508" s="4" t="s">
        <v>434</v>
      </c>
      <c r="C508" s="65" t="str">
        <f>sample_wld_nsxt_global_mgrc_hostname</f>
        <v>sfo-w01-nsx-gm01c</v>
      </c>
      <c r="D508" s="8" t="str">
        <f>wld_nsxt_global_mgrc_hostname</f>
        <v>Value Missing</v>
      </c>
      <c r="E508" s="4"/>
    </row>
    <row r="509" spans="2:5" ht="16" customHeight="1" x14ac:dyDescent="0.2"/>
    <row r="510" spans="2:5" ht="20" customHeight="1" x14ac:dyDescent="0.2">
      <c r="B510" s="563" t="s">
        <v>435</v>
      </c>
      <c r="C510" s="564"/>
      <c r="D510" s="564"/>
      <c r="E510" s="565"/>
    </row>
    <row r="511" spans="2:5" ht="20" customHeight="1" x14ac:dyDescent="0.2">
      <c r="B511" s="63" t="s">
        <v>18</v>
      </c>
      <c r="C511" s="63" t="s">
        <v>19</v>
      </c>
      <c r="D511" s="63" t="s">
        <v>20</v>
      </c>
      <c r="E511" s="63" t="s">
        <v>21</v>
      </c>
    </row>
    <row r="512" spans="2:5" ht="20" customHeight="1" x14ac:dyDescent="0.2">
      <c r="B512" s="4" t="s">
        <v>436</v>
      </c>
      <c r="C512" s="65" t="str">
        <f>CONCATENATE(sample_wld_nsxt_global_mgra_hostname,".",sample_child_dns_zone)</f>
        <v>sfo-w01-nsx-gm01a.sfo.rainpole.io</v>
      </c>
      <c r="D512" s="8" t="str">
        <f>wld_nsxt_global_mgra_fqdn</f>
        <v>Value Missing</v>
      </c>
      <c r="E512" s="4"/>
    </row>
    <row r="513" spans="2:5" ht="20" customHeight="1" x14ac:dyDescent="0.2">
      <c r="B513" s="4" t="s">
        <v>437</v>
      </c>
      <c r="C513" s="109" t="str">
        <f>IF(mgmt_dpg_reuse_result="Included",CONCATENATE(prefix_mgmt_az1_cidr,"10.",(141 + (30*(wld_domain_number_chosen - 1)))),CONCATENATE(prefix_mgmt_az1_cidr,"11.",(141 + (30*(wld_domain_number_chosen - 1)))))</f>
        <v>10.11.10.141</v>
      </c>
      <c r="D513" s="8"/>
      <c r="E513" s="4"/>
    </row>
    <row r="514" spans="2:5" ht="20" customHeight="1" x14ac:dyDescent="0.2">
      <c r="B514" s="4" t="s">
        <v>438</v>
      </c>
      <c r="C514" s="109" t="str">
        <f>CONCATENATE(this_instance,"-w0",wld_domain_number_chosen,"-nsx-gm01",".",sample_child_dns_zone)</f>
        <v>sfo-w01-nsx-gm01.sfo.rainpole.io</v>
      </c>
      <c r="D514" s="8"/>
      <c r="E514" s="87"/>
    </row>
    <row r="515" spans="2:5" ht="16" customHeight="1" x14ac:dyDescent="0.2"/>
    <row r="516" spans="2:5" ht="20" customHeight="1" x14ac:dyDescent="0.2">
      <c r="B516" s="563" t="s">
        <v>439</v>
      </c>
      <c r="C516" s="564"/>
      <c r="D516" s="564"/>
      <c r="E516" s="565"/>
    </row>
    <row r="517" spans="2:5" ht="20" customHeight="1" x14ac:dyDescent="0.2">
      <c r="B517" s="63" t="s">
        <v>18</v>
      </c>
      <c r="C517" s="63" t="s">
        <v>19</v>
      </c>
      <c r="D517" s="63" t="s">
        <v>20</v>
      </c>
      <c r="E517" s="63" t="s">
        <v>21</v>
      </c>
    </row>
    <row r="518" spans="2:5" ht="20" customHeight="1" x14ac:dyDescent="0.2">
      <c r="B518" s="4" t="s">
        <v>438</v>
      </c>
      <c r="C518" s="65" t="str">
        <f>sample_wld_nsxt_gm_vip_fqdn</f>
        <v>sfo-w01-nsx-gm01.sfo.rainpole.io</v>
      </c>
      <c r="D518" s="8" t="str">
        <f>wld_nsxt_gm_vip_fqdn</f>
        <v>Value Missing</v>
      </c>
      <c r="E518" s="87"/>
    </row>
    <row r="519" spans="2:5" ht="16" customHeight="1" x14ac:dyDescent="0.2"/>
    <row r="520" spans="2:5" ht="20" customHeight="1" x14ac:dyDescent="0.2">
      <c r="B520" s="563" t="s">
        <v>440</v>
      </c>
      <c r="C520" s="564"/>
      <c r="D520" s="564"/>
      <c r="E520" s="565"/>
    </row>
    <row r="521" spans="2:5" ht="20" customHeight="1" x14ac:dyDescent="0.2">
      <c r="B521" s="63" t="s">
        <v>18</v>
      </c>
      <c r="C521" s="63" t="s">
        <v>19</v>
      </c>
      <c r="D521" s="63" t="s">
        <v>20</v>
      </c>
      <c r="E521" s="63" t="s">
        <v>21</v>
      </c>
    </row>
    <row r="522" spans="2:5" ht="20" customHeight="1" x14ac:dyDescent="0.2">
      <c r="B522" s="4" t="s">
        <v>438</v>
      </c>
      <c r="C522" s="65" t="str">
        <f>sample_wld_nsxt_gm_vip_fqdn</f>
        <v>sfo-w01-nsx-gm01.sfo.rainpole.io</v>
      </c>
      <c r="D522" s="8" t="str">
        <f>wld_nsxt_gm_vip_fqdn</f>
        <v>Value Missing</v>
      </c>
      <c r="E522" s="87"/>
    </row>
    <row r="523" spans="2:5" ht="20" customHeight="1" x14ac:dyDescent="0.2">
      <c r="B523" s="4" t="s">
        <v>441</v>
      </c>
      <c r="C523" s="154" t="s">
        <v>938</v>
      </c>
      <c r="D523" s="8"/>
      <c r="E523" s="87"/>
    </row>
    <row r="524" spans="2:5" ht="20" customHeight="1" x14ac:dyDescent="0.2">
      <c r="B524" s="4" t="s">
        <v>436</v>
      </c>
      <c r="C524" s="65" t="str">
        <f>CONCATENATE(sample_wld_nsxt_global_mgra_hostname,".",sample_child_dns_zone)</f>
        <v>sfo-w01-nsx-gm01a.sfo.rainpole.io</v>
      </c>
      <c r="D524" s="8" t="str">
        <f>wld_nsxt_global_mgra_fqdn</f>
        <v>Value Missing</v>
      </c>
      <c r="E524" s="4"/>
    </row>
    <row r="525" spans="2:5" ht="20" customHeight="1" x14ac:dyDescent="0.2">
      <c r="B525" s="4" t="s">
        <v>443</v>
      </c>
      <c r="C525" s="65" t="str">
        <f>sample_wld_nsxt_global_mgr_certificate_id</f>
        <v>b900065b-aeb5-457e-aca6-4612b17d06d9</v>
      </c>
      <c r="D525" s="8" t="str">
        <f>wld_nsxt_global_mgr_certificate_id</f>
        <v>Value Missing</v>
      </c>
      <c r="E525" s="87"/>
    </row>
    <row r="526" spans="2:5" ht="16" customHeight="1" x14ac:dyDescent="0.2"/>
    <row r="527" spans="2:5" ht="20" customHeight="1" x14ac:dyDescent="0.2">
      <c r="B527" s="563" t="s">
        <v>444</v>
      </c>
      <c r="C527" s="564"/>
      <c r="D527" s="564"/>
      <c r="E527" s="565"/>
    </row>
    <row r="528" spans="2:5" ht="20" customHeight="1" x14ac:dyDescent="0.2">
      <c r="B528" s="63" t="s">
        <v>18</v>
      </c>
      <c r="C528" s="63" t="s">
        <v>19</v>
      </c>
      <c r="D528" s="63" t="s">
        <v>20</v>
      </c>
      <c r="E528" s="63" t="s">
        <v>21</v>
      </c>
    </row>
    <row r="529" spans="2:5" ht="20" customHeight="1" x14ac:dyDescent="0.2">
      <c r="B529" s="4" t="s">
        <v>438</v>
      </c>
      <c r="C529" s="65" t="str">
        <f>sample_wld_nsxt_gm_vip_fqdn</f>
        <v>sfo-w01-nsx-gm01.sfo.rainpole.io</v>
      </c>
      <c r="D529" s="8" t="str">
        <f>wld_nsxt_gm_vip_fqdn</f>
        <v>Value Missing</v>
      </c>
      <c r="E529" s="87"/>
    </row>
    <row r="530" spans="2:5" ht="20" customHeight="1" x14ac:dyDescent="0.2">
      <c r="B530" s="4" t="s">
        <v>445</v>
      </c>
      <c r="C530" s="65" t="str">
        <f>CONCATENATE(sample_wld_nsxt_global_mgrb_hostname,".",sample_child_dns_zone)</f>
        <v>sfo-w01-nsx-gm01b.sfo.rainpole.io</v>
      </c>
      <c r="D530" s="8" t="str">
        <f>wld_nsxt_global_mgrb_fqdn</f>
        <v>Value Missing</v>
      </c>
      <c r="E530" s="4"/>
    </row>
    <row r="531" spans="2:5" ht="20" customHeight="1" x14ac:dyDescent="0.2">
      <c r="B531" s="4" t="s">
        <v>446</v>
      </c>
      <c r="C531" s="65" t="str">
        <f>CONCATENATE(sample_wld_nsxt_global_mgrc_hostname,".",sample_child_dns_zone)</f>
        <v>sfo-w01-nsx-gm01c.sfo.rainpole.io</v>
      </c>
      <c r="D531" s="8" t="str">
        <f>wld_nsxt_global_mgrc_fqdn</f>
        <v>Value Missing</v>
      </c>
      <c r="E531" s="4"/>
    </row>
    <row r="532" spans="2:5" ht="20" customHeight="1" x14ac:dyDescent="0.2">
      <c r="B532" s="4" t="s">
        <v>443</v>
      </c>
      <c r="C532" s="65" t="str">
        <f>sample_wld_nsxt_global_mgr_certificate_id</f>
        <v>b900065b-aeb5-457e-aca6-4612b17d06d9</v>
      </c>
      <c r="D532" s="8" t="str">
        <f>wld_nsxt_global_mgr_certificate_id</f>
        <v>Value Missing</v>
      </c>
      <c r="E532" s="87"/>
    </row>
    <row r="533" spans="2:5" ht="16" customHeight="1" x14ac:dyDescent="0.2"/>
    <row r="534" spans="2:5" ht="20" customHeight="1" x14ac:dyDescent="0.2">
      <c r="B534" s="563" t="s">
        <v>447</v>
      </c>
      <c r="C534" s="564"/>
      <c r="D534" s="564"/>
      <c r="E534" s="565"/>
    </row>
    <row r="535" spans="2:5" ht="20" customHeight="1" x14ac:dyDescent="0.2">
      <c r="B535" s="63" t="s">
        <v>254</v>
      </c>
      <c r="C535" s="63" t="s">
        <v>255</v>
      </c>
      <c r="D535" s="119" t="s">
        <v>20</v>
      </c>
      <c r="E535" s="63" t="s">
        <v>256</v>
      </c>
    </row>
    <row r="536" spans="2:5" ht="20" customHeight="1" x14ac:dyDescent="0.2">
      <c r="B536" s="4" t="s">
        <v>448</v>
      </c>
      <c r="C536" s="65" t="str">
        <f>sample_wld_nsxt_vip_fqdn</f>
        <v>sfo-w01-nsx01.sfo.rainpole.io</v>
      </c>
      <c r="D536" s="8" t="str">
        <f>wld_nsxt_vip_fqdn</f>
        <v>Value Missing</v>
      </c>
      <c r="E536" s="4"/>
    </row>
    <row r="537" spans="2:5" ht="20" customHeight="1" x14ac:dyDescent="0.2">
      <c r="B537" s="4" t="s">
        <v>254</v>
      </c>
      <c r="C537" s="103" t="str">
        <f>CONCATENATE(this_instance,"-w0",wld_domain_number_chosen,"-r01-ip-pool-rtep")</f>
        <v>sfo-w01-r01-ip-pool-rtep</v>
      </c>
      <c r="D537" s="8"/>
      <c r="E537" s="4"/>
    </row>
    <row r="538" spans="2:5" ht="20" customHeight="1" x14ac:dyDescent="0.2">
      <c r="B538" s="23" t="s">
        <v>449</v>
      </c>
      <c r="C538" s="103" t="str">
        <f>CONCATENATE(prefix_wld_az1_cidr,"20.101")</f>
        <v>10.13.20.101</v>
      </c>
      <c r="D538" s="8"/>
      <c r="E538" s="4"/>
    </row>
    <row r="539" spans="2:5" ht="20" customHeight="1" x14ac:dyDescent="0.2">
      <c r="B539" s="30" t="s">
        <v>450</v>
      </c>
      <c r="C539" s="103" t="str">
        <f>IF(wld_stretched_cluster_result="Excluded",CONCATENATE(prefix_wld_az1_cidr,"20.116"),CONCATENATE(prefix_wld_az1_cidr,"20.132"))</f>
        <v>10.13.20.116</v>
      </c>
      <c r="D539" s="8"/>
      <c r="E539" s="4"/>
    </row>
    <row r="540" spans="2:5" ht="20" customHeight="1" x14ac:dyDescent="0.2">
      <c r="B540" s="4" t="s">
        <v>451</v>
      </c>
      <c r="C540" s="103" t="str">
        <f>CONCATENATE(prefix_wld_az1_cidr,"20.0/24")</f>
        <v>10.13.20.0/24</v>
      </c>
      <c r="D540" s="8"/>
      <c r="E540" s="4"/>
    </row>
    <row r="541" spans="2:5" ht="20" customHeight="1" x14ac:dyDescent="0.2">
      <c r="B541" s="4" t="s">
        <v>452</v>
      </c>
      <c r="C541" s="103" t="str">
        <f>CONCATENATE(prefix_wld_az1_cidr,"20.1")</f>
        <v>10.13.20.1</v>
      </c>
      <c r="D541" s="8"/>
      <c r="E541" s="4"/>
    </row>
    <row r="542" spans="2:5" ht="20" customHeight="1" x14ac:dyDescent="0.2"/>
    <row r="543" spans="2:5" ht="20" customHeight="1" x14ac:dyDescent="0.2">
      <c r="B543" s="563" t="s">
        <v>453</v>
      </c>
      <c r="C543" s="564"/>
      <c r="D543" s="564"/>
      <c r="E543" s="565"/>
    </row>
    <row r="544" spans="2:5" ht="20" customHeight="1" x14ac:dyDescent="0.2">
      <c r="B544" s="63" t="s">
        <v>18</v>
      </c>
      <c r="C544" s="63" t="s">
        <v>19</v>
      </c>
      <c r="D544" s="63" t="s">
        <v>20</v>
      </c>
      <c r="E544" s="63" t="s">
        <v>21</v>
      </c>
    </row>
    <row r="545" spans="2:5" ht="20" customHeight="1" x14ac:dyDescent="0.2">
      <c r="B545" s="4" t="s">
        <v>454</v>
      </c>
      <c r="C545" s="65" t="str">
        <f>sample_wld_nsxt_gm_vip_fqdn</f>
        <v>sfo-w01-nsx-gm01.sfo.rainpole.io</v>
      </c>
      <c r="D545" s="8" t="str">
        <f>wld_nsxt_gm_vip_fqdn</f>
        <v>Value Missing</v>
      </c>
      <c r="E545" s="87"/>
    </row>
    <row r="546" spans="2:5" ht="20" customHeight="1" x14ac:dyDescent="0.2">
      <c r="B546" s="4" t="s">
        <v>455</v>
      </c>
      <c r="C546" s="65" t="str">
        <f>sample_wld_nsxt_federation_global_manager_name</f>
        <v>sfo-w01-nsx-gm01</v>
      </c>
      <c r="D546" s="8"/>
      <c r="E546" s="87"/>
    </row>
    <row r="547" spans="2:5" ht="16" customHeight="1" x14ac:dyDescent="0.2"/>
    <row r="548" spans="2:5" ht="20" customHeight="1" x14ac:dyDescent="0.2">
      <c r="B548" s="563" t="s">
        <v>456</v>
      </c>
      <c r="C548" s="564"/>
      <c r="D548" s="564"/>
      <c r="E548" s="565"/>
    </row>
    <row r="549" spans="2:5" ht="20" customHeight="1" x14ac:dyDescent="0.2">
      <c r="B549" s="63" t="s">
        <v>18</v>
      </c>
      <c r="C549" s="63" t="s">
        <v>19</v>
      </c>
      <c r="D549" s="63" t="s">
        <v>20</v>
      </c>
      <c r="E549" s="63" t="s">
        <v>21</v>
      </c>
    </row>
    <row r="550" spans="2:5" ht="20" customHeight="1" x14ac:dyDescent="0.2">
      <c r="B550" s="4" t="s">
        <v>457</v>
      </c>
      <c r="C550" s="65" t="str">
        <f>sample_wld_nsxt_gm_vip_fqdn</f>
        <v>sfo-w01-nsx-gm01.sfo.rainpole.io</v>
      </c>
      <c r="D550" s="8" t="str">
        <f>wld_nsxt_gm_vip_fqdn</f>
        <v>Value Missing</v>
      </c>
      <c r="E550" s="87"/>
    </row>
    <row r="551" spans="2:5" ht="20" customHeight="1" x14ac:dyDescent="0.2">
      <c r="B551" s="4" t="s">
        <v>458</v>
      </c>
      <c r="C551" s="65" t="s">
        <v>464</v>
      </c>
      <c r="D551" s="8"/>
      <c r="E551" s="87" t="s">
        <v>939</v>
      </c>
    </row>
    <row r="552" spans="2:5" ht="20" customHeight="1" x14ac:dyDescent="0.2">
      <c r="B552" s="4" t="s">
        <v>460</v>
      </c>
      <c r="C552" s="65" t="str">
        <f>IF(mgmt_domain_chosen="Initial VCF Instance",sample_wld_nsxt_gm_vip_fqdn,sample_wld_existing_active_nsx_gm)</f>
        <v>lax-w01-nsx-gm01.lax.rainpole.io</v>
      </c>
      <c r="D552" s="8" t="str">
        <f>IF(mgmt_domain_chosen="First Domain",wld_nsxt_gm_vip_fqdn,wld_existing_active_nsx_gm)</f>
        <v>Value Missing</v>
      </c>
      <c r="E552" s="87"/>
    </row>
    <row r="553" spans="2:5" ht="20" customHeight="1" x14ac:dyDescent="0.2">
      <c r="B553" s="4" t="s">
        <v>461</v>
      </c>
      <c r="C553" s="154" t="str">
        <f>CONCATENATE(this_instance,"-w0",wld_domain_number_chosen,"-nsx-gm01")</f>
        <v>sfo-w01-nsx-gm01</v>
      </c>
      <c r="D553" s="8" t="str">
        <f>wld_nsxt_federation_global_manager_name</f>
        <v>Value Missing</v>
      </c>
      <c r="E553" s="87"/>
    </row>
    <row r="554" spans="2:5" ht="20" customHeight="1" x14ac:dyDescent="0.2">
      <c r="B554" s="4" t="s">
        <v>462</v>
      </c>
      <c r="C554" s="65" t="str">
        <f>sample_wld_nsxt_gm_vip_fqdn</f>
        <v>sfo-w01-nsx-gm01.sfo.rainpole.io</v>
      </c>
      <c r="D554" s="8" t="str">
        <f>wld_nsxt_gm_vip_fqdn</f>
        <v>Value Missing</v>
      </c>
      <c r="E554" s="87"/>
    </row>
    <row r="555" spans="2:5" ht="20" customHeight="1" x14ac:dyDescent="0.2">
      <c r="B555" s="4" t="s">
        <v>28</v>
      </c>
      <c r="C555" s="65" t="s">
        <v>422</v>
      </c>
      <c r="D555" s="8" t="str">
        <f>C555</f>
        <v>admin</v>
      </c>
      <c r="E555" s="87"/>
    </row>
    <row r="556" spans="2:5" ht="20" customHeight="1" x14ac:dyDescent="0.2">
      <c r="B556" s="4" t="s">
        <v>30</v>
      </c>
      <c r="C556" s="65" t="str">
        <f>sample_wld_nsxt_gm_admin_password</f>
        <v>VMw@re1!VMw@re1!</v>
      </c>
      <c r="D556" s="8" t="str">
        <f>wld_nsxt_gm_admin_password</f>
        <v>Value Missing</v>
      </c>
      <c r="E556" s="87"/>
    </row>
    <row r="557" spans="2:5" ht="20" customHeight="1" x14ac:dyDescent="0.2">
      <c r="B557" s="4" t="s">
        <v>458</v>
      </c>
      <c r="C557" s="65" t="str">
        <f>sample_wld_nsxt_gm_fingerprint</f>
        <v>676edbc9b8c639d9311aaea32a357c7c81226856ad4f8c73a68dd760652d6b5d</v>
      </c>
      <c r="D557" s="8" t="str">
        <f>wld_nsxt_gm_fingerprint</f>
        <v>Value Missing</v>
      </c>
      <c r="E557" s="87"/>
    </row>
    <row r="558" spans="2:5" ht="16" customHeight="1" x14ac:dyDescent="0.2"/>
    <row r="559" spans="2:5" ht="20" customHeight="1" x14ac:dyDescent="0.2">
      <c r="B559" s="563" t="s">
        <v>463</v>
      </c>
      <c r="C559" s="564"/>
      <c r="D559" s="564"/>
      <c r="E559" s="565"/>
    </row>
    <row r="560" spans="2:5" ht="20" customHeight="1" x14ac:dyDescent="0.2">
      <c r="B560" s="63" t="s">
        <v>18</v>
      </c>
      <c r="C560" s="63" t="s">
        <v>19</v>
      </c>
      <c r="D560" s="63" t="s">
        <v>20</v>
      </c>
      <c r="E560" s="63" t="s">
        <v>21</v>
      </c>
    </row>
    <row r="561" spans="2:5" ht="20" customHeight="1" x14ac:dyDescent="0.2">
      <c r="B561" s="4" t="s">
        <v>448</v>
      </c>
      <c r="C561" s="65" t="str">
        <f>sample_wld_nsxt_vip_fqdn</f>
        <v>sfo-w01-nsx01.sfo.rainpole.io</v>
      </c>
      <c r="D561" s="8" t="str">
        <f>wld_nsxt_vip_fqdn</f>
        <v>Value Missing</v>
      </c>
      <c r="E561" s="4"/>
    </row>
    <row r="562" spans="2:5" ht="20" customHeight="1" x14ac:dyDescent="0.2">
      <c r="B562" s="4" t="s">
        <v>458</v>
      </c>
      <c r="C562" s="65" t="s">
        <v>459</v>
      </c>
      <c r="D562" s="8"/>
      <c r="E562" s="87" t="s">
        <v>939</v>
      </c>
    </row>
    <row r="563" spans="2:5" ht="20" customHeight="1" x14ac:dyDescent="0.2">
      <c r="B563" s="4" t="s">
        <v>460</v>
      </c>
      <c r="C563" s="65" t="str">
        <f>IF(mgmt_domain_chosen="Initial VCF Instance",sample_wld_nsxt_gm_vip_fqdn,sample_wld_existing_active_nsx_gm)</f>
        <v>lax-w01-nsx-gm01.lax.rainpole.io</v>
      </c>
      <c r="D563" s="8" t="str">
        <f>IF(mgmt_domain_chosen="First Instance",wld_nsxt_gm_vip_fqdn,wld_existing_active_nsx_gm)</f>
        <v>Value Missing</v>
      </c>
      <c r="E563" s="87"/>
    </row>
    <row r="564" spans="2:5" ht="20" customHeight="1" x14ac:dyDescent="0.2">
      <c r="B564" s="4" t="s">
        <v>465</v>
      </c>
      <c r="C564" s="154" t="str">
        <f>CONCATENATE(this_instance,"-w0",wld_domain_number_chosen,)</f>
        <v>sfo-w01</v>
      </c>
      <c r="D564" s="8"/>
      <c r="E564" s="87"/>
    </row>
    <row r="565" spans="2:5" ht="20" customHeight="1" x14ac:dyDescent="0.2">
      <c r="B565" s="4" t="s">
        <v>462</v>
      </c>
      <c r="C565" s="65" t="str">
        <f>sample_wld_nsxt_vip_fqdn</f>
        <v>sfo-w01-nsx01.sfo.rainpole.io</v>
      </c>
      <c r="D565" s="8" t="str">
        <f>wld_nsxt_vip_fqdn</f>
        <v>Value Missing</v>
      </c>
      <c r="E565" s="87"/>
    </row>
    <row r="566" spans="2:5" ht="20" customHeight="1" x14ac:dyDescent="0.2">
      <c r="B566" s="4" t="s">
        <v>28</v>
      </c>
      <c r="C566" s="65" t="s">
        <v>422</v>
      </c>
      <c r="D566" s="8"/>
      <c r="E566" s="87"/>
    </row>
    <row r="567" spans="2:5" ht="20" customHeight="1" x14ac:dyDescent="0.2">
      <c r="B567" s="4" t="s">
        <v>30</v>
      </c>
      <c r="C567" s="65" t="str">
        <f>sample_wld_nsxt_lm_admin_password</f>
        <v>VMw@re1!VMw@re1!</v>
      </c>
      <c r="D567" s="8" t="str">
        <f>wld_nsxt_lm_admin_password</f>
        <v>Value Missing</v>
      </c>
      <c r="E567" s="87"/>
    </row>
    <row r="568" spans="2:5" ht="20" customHeight="1" x14ac:dyDescent="0.2">
      <c r="B568" s="4" t="s">
        <v>458</v>
      </c>
      <c r="C568" s="65" t="str">
        <f>sample_wld_nsxt_lm_fingerprint</f>
        <v>0d472de0d92da89f2b469d4d10ab23505ad4edb90cd7e68f84497008f6c89ff1</v>
      </c>
      <c r="D568" s="8" t="str">
        <f>wld_nsxt_lm_fingerprint</f>
        <v>Value Missing</v>
      </c>
      <c r="E568" s="87"/>
    </row>
    <row r="569" spans="2:5" ht="20" customHeight="1" x14ac:dyDescent="0.2">
      <c r="B569" s="4" t="s">
        <v>466</v>
      </c>
      <c r="C569" s="65" t="s">
        <v>467</v>
      </c>
      <c r="D569" s="8" t="str">
        <f>C569</f>
        <v>nsxDefaultHostSwitch</v>
      </c>
      <c r="E569" s="174"/>
    </row>
    <row r="570" spans="2:5" ht="20" customHeight="1" x14ac:dyDescent="0.2">
      <c r="B570" s="4" t="s">
        <v>468</v>
      </c>
      <c r="C570" s="103" t="str">
        <f>CONCATENATE(prefix_wld_az1_vlan,"20")</f>
        <v>1320</v>
      </c>
      <c r="D570" s="8"/>
      <c r="E570" s="87"/>
    </row>
    <row r="571" spans="2:5" ht="20" customHeight="1" x14ac:dyDescent="0.2">
      <c r="B571" s="4" t="s">
        <v>469</v>
      </c>
      <c r="C571" s="65" t="str">
        <f>sample_wld_az1_rtep_ip_pool_name</f>
        <v>sfo-w01-r01-ip-pool-rtep</v>
      </c>
      <c r="D571" s="8" t="str">
        <f>wld_az1_rtep_ip_pool_name</f>
        <v>Value Missing</v>
      </c>
      <c r="E571" s="87"/>
    </row>
    <row r="572" spans="2:5" ht="16" customHeight="1" x14ac:dyDescent="0.2"/>
    <row r="573" spans="2:5" ht="20" customHeight="1" x14ac:dyDescent="0.2">
      <c r="B573" s="563" t="s">
        <v>470</v>
      </c>
      <c r="C573" s="564"/>
      <c r="D573" s="564"/>
      <c r="E573" s="565"/>
    </row>
    <row r="574" spans="2:5" ht="20" customHeight="1" x14ac:dyDescent="0.2">
      <c r="B574" s="63" t="s">
        <v>18</v>
      </c>
      <c r="C574" s="63" t="s">
        <v>19</v>
      </c>
      <c r="D574" s="63" t="s">
        <v>20</v>
      </c>
      <c r="E574" s="63" t="s">
        <v>21</v>
      </c>
    </row>
    <row r="575" spans="2:5" ht="20" customHeight="1" x14ac:dyDescent="0.2">
      <c r="B575" s="4" t="s">
        <v>438</v>
      </c>
      <c r="C575" s="65" t="str">
        <f>sample_wld_nsxt_gm_vip_fqdn</f>
        <v>sfo-w01-nsx-gm01.sfo.rainpole.io</v>
      </c>
      <c r="D575" s="8" t="str">
        <f>wld_nsxt_gm_vip_fqdn</f>
        <v>Value Missing</v>
      </c>
      <c r="E575" s="87"/>
    </row>
    <row r="576" spans="2:5" ht="20" customHeight="1" x14ac:dyDescent="0.2">
      <c r="B576" s="4" t="s">
        <v>471</v>
      </c>
      <c r="C576" s="154" t="str">
        <f>CONCATENATE(prefix_portable_component,"-w0",wld_domain_number_chosen,"-ec01-t1-gw01")</f>
        <v>flt-w01-ec01-t1-gw01</v>
      </c>
      <c r="D576" s="8"/>
      <c r="E576" s="87"/>
    </row>
    <row r="577" spans="2:5" ht="20" customHeight="1" x14ac:dyDescent="0.2">
      <c r="B577" s="4" t="s">
        <v>472</v>
      </c>
      <c r="C577" s="65" t="str">
        <f>sample_wld_tier0_name</f>
        <v>sfo-w01-ec01-t0-gw01</v>
      </c>
      <c r="D577" s="8" t="str">
        <f>wld_tier0_name</f>
        <v>Value Missing</v>
      </c>
      <c r="E577" s="87"/>
    </row>
    <row r="578" spans="2:5" ht="20" customHeight="1" x14ac:dyDescent="0.2">
      <c r="B578" s="4" t="s">
        <v>473</v>
      </c>
      <c r="C578" s="65" t="str">
        <f>sample_wld_nsxt_federation_location_name</f>
        <v>sfo-w01</v>
      </c>
      <c r="D578" s="8" t="str">
        <f>wld_nsxt_federation_location_name</f>
        <v>Value Missing</v>
      </c>
      <c r="E578" s="34"/>
    </row>
    <row r="579" spans="2:5" ht="20" customHeight="1" x14ac:dyDescent="0.2">
      <c r="B579" s="4" t="s">
        <v>88</v>
      </c>
      <c r="C579" s="65" t="str">
        <f>sample_wld_ec_name</f>
        <v>sfo-w01-ec01</v>
      </c>
      <c r="D579" s="8" t="str">
        <f>wld_ec_name</f>
        <v>Value Missing</v>
      </c>
      <c r="E579" s="87"/>
    </row>
    <row r="580" spans="2:5" ht="16" customHeight="1" x14ac:dyDescent="0.2"/>
    <row r="581" spans="2:5" ht="20" customHeight="1" x14ac:dyDescent="0.2">
      <c r="B581" s="563" t="s">
        <v>477</v>
      </c>
      <c r="C581" s="564"/>
      <c r="D581" s="564"/>
      <c r="E581" s="565"/>
    </row>
    <row r="582" spans="2:5" ht="20" customHeight="1" x14ac:dyDescent="0.2">
      <c r="B582" s="63" t="s">
        <v>18</v>
      </c>
      <c r="C582" s="63" t="s">
        <v>19</v>
      </c>
      <c r="D582" s="63" t="s">
        <v>20</v>
      </c>
      <c r="E582" s="63" t="s">
        <v>21</v>
      </c>
    </row>
    <row r="583" spans="2:5" ht="20" customHeight="1" x14ac:dyDescent="0.2">
      <c r="B583" s="4" t="s">
        <v>460</v>
      </c>
      <c r="C583" s="65" t="str">
        <f>IF(mgmt_domain_chosen="First Domain",CONCATENATE(this_instance,"-w01-nsx-gm01.",this_instance,".",sample_parent_dns_zone),CONCATENATE(other_instance,"-w01-nsx-gm01.",other_instance,".",sample_parent_dns_zone))</f>
        <v>lax-w01-nsx-gm01.lax.rainpole.io</v>
      </c>
      <c r="D583" s="8"/>
      <c r="E583" s="87"/>
    </row>
    <row r="584" spans="2:5" ht="20" customHeight="1" x14ac:dyDescent="0.2">
      <c r="B584" s="4" t="s">
        <v>478</v>
      </c>
      <c r="C584" s="65" t="str">
        <f>CONCATENATE(this_instance,"-w01-ec01-t0-gw01")</f>
        <v>sfo-w01-ec01-t0-gw01</v>
      </c>
      <c r="D584" s="8"/>
      <c r="E584" s="87"/>
    </row>
    <row r="585" spans="2:5" ht="20" customHeight="1" x14ac:dyDescent="0.2">
      <c r="B585" s="4" t="s">
        <v>473</v>
      </c>
      <c r="C585" s="65" t="str">
        <f>sample_wld_nsxt_federation_location_name</f>
        <v>sfo-w01</v>
      </c>
      <c r="D585" s="8" t="str">
        <f>wld_nsxt_federation_location_name</f>
        <v>Value Missing</v>
      </c>
      <c r="E585" s="34"/>
    </row>
    <row r="586" spans="2:5" ht="20" customHeight="1" x14ac:dyDescent="0.2">
      <c r="B586" s="4" t="s">
        <v>88</v>
      </c>
      <c r="C586" s="65" t="str">
        <f>sample_wld_ec_name</f>
        <v>sfo-w01-ec01</v>
      </c>
      <c r="D586" s="8" t="str">
        <f>wld_ec_name</f>
        <v>Value Missing</v>
      </c>
      <c r="E586" s="87"/>
    </row>
    <row r="587" spans="2:5" ht="20" customHeight="1" x14ac:dyDescent="0.2">
      <c r="B587" s="4" t="s">
        <v>480</v>
      </c>
      <c r="C587" s="65" t="str">
        <f>CONCATENATE(sample_wld_az1_en1_hostname,"_VCF-edge_",sample_wld_ec_name,"_segment_",sample_wld_az1_uplink01_vlan,"_",sample_wld_az1_en1_uplink01_interface_cidr)</f>
        <v>sfo-w01-r01-en01_VCF-edge_sfo-w01-ec01_segment_1317_10.13.17.2/24</v>
      </c>
      <c r="D587" s="8" t="str">
        <f>CONCATENATE(wld_az1_en1_hostname,"_VCF-edge_",wld_ec_name,"_segment_",wld_az1_uplink01_vlan,"_",wld_az1_en1_uplink01_interface_cidr)</f>
        <v>Value Missing_VCF-edge_Value Missing_segment_Value Missing_Value Missing</v>
      </c>
      <c r="E587" s="87"/>
    </row>
    <row r="588" spans="2:5" ht="20" customHeight="1" x14ac:dyDescent="0.2">
      <c r="B588" s="4" t="s">
        <v>481</v>
      </c>
      <c r="C588" s="65" t="str">
        <f>sample_wld_nsxt_federation_location_name</f>
        <v>sfo-w01</v>
      </c>
      <c r="D588" s="8" t="str">
        <f>wld_nsxt_federation_location_name</f>
        <v>Value Missing</v>
      </c>
      <c r="E588" s="87"/>
    </row>
    <row r="589" spans="2:5" ht="20" customHeight="1" x14ac:dyDescent="0.2">
      <c r="B589" s="4" t="s">
        <v>482</v>
      </c>
      <c r="C589" s="65" t="str">
        <f>sample_wld_az1_en1_uplink01_interface_cidr</f>
        <v>10.13.17.2/24</v>
      </c>
      <c r="D589" s="8" t="str">
        <f>wld_az1_en1_uplink01_interface_cidr</f>
        <v>Value Missing</v>
      </c>
      <c r="E589" s="87"/>
    </row>
    <row r="590" spans="2:5" ht="20" customHeight="1" x14ac:dyDescent="0.2">
      <c r="B590" s="4" t="s">
        <v>483</v>
      </c>
      <c r="C590" s="65" t="str">
        <f>CONCATENATE("VCF-edge_",sample_wld_ec_name,"_segment_uplink1_",sample_wld_az1_uplink01_vlan)</f>
        <v>VCF-edge_sfo-w01-ec01_segment_uplink1_1317</v>
      </c>
      <c r="D590" s="8" t="str">
        <f>CONCATENATE("VCF-edge_",wld_ec_name,"_segment_uplink1_",wld_az1_uplink01_vlan)</f>
        <v>VCF-edge_Value Missing_segment_uplink1_Value Missing</v>
      </c>
      <c r="E590" s="87"/>
    </row>
    <row r="591" spans="2:5" ht="20" customHeight="1" x14ac:dyDescent="0.2">
      <c r="B591" s="4" t="s">
        <v>940</v>
      </c>
      <c r="C591" s="65" t="str">
        <f>CONCATENATE(this_instance,"-w0",wld_domain_number_chosen,"-r01-en01")</f>
        <v>sfo-w01-r01-en01</v>
      </c>
      <c r="D591" s="8" t="str">
        <f>wld_az1_en1_hostname</f>
        <v>Value Missing</v>
      </c>
      <c r="E591" s="87"/>
    </row>
    <row r="592" spans="2:5" ht="20" customHeight="1" x14ac:dyDescent="0.2">
      <c r="B592" s="4" t="s">
        <v>941</v>
      </c>
      <c r="C592" s="65">
        <f>sample_wld_az1_uplink01_mtu</f>
        <v>9000</v>
      </c>
      <c r="D592" s="8" t="str">
        <f>wld_az1_uplink01_mtu</f>
        <v>Value Missing</v>
      </c>
      <c r="E592" s="87"/>
    </row>
    <row r="593" spans="2:5" ht="20" customHeight="1" x14ac:dyDescent="0.2">
      <c r="B593" s="4" t="s">
        <v>942</v>
      </c>
      <c r="C593" s="65" t="str">
        <f>CONCATENATE(sample_wld_az1_en1_hostname,"_VCF-edge_",sample_wld_ec_name,"_segment_",sample_wld_az1_uplink02_vlan,"_",sample_wld_az1_en1_uplink02_interface_cidr)</f>
        <v>sfo-w01-r01-en01_VCF-edge_sfo-w01-ec01_segment_1318_10.13.18.2/24</v>
      </c>
      <c r="D593" s="8" t="str">
        <f>CONCATENATE(wld_az1_en1_hostname,"_VCF-edge_",wld_ec_name,"_segment_",wld_az1_uplink02_vlan,"_",wld_az1_en1_uplink02_interface_cidr)</f>
        <v>Value Missing_VCF-edge_Value Missing_segment_Value Missing_Value Missing</v>
      </c>
      <c r="E593" s="87"/>
    </row>
    <row r="594" spans="2:5" ht="20" customHeight="1" x14ac:dyDescent="0.2">
      <c r="B594" s="4" t="s">
        <v>943</v>
      </c>
      <c r="C594" s="65" t="str">
        <f>sample_wld_nsxt_federation_location_name</f>
        <v>sfo-w01</v>
      </c>
      <c r="D594" s="8" t="str">
        <f>wld_nsxt_federation_location_name</f>
        <v>Value Missing</v>
      </c>
      <c r="E594" s="87"/>
    </row>
    <row r="595" spans="2:5" ht="20" customHeight="1" x14ac:dyDescent="0.2">
      <c r="B595" s="4" t="s">
        <v>489</v>
      </c>
      <c r="C595" s="65" t="str">
        <f>sample_wld_az1_en1_uplink02_interface_cidr</f>
        <v>10.13.18.2/24</v>
      </c>
      <c r="D595" s="8" t="str">
        <f>wld_az1_en1_uplink02_interface_cidr</f>
        <v>Value Missing</v>
      </c>
      <c r="E595" s="87"/>
    </row>
    <row r="596" spans="2:5" ht="20" customHeight="1" x14ac:dyDescent="0.2">
      <c r="B596" s="23" t="s">
        <v>944</v>
      </c>
      <c r="C596" s="65" t="str">
        <f>CONCATENATE("VCF-edge_",sample_wld_ec_name,"_segment_uplink2_",sample_wld_az1_uplink02_vlan)</f>
        <v>VCF-edge_sfo-w01-ec01_segment_uplink2_1318</v>
      </c>
      <c r="D596" s="8" t="str">
        <f>CONCATENATE("VCF-edge_",wld_ec_name,"_segment_uplink2_",wld_az1_uplink02_vlan)</f>
        <v>VCF-edge_Value Missing_segment_uplink2_Value Missing</v>
      </c>
      <c r="E596" s="87"/>
    </row>
    <row r="597" spans="2:5" ht="20" customHeight="1" x14ac:dyDescent="0.2">
      <c r="B597" s="4" t="s">
        <v>491</v>
      </c>
      <c r="C597" s="65" t="str">
        <f>sample_wld_az1_en1_hostname</f>
        <v>sfo-w01-r01-en01</v>
      </c>
      <c r="D597" s="8" t="str">
        <f>wld_az1_en1_hostname</f>
        <v>Value Missing</v>
      </c>
      <c r="E597" s="87"/>
    </row>
    <row r="598" spans="2:5" ht="20" customHeight="1" x14ac:dyDescent="0.2">
      <c r="B598" s="4" t="s">
        <v>493</v>
      </c>
      <c r="C598" s="65">
        <f>sample_wld_az1_uplink01_mtu</f>
        <v>9000</v>
      </c>
      <c r="D598" s="8" t="str">
        <f>wld_az1_uplink02_mtu</f>
        <v>Value Missing</v>
      </c>
      <c r="E598" s="87"/>
    </row>
    <row r="599" spans="2:5" ht="20" customHeight="1" x14ac:dyDescent="0.2">
      <c r="B599" s="4" t="s">
        <v>494</v>
      </c>
      <c r="C599" s="65" t="str">
        <f>CONCATENATE(sample_wld_az1_en2_hostname,"_VCF-edge_",sample_wld_ec_name,"_segment_",sample_wld_az1_uplink01_vlan,"_",sample_wld_az1_en2_uplink01_interface_cidr)</f>
        <v>sfo-w01-r01-en02_VCF-edge_sfo-w01-ec01_segment_1317_10.13.17.3/24</v>
      </c>
      <c r="D599" s="8" t="str">
        <f>CONCATENATE(wld_az1_en2_hostname,"_VCF-edge_",wld_ec_name,"_segment_",wld_az1_uplink01_vlan,"_",wld_az1_en2_uplink01_interface_cidr)</f>
        <v>Value Missing_VCF-edge_Value Missing_segment_Value Missing_Value Missing</v>
      </c>
      <c r="E599" s="87"/>
    </row>
    <row r="600" spans="2:5" ht="20" customHeight="1" x14ac:dyDescent="0.2">
      <c r="B600" s="4" t="s">
        <v>945</v>
      </c>
      <c r="C600" s="65" t="str">
        <f>sample_wld_nsxt_federation_location_name</f>
        <v>sfo-w01</v>
      </c>
      <c r="D600" s="8" t="str">
        <f>wld_nsxt_federation_location_name</f>
        <v>Value Missing</v>
      </c>
      <c r="E600" s="87"/>
    </row>
    <row r="601" spans="2:5" ht="20" customHeight="1" x14ac:dyDescent="0.2">
      <c r="B601" s="4" t="s">
        <v>946</v>
      </c>
      <c r="C601" s="65" t="str">
        <f>sample_wld_az1_en2_uplink01_interface_cidr</f>
        <v>10.13.17.3/24</v>
      </c>
      <c r="D601" s="8" t="str">
        <f>wld_az1_en2_uplink01_interface_cidr</f>
        <v>Value Missing</v>
      </c>
      <c r="E601" s="87"/>
    </row>
    <row r="602" spans="2:5" ht="20" customHeight="1" x14ac:dyDescent="0.2">
      <c r="B602" s="23" t="s">
        <v>947</v>
      </c>
      <c r="C602" s="65" t="str">
        <f>CONCATENATE("VCF-edge_",sample_wld_ec_name,"_segment_uplink1_",sample_wld_az1_uplink01_vlan)</f>
        <v>VCF-edge_sfo-w01-ec01_segment_uplink1_1317</v>
      </c>
      <c r="D602" s="8" t="str">
        <f>CONCATENATE("VCF-edge_",wld_ec_name,"_segment_uplink1_",wld_az1_uplink01_vlan)</f>
        <v>VCF-edge_Value Missing_segment_uplink1_Value Missing</v>
      </c>
      <c r="E602" s="87"/>
    </row>
    <row r="603" spans="2:5" ht="20" customHeight="1" x14ac:dyDescent="0.2">
      <c r="B603" s="4" t="s">
        <v>948</v>
      </c>
      <c r="C603" s="65" t="str">
        <f>CONCATENATE(this_instance,"-w0",wld_domain_number_chosen,"-r01-en02")</f>
        <v>sfo-w01-r01-en02</v>
      </c>
      <c r="D603" s="8" t="str">
        <f>wld_az1_en2_hostname</f>
        <v>Value Missing</v>
      </c>
      <c r="E603" s="87"/>
    </row>
    <row r="604" spans="2:5" ht="20" customHeight="1" x14ac:dyDescent="0.2">
      <c r="B604" s="4" t="s">
        <v>949</v>
      </c>
      <c r="C604" s="65">
        <f>sample_wld_az1_uplink01_mtu</f>
        <v>9000</v>
      </c>
      <c r="D604" s="8" t="str">
        <f>wld_az1_uplink01_mtu</f>
        <v>Value Missing</v>
      </c>
      <c r="E604" s="87"/>
    </row>
    <row r="605" spans="2:5" ht="20" customHeight="1" x14ac:dyDescent="0.2">
      <c r="B605" s="4" t="s">
        <v>500</v>
      </c>
      <c r="C605" s="65" t="str">
        <f>CONCATENATE(sample_wld_az1_en2_hostname,"_VCF-edge_",sample_wld_ec_name,"_segment_",sample_wld_az1_uplink02_vlan,"_",sample_wld_az1_en2_uplink02_interface_cidr)</f>
        <v>sfo-w01-r01-en02_VCF-edge_sfo-w01-ec01_segment_1318_10.13.18.3/24</v>
      </c>
      <c r="D605" s="8" t="str">
        <f>CONCATENATE(wld_az1_en2_hostname,"_VCF-edge_",wld_ec_name,"_segment_",wld_az1_uplink02_vlan,"_",wld_az1_en2_uplink02_interface_cidr)</f>
        <v>Value Missing_VCF-edge_Value Missing_segment_Value Missing_Value Missing</v>
      </c>
      <c r="E605" s="87"/>
    </row>
    <row r="606" spans="2:5" ht="20" customHeight="1" x14ac:dyDescent="0.2">
      <c r="B606" s="4" t="s">
        <v>501</v>
      </c>
      <c r="C606" s="65" t="str">
        <f>sample_wld_nsxt_federation_location_name</f>
        <v>sfo-w01</v>
      </c>
      <c r="D606" s="8" t="str">
        <f>wld_nsxt_federation_location_name</f>
        <v>Value Missing</v>
      </c>
      <c r="E606" s="87"/>
    </row>
    <row r="607" spans="2:5" ht="20" customHeight="1" x14ac:dyDescent="0.2">
      <c r="B607" s="4" t="s">
        <v>950</v>
      </c>
      <c r="C607" s="65" t="str">
        <f>sample_wld_az1_en2_uplink02_interface_cidr</f>
        <v>10.13.18.3/24</v>
      </c>
      <c r="D607" s="8" t="str">
        <f>wld_az1_en2_uplink02_interface_cidr</f>
        <v>Value Missing</v>
      </c>
      <c r="E607" s="87"/>
    </row>
    <row r="608" spans="2:5" ht="20" customHeight="1" x14ac:dyDescent="0.2">
      <c r="B608" s="23" t="s">
        <v>503</v>
      </c>
      <c r="C608" s="65" t="str">
        <f>CONCATENATE("VCF-edge_",sample_wld_ec_name,"_segment_uplink2_",sample_wld_az1_uplink02_vlan)</f>
        <v>VCF-edge_sfo-w01-ec01_segment_uplink2_1318</v>
      </c>
      <c r="D608" s="8" t="str">
        <f>CONCATENATE("VCF-edge_",wld_ec_name,"_segment_uplink2_",wld_az1_uplink02_vlan)</f>
        <v>VCF-edge_Value Missing_segment_uplink2_Value Missing</v>
      </c>
      <c r="E608" s="87"/>
    </row>
    <row r="609" spans="2:5" ht="20" customHeight="1" x14ac:dyDescent="0.2">
      <c r="B609" s="4" t="s">
        <v>951</v>
      </c>
      <c r="C609" s="65" t="str">
        <f>sample_wld_az1_en2_hostname</f>
        <v>sfo-w01-r01-en02</v>
      </c>
      <c r="D609" s="8" t="str">
        <f>wld_az1_en2_hostname</f>
        <v>Value Missing</v>
      </c>
      <c r="E609" s="87"/>
    </row>
    <row r="610" spans="2:5" ht="20" customHeight="1" x14ac:dyDescent="0.2">
      <c r="B610" s="4" t="s">
        <v>505</v>
      </c>
      <c r="C610" s="65">
        <f>sample_wld_az1_uplink01_mtu</f>
        <v>9000</v>
      </c>
      <c r="D610" s="8" t="str">
        <f>wld_az1_uplink02_mtu</f>
        <v>Value Missing</v>
      </c>
      <c r="E610" s="87"/>
    </row>
    <row r="611" spans="2:5" ht="20" customHeight="1" x14ac:dyDescent="0.2">
      <c r="B611" s="4" t="s">
        <v>506</v>
      </c>
      <c r="C611" s="65" t="str">
        <f>sample_wld_az1_tor1_peer_ip</f>
        <v>10.13.17.10</v>
      </c>
      <c r="D611" s="8" t="str">
        <f>wld_az1_tor1_peer_ip</f>
        <v>Value Missing</v>
      </c>
      <c r="E611" s="87"/>
    </row>
    <row r="612" spans="2:5" ht="20" customHeight="1" x14ac:dyDescent="0.2">
      <c r="B612" s="4" t="s">
        <v>952</v>
      </c>
      <c r="C612" s="65" t="str">
        <f>sample_wld_nsxt_federation_location_name</f>
        <v>sfo-w01</v>
      </c>
      <c r="D612" s="8" t="str">
        <f>wld_nsxt_federation_location_name</f>
        <v>Value Missing</v>
      </c>
      <c r="E612" s="87"/>
    </row>
    <row r="613" spans="2:5" ht="20" customHeight="1" x14ac:dyDescent="0.2">
      <c r="B613" s="4" t="s">
        <v>508</v>
      </c>
      <c r="C613" s="65" t="str">
        <f>sample_wld_az1_tor1_peer_asn</f>
        <v>65131</v>
      </c>
      <c r="D613" s="8" t="str">
        <f>wld_az1_tor1_peer_asn</f>
        <v>Value Missing</v>
      </c>
      <c r="E613" s="87"/>
    </row>
    <row r="614" spans="2:5" ht="20" customHeight="1" x14ac:dyDescent="0.2">
      <c r="B614" s="4" t="s">
        <v>953</v>
      </c>
      <c r="C614" s="65" t="str">
        <f>sample_wld_az1_en1_uplink01_interface_cidr</f>
        <v>10.13.17.2/24</v>
      </c>
      <c r="D614" s="8" t="str">
        <f>wld_az1_en1_uplink01_interface_cidr</f>
        <v>Value Missing</v>
      </c>
      <c r="E614" s="87"/>
    </row>
    <row r="615" spans="2:5" ht="20" customHeight="1" x14ac:dyDescent="0.2">
      <c r="B615" s="4" t="s">
        <v>954</v>
      </c>
      <c r="C615" s="65" t="str">
        <f>sample_wld_az1_en2_uplink01_interface_cidr</f>
        <v>10.13.17.3/24</v>
      </c>
      <c r="D615" s="8" t="str">
        <f>wld_az1_en2_uplink01_interface_cidr</f>
        <v>Value Missing</v>
      </c>
      <c r="E615" s="87"/>
    </row>
    <row r="616" spans="2:5" ht="20" customHeight="1" x14ac:dyDescent="0.2">
      <c r="B616" s="4" t="s">
        <v>955</v>
      </c>
      <c r="C616" s="65" t="str">
        <f>sample_wld_az1_tor1_peer_bgp_password</f>
        <v>VMw@re1!</v>
      </c>
      <c r="D616" s="8" t="str">
        <f>wld_az1_tor1_peer_bgp_password</f>
        <v>Value Missing</v>
      </c>
      <c r="E616" s="87"/>
    </row>
    <row r="617" spans="2:5" ht="20" customHeight="1" x14ac:dyDescent="0.2">
      <c r="B617" s="4" t="s">
        <v>956</v>
      </c>
      <c r="C617" s="65" t="str">
        <f>sample_wld_az1_tor2_peer_ip</f>
        <v>10.13.18.10</v>
      </c>
      <c r="D617" s="8" t="str">
        <f>wld_az1_tor2_peer_ip</f>
        <v>Value Missing</v>
      </c>
      <c r="E617" s="87"/>
    </row>
    <row r="618" spans="2:5" ht="20" customHeight="1" x14ac:dyDescent="0.2">
      <c r="B618" s="4" t="s">
        <v>513</v>
      </c>
      <c r="C618" s="65" t="str">
        <f>sample_wld_nsxt_federation_location_name</f>
        <v>sfo-w01</v>
      </c>
      <c r="D618" s="8" t="str">
        <f>wld_nsxt_federation_location_name</f>
        <v>Value Missing</v>
      </c>
      <c r="E618" s="87"/>
    </row>
    <row r="619" spans="2:5" ht="20" customHeight="1" x14ac:dyDescent="0.2">
      <c r="B619" s="4" t="s">
        <v>957</v>
      </c>
      <c r="C619" s="65" t="str">
        <f>sample_wld_az1_tor1_peer_asn</f>
        <v>65131</v>
      </c>
      <c r="D619" s="8" t="str">
        <f>wld_az1_tor1_peer_asn</f>
        <v>Value Missing</v>
      </c>
      <c r="E619" s="87"/>
    </row>
    <row r="620" spans="2:5" ht="20" customHeight="1" x14ac:dyDescent="0.2">
      <c r="B620" s="4" t="s">
        <v>958</v>
      </c>
      <c r="C620" s="65" t="str">
        <f>sample_wld_az1_en1_uplink02_interface_cidr</f>
        <v>10.13.18.2/24</v>
      </c>
      <c r="D620" s="8" t="str">
        <f>wld_az1_en1_uplink02_interface_cidr</f>
        <v>Value Missing</v>
      </c>
      <c r="E620" s="87"/>
    </row>
    <row r="621" spans="2:5" ht="20" customHeight="1" x14ac:dyDescent="0.2">
      <c r="B621" s="4" t="s">
        <v>959</v>
      </c>
      <c r="C621" s="65" t="str">
        <f>sample_wld_az1_en2_uplink02_interface_cidr</f>
        <v>10.13.18.3/24</v>
      </c>
      <c r="D621" s="8" t="str">
        <f>wld_az1_en2_uplink02_interface_cidr</f>
        <v>Value Missing</v>
      </c>
      <c r="E621" s="87"/>
    </row>
    <row r="622" spans="2:5" ht="20" customHeight="1" x14ac:dyDescent="0.2">
      <c r="B622" s="4" t="s">
        <v>517</v>
      </c>
      <c r="C622" s="65" t="str">
        <f>sample_wld_az1_tor2_peer_bgp_password</f>
        <v>VMw@re1!</v>
      </c>
      <c r="D622" s="8" t="str">
        <f>wld_az1_tor2_peer_bgp_password</f>
        <v>Value Missing</v>
      </c>
      <c r="E622" s="87"/>
    </row>
    <row r="623" spans="2:5" ht="16" customHeight="1" x14ac:dyDescent="0.2"/>
    <row r="624" spans="2:5" ht="20" customHeight="1" x14ac:dyDescent="0.2">
      <c r="B624" s="563" t="s">
        <v>518</v>
      </c>
      <c r="C624" s="564"/>
      <c r="D624" s="564"/>
      <c r="E624" s="565"/>
    </row>
    <row r="625" spans="2:5" ht="20" customHeight="1" x14ac:dyDescent="0.2">
      <c r="B625" s="63" t="s">
        <v>18</v>
      </c>
      <c r="C625" s="63" t="s">
        <v>19</v>
      </c>
      <c r="D625" s="63" t="s">
        <v>20</v>
      </c>
      <c r="E625" s="63" t="s">
        <v>21</v>
      </c>
    </row>
    <row r="626" spans="2:5" ht="20" customHeight="1" x14ac:dyDescent="0.2">
      <c r="B626" s="4" t="s">
        <v>460</v>
      </c>
      <c r="C626" s="65" t="str">
        <f>sample_wld_existing_active_nsx_gm</f>
        <v>lax-w01-nsx-gm01.lax.rainpole.io</v>
      </c>
      <c r="D626" s="8" t="str">
        <f>IF(mgmt_domain_chosen="First Domain",wld_nsxt_gm_vip_fqdn,wld_existing_active_nsx_gm)</f>
        <v>Value Missing</v>
      </c>
      <c r="E626" s="87"/>
    </row>
    <row r="627" spans="2:5" ht="20" customHeight="1" x14ac:dyDescent="0.2">
      <c r="B627" s="4" t="s">
        <v>476</v>
      </c>
      <c r="C627" s="65" t="str">
        <f>sample_wld_nsxt_xreg_t1_name</f>
        <v>flt-w01-ec01-t1-gw01</v>
      </c>
      <c r="D627" s="8" t="str">
        <f>IF(mgmt_domain_chosen="First Domain",wld_nsxt_xreg_t1_name,wld_existing_cross_instance_t0_name)</f>
        <v>Value Missing</v>
      </c>
      <c r="E627" s="87"/>
    </row>
    <row r="628" spans="2:5" ht="20" customHeight="1" x14ac:dyDescent="0.2">
      <c r="B628" s="4" t="s">
        <v>473</v>
      </c>
      <c r="C628" s="65" t="str">
        <f>sample_wld_nsxt_federation_location_name</f>
        <v>sfo-w01</v>
      </c>
      <c r="D628" s="8" t="str">
        <f>wld_nsxt_federation_location_name</f>
        <v>Value Missing</v>
      </c>
      <c r="E628" s="34"/>
    </row>
    <row r="629" spans="2:5" ht="20" customHeight="1" x14ac:dyDescent="0.2">
      <c r="B629" s="4" t="s">
        <v>88</v>
      </c>
      <c r="C629" s="65" t="str">
        <f>sample_wld_ec_name</f>
        <v>sfo-w01-ec01</v>
      </c>
      <c r="D629" s="8" t="str">
        <f>wld_ec_name</f>
        <v>Value Missing</v>
      </c>
      <c r="E629" s="87"/>
    </row>
  </sheetData>
  <sheetProtection algorithmName="SHA-512" hashValue="tpNFEtQwi8vl/xsZx2fNmzdSTSUQ3nTHCNzXwBu6AFZM5qKkLJ+eCpTJmaaENKOt5TGLZUyVVcfs0tJ2s4w2Lw==" saltValue="+D9kJMyuPG7rTcgT4RKaSg==" spinCount="100000" sheet="1" selectLockedCells="1"/>
  <mergeCells count="80">
    <mergeCell ref="B136:E136"/>
    <mergeCell ref="B147:E147"/>
    <mergeCell ref="B150:E150"/>
    <mergeCell ref="B160:E160"/>
    <mergeCell ref="B33:E33"/>
    <mergeCell ref="B94:E94"/>
    <mergeCell ref="B133:E133"/>
    <mergeCell ref="B448:E448"/>
    <mergeCell ref="B465:E465"/>
    <mergeCell ref="B291:E291"/>
    <mergeCell ref="B409:E409"/>
    <mergeCell ref="B413:E413"/>
    <mergeCell ref="B428:E428"/>
    <mergeCell ref="B427:E427"/>
    <mergeCell ref="B365:E365"/>
    <mergeCell ref="B405:E405"/>
    <mergeCell ref="B371:E371"/>
    <mergeCell ref="B354:E354"/>
    <mergeCell ref="B360:E360"/>
    <mergeCell ref="B333:E333"/>
    <mergeCell ref="B300:E300"/>
    <mergeCell ref="B326:E326"/>
    <mergeCell ref="B404:E404"/>
    <mergeCell ref="B624:E624"/>
    <mergeCell ref="B559:E559"/>
    <mergeCell ref="B573:E573"/>
    <mergeCell ref="B581:E581"/>
    <mergeCell ref="B548:E548"/>
    <mergeCell ref="B534:E534"/>
    <mergeCell ref="B543:E543"/>
    <mergeCell ref="B484:E484"/>
    <mergeCell ref="B502:E502"/>
    <mergeCell ref="B510:E510"/>
    <mergeCell ref="B516:E516"/>
    <mergeCell ref="B527:E527"/>
    <mergeCell ref="B520:E520"/>
    <mergeCell ref="B431:E431"/>
    <mergeCell ref="B103:E103"/>
    <mergeCell ref="B118:E118"/>
    <mergeCell ref="B54:E54"/>
    <mergeCell ref="B82:E82"/>
    <mergeCell ref="B236:E236"/>
    <mergeCell ref="B98:E98"/>
    <mergeCell ref="B234:E234"/>
    <mergeCell ref="B223:E223"/>
    <mergeCell ref="B225:E225"/>
    <mergeCell ref="B218:E218"/>
    <mergeCell ref="B221:E221"/>
    <mergeCell ref="B170:E170"/>
    <mergeCell ref="B172:E172"/>
    <mergeCell ref="B180:E180"/>
    <mergeCell ref="B176:E176"/>
    <mergeCell ref="B183:E183"/>
    <mergeCell ref="B184:E184"/>
    <mergeCell ref="B186:E186"/>
    <mergeCell ref="B192:E192"/>
    <mergeCell ref="B196:E196"/>
    <mergeCell ref="B205:E205"/>
    <mergeCell ref="B214:E214"/>
    <mergeCell ref="B301:E301"/>
    <mergeCell ref="B219:E219"/>
    <mergeCell ref="B237:E237"/>
    <mergeCell ref="B263:E263"/>
    <mergeCell ref="B262:E262"/>
    <mergeCell ref="B275:E275"/>
    <mergeCell ref="B283:E283"/>
    <mergeCell ref="B239:E239"/>
    <mergeCell ref="B244:E244"/>
    <mergeCell ref="B267:E267"/>
    <mergeCell ref="B2:E2"/>
    <mergeCell ref="B3:E3"/>
    <mergeCell ref="B18:E18"/>
    <mergeCell ref="B19:E19"/>
    <mergeCell ref="B70:E70"/>
    <mergeCell ref="B30:E30"/>
    <mergeCell ref="B31:E31"/>
    <mergeCell ref="B35:E35"/>
    <mergeCell ref="B37:E37"/>
    <mergeCell ref="B41:E41"/>
    <mergeCell ref="B9:E9"/>
  </mergeCells>
  <phoneticPr fontId="0" type="noConversion"/>
  <conditionalFormatting sqref="B11">
    <cfRule type="expression" dxfId="1686" priority="1562">
      <formula>(wld_signed_certs_chosen="Exclude")</formula>
    </cfRule>
    <cfRule type="expression" dxfId="1685" priority="1563">
      <formula>AND((vcf_granular_option_chosen="Deploy a new VCF fleet"),(wld_signed_certs_chosen="Include"),(wld_signed_certs_result="Excluded"))</formula>
    </cfRule>
    <cfRule type="expression" dxfId="1684" priority="1564">
      <formula>AND((wld_signed_certs_chosen="Include"),(wld_signed_certs_result="Excluded"))</formula>
    </cfRule>
    <cfRule type="expression" dxfId="1683" priority="1565">
      <formula>AND((wld_signed_certs_chosen="Include"),(wld_signed_certs_result="Included"))</formula>
    </cfRule>
  </conditionalFormatting>
  <conditionalFormatting sqref="B12 B14:B15">
    <cfRule type="expression" dxfId="1682" priority="1577">
      <formula>AND((wld_bgp_chosen&lt;&gt;"Exclude"),(wld_bgp_result="Included"))</formula>
    </cfRule>
  </conditionalFormatting>
  <conditionalFormatting sqref="B12 D12:E12">
    <cfRule type="expression" dxfId="1681" priority="1554">
      <formula>AND((wld_bgp_chosen&lt;&gt;"Exclude"),(wld_bgp_result="Excluded"))</formula>
    </cfRule>
  </conditionalFormatting>
  <conditionalFormatting sqref="B12">
    <cfRule type="expression" dxfId="1680" priority="1574">
      <formula>(wld_bgp_chosen="Exclude")</formula>
    </cfRule>
  </conditionalFormatting>
  <conditionalFormatting sqref="B13 D13:E13">
    <cfRule type="expression" dxfId="1679" priority="5">
      <formula>AND((wld_supervisor_chosen&lt;&gt;"Exclude"),(wld_bgp_chosen="Exclude"))</formula>
    </cfRule>
    <cfRule type="expression" dxfId="1678" priority="7">
      <formula>AND((wld_supervisor_chosen&lt;&gt;"Exclude"),(wld_iaas_chosen="Include"))</formula>
    </cfRule>
    <cfRule type="expression" dxfId="1677" priority="8">
      <formula>(wld_supervisor_result="Excluded")</formula>
    </cfRule>
    <cfRule type="expression" dxfId="1676" priority="9">
      <formula>AND((wld_supervisor_chosen&lt;&gt;"Exclude"),(wld_supervisor_result="Included"))</formula>
    </cfRule>
  </conditionalFormatting>
  <conditionalFormatting sqref="B14 D14:E14">
    <cfRule type="expression" dxfId="1675" priority="1522">
      <formula>AND((wld_avi_loadbalancer_chosen&lt;&gt;"Exclude"),(wld_avi_loadbalancer_result="Excluded"))</formula>
    </cfRule>
    <cfRule type="expression" dxfId="1674" priority="1523">
      <formula>wld_avi_loadbalancer_result="Excluded"</formula>
    </cfRule>
    <cfRule type="expression" dxfId="1673" priority="1524">
      <formula>AND((wld_avi_loadbalancer_chosen="Include"),(wld_avi_loadbalancer_result="Included"))</formula>
    </cfRule>
    <cfRule type="expression" dxfId="1672" priority="1555">
      <formula>AND((vcf_granular_option_chosen&lt;&gt;"Additional MGMT Cluster"),(wld_avi_loadbalancer_chosen="Include"),(wld_avi_loadbalancer_result="Excluded"))</formula>
    </cfRule>
  </conditionalFormatting>
  <conditionalFormatting sqref="B15 D15:E15">
    <cfRule type="expression" dxfId="1671" priority="210">
      <formula>AND((wld_stretched_cluster_chosen="Include"),(wld_stretched_cluster_result="Excluded"))</formula>
    </cfRule>
  </conditionalFormatting>
  <conditionalFormatting sqref="B16">
    <cfRule type="expression" dxfId="1670" priority="1566">
      <formula>(wld_nsxt_federation_chosen="Exclude")</formula>
    </cfRule>
    <cfRule type="expression" dxfId="1669" priority="1567">
      <formula>AND((wld_nsxt_federation_chosen&lt;&gt;"Exclude"),(wld_nsxt_federation_result="Excluded"))</formula>
    </cfRule>
    <cfRule type="expression" dxfId="1668" priority="1568">
      <formula>AND((wld_nsxt_federation_chosen&lt;&gt;"Exclude"),(wld_nsxt_federation_result="Included"))</formula>
    </cfRule>
  </conditionalFormatting>
  <conditionalFormatting sqref="D21:D28 D36 D38:D40 D42:D53 D55:D69 D71:D81 D83:D93 D95:D97 D99:D102 D104:D117 D119:D135 D171 D173:D175 D177:D179 D181 D222 D224 D226:D232 D240:D243 D245:D260 D265:D266 D268:D274 D276:D282 D284:D290 D292:D298 D303:D324 D328:D331 D336:D353 D356:D359 D362:D364 D367:D369 D374:D403 D408 D411:D412 D415:D425 D430 D432:D447 D449:D464 D466:D482 D486:D500 D504:D508 D512:D514 D518 D522:D525 D536:D541 D545:D546 D550:D557 D561:D571 D575:D579 D583:D622 D626:D629">
    <cfRule type="notContainsBlanks" dxfId="1666" priority="1386">
      <formula>LEN(TRIM(D21))&gt;0</formula>
    </cfRule>
  </conditionalFormatting>
  <conditionalFormatting sqref="D21:D28 D518 D522:D525 D545:D546 D550:D557 D561:D571 D626:D629 D55:D69 D222 D224 D226:D232 D408 D411:D412 D415:D425 D512:D514 D536:D541 D583:D622 D430 D432:D447 D449:D464 D466:D482 D486:D500 D504:D508 D575:D579 D374:D403 D83:D93 D104:D117 D42:D53 D71:D81 D240:D243 D284:D290 D95:D97 D245:D260 D303:D324 D119:D135 D328:D331 D173:D175 D177:D179 D181 D38:D40 D99:D102 D268:D274 D276:D282 D336:D353 D171 D265:D266 D292:D298 D356:D359 D362:D364 D367:D369 D36">
    <cfRule type="containsBlanks" dxfId="1665" priority="1374">
      <formula>LEN(TRIM(D21))=0</formula>
    </cfRule>
  </conditionalFormatting>
  <conditionalFormatting sqref="D21:D28">
    <cfRule type="expression" dxfId="1664" priority="1371">
      <formula>wld_signed_certs_result="Excluded"</formula>
    </cfRule>
  </conditionalFormatting>
  <conditionalFormatting sqref="D38:D40 D42:D53 D55:D69 D71:D81 D83:D93 D95:D97 D99:D102 D104:D117 D119:D132">
    <cfRule type="expression" dxfId="1663" priority="84">
      <formula>wld_bgp_chosen="Distributed Connectivity"</formula>
    </cfRule>
  </conditionalFormatting>
  <conditionalFormatting sqref="D46 D75">
    <cfRule type="expression" dxfId="1662" priority="669">
      <formula>wld_ec01_host_group_affinity_rule_chosen="No"</formula>
    </cfRule>
  </conditionalFormatting>
  <conditionalFormatting sqref="D49">
    <cfRule type="expression" dxfId="1661" priority="2">
      <formula>wld_ec_ip_assignment_chosen&lt;&gt;"IPv4 Only"</formula>
    </cfRule>
  </conditionalFormatting>
  <conditionalFormatting sqref="D50:D52">
    <cfRule type="expression" dxfId="1660" priority="369">
      <formula>wld_az1_en1_ip_allocation_chosen="DHCP"</formula>
    </cfRule>
  </conditionalFormatting>
  <conditionalFormatting sqref="D59:D69 D87:D93 D95">
    <cfRule type="expression" dxfId="1659" priority="186">
      <formula>wld_ec01_use_host_overlay_chosen="Selected"</formula>
    </cfRule>
  </conditionalFormatting>
  <conditionalFormatting sqref="D62:D64">
    <cfRule type="expression" dxfId="1658" priority="668">
      <formula>wld_az1_en1_edge_overlay_network_ip_allocation_chosen&lt;&gt;"IP Pool"</formula>
    </cfRule>
  </conditionalFormatting>
  <conditionalFormatting sqref="D65:D66 D69">
    <cfRule type="expression" dxfId="1657" priority="1">
      <formula>wld_az1_en1_edge_overlay_network_ip_allocation_chosen&lt;&gt;"Static IP List"</formula>
    </cfRule>
  </conditionalFormatting>
  <conditionalFormatting sqref="D66">
    <cfRule type="expression" dxfId="1656" priority="820">
      <formula>wld_az1_en1_edge_overlay_network_ip_allocation_chosen&lt;&gt;"IP Pool"</formula>
    </cfRule>
  </conditionalFormatting>
  <conditionalFormatting sqref="D68">
    <cfRule type="expression" dxfId="1655" priority="180">
      <formula>wld_az1_en1_edge_overlay_network_ip_allocation_chosen="DHCP"</formula>
    </cfRule>
  </conditionalFormatting>
  <conditionalFormatting sqref="D79:D80">
    <cfRule type="expression" dxfId="1654" priority="280">
      <formula>wld_az1_en2_ip_allocation_chosen="DHCP"</formula>
    </cfRule>
  </conditionalFormatting>
  <conditionalFormatting sqref="D89">
    <cfRule type="expression" dxfId="1653" priority="263" stopIfTrue="1">
      <formula>wld_az1_en2_edge_overlay_network_ip_allocation_chosen&lt;&gt;"IP Pool"</formula>
    </cfRule>
  </conditionalFormatting>
  <conditionalFormatting sqref="D90:D93">
    <cfRule type="expression" dxfId="1652" priority="671">
      <formula>wld_az1_en1_edge_overlay_network_ip_allocation_chosen&lt;&gt;"Static IP List"</formula>
    </cfRule>
  </conditionalFormatting>
  <conditionalFormatting sqref="D96:D97">
    <cfRule type="expression" dxfId="1651" priority="166">
      <formula>wld_az1_ec01_password_creation_chosen="Selected"</formula>
    </cfRule>
  </conditionalFormatting>
  <conditionalFormatting sqref="D99:D102">
    <cfRule type="expression" dxfId="1650" priority="46">
      <formula>OR((wld_nsxt_federation_chosen="Standby Global Manager"),(wld_nsxt_federation_chosen="Connect Instance"))</formula>
    </cfRule>
    <cfRule type="expression" dxfId="1649" priority="47">
      <formula>wld_tier0_skip_chosen="Selected"</formula>
    </cfRule>
  </conditionalFormatting>
  <conditionalFormatting sqref="D106:D110 D113:D117 D121:D125 D128:D132">
    <cfRule type="expression" dxfId="1648" priority="167">
      <formula>wld_gateway_routing_type_chosen="STATIC"</formula>
    </cfRule>
  </conditionalFormatting>
  <conditionalFormatting sqref="D108">
    <cfRule type="expression" dxfId="1647" priority="670">
      <formula>AND(wld_multi_rack_count_result&lt;&gt;"Excluded",wld_dedicated_edge_cluster_chosen_first&lt;&gt;1,wld_dedicated_edge_cluster_chosen_second&lt;&gt;1)</formula>
    </cfRule>
  </conditionalFormatting>
  <conditionalFormatting sqref="D134:D135">
    <cfRule type="expression" dxfId="1646" priority="3">
      <formula>wld_bgp_chosen="Centralized Connectivity"</formula>
    </cfRule>
    <cfRule type="expression" dxfId="1645" priority="163">
      <formula>wld_bgp_chosen="Exclude"</formula>
    </cfRule>
  </conditionalFormatting>
  <conditionalFormatting sqref="D137:D146 D148:D149 D151:D159 D161:D169">
    <cfRule type="containsBlanks" dxfId="1643" priority="32">
      <formula>LEN(TRIM(D137))=0</formula>
    </cfRule>
    <cfRule type="notContainsBlanks" dxfId="1642" priority="182">
      <formula>LEN(TRIM(D137))&gt;0</formula>
    </cfRule>
  </conditionalFormatting>
  <conditionalFormatting sqref="D148:D149 D151:D159 D161:D169 D137:D146 D119:D135 D42:D53 D55:D69 D34 D36 D38:D40 D71:D81 D83:D93 D95:D97 D99:D102 D104:D117">
    <cfRule type="expression" dxfId="1641" priority="30">
      <formula>wld_bgp_result="Excluded"</formula>
    </cfRule>
  </conditionalFormatting>
  <conditionalFormatting sqref="D151:D159 D161:D169 D137:D146 D148:D149">
    <cfRule type="expression" dxfId="1640" priority="28">
      <formula>wld_bgp_chosen="Excluded"</formula>
    </cfRule>
  </conditionalFormatting>
  <conditionalFormatting sqref="D151:D159 D161:D169 D148:D149">
    <cfRule type="expression" dxfId="1639" priority="29">
      <formula>wld_bgp_chosen="Centralized Connectivity"</formula>
    </cfRule>
  </conditionalFormatting>
  <conditionalFormatting sqref="D156 D166">
    <cfRule type="expression" dxfId="1638" priority="4">
      <formula>wld_vna_ip_assignment_address_type_chosen&lt;&gt;"IPv4"</formula>
    </cfRule>
  </conditionalFormatting>
  <conditionalFormatting sqref="D171 D173:D175 D177:D179 D181">
    <cfRule type="expression" dxfId="1637" priority="33">
      <formula>wld_bgp_chosen="Distributed Connectivity"</formula>
    </cfRule>
  </conditionalFormatting>
  <conditionalFormatting sqref="D171">
    <cfRule type="expression" dxfId="1636" priority="56">
      <formula>(wld_bgp_chosen="Exclude")</formula>
    </cfRule>
    <cfRule type="expression" dxfId="1635" priority="57">
      <formula>$D$171="Exclude"</formula>
    </cfRule>
    <cfRule type="expression" dxfId="1634" priority="69">
      <formula>AND((wld_bgp_chosen&lt;&gt;"Exclude"),(wld_bgp_result="Excluded"))</formula>
    </cfRule>
    <cfRule type="expression" dxfId="1633" priority="5299">
      <formula>AND((wld_bgp_chosen&lt;&gt;"Exclude"),(wld_bgp_result="Included"))</formula>
    </cfRule>
  </conditionalFormatting>
  <conditionalFormatting sqref="D173 D177">
    <cfRule type="expression" dxfId="1632" priority="39">
      <formula>wld_ec_api_chosen="Exclude"</formula>
    </cfRule>
  </conditionalFormatting>
  <conditionalFormatting sqref="D173:D175">
    <cfRule type="expression" dxfId="1631" priority="105">
      <formula>OR((wld_domain_result="Excluded"),(wld_bgp_result="Excluded"))</formula>
    </cfRule>
  </conditionalFormatting>
  <conditionalFormatting sqref="D177:D179 D181">
    <cfRule type="expression" dxfId="1630" priority="94">
      <formula>OR((wld_domain_result="Excluded"),(wld_bgp_result="Excluded"))</formula>
    </cfRule>
  </conditionalFormatting>
  <conditionalFormatting sqref="D180">
    <cfRule type="expression" dxfId="1629" priority="147">
      <formula>input_mgmt_principal_storage_chosen="VMFS on Fibre Channel (FC)"</formula>
    </cfRule>
    <cfRule type="expression" dxfId="1628" priority="148">
      <formula>mgmt_domain_existing_vcenter_chosen="Selected"</formula>
    </cfRule>
    <cfRule type="notContainsBlanks" dxfId="1626" priority="150">
      <formula>LEN(TRIM(D180))&gt;0</formula>
    </cfRule>
    <cfRule type="containsBlanks" dxfId="1625" priority="151">
      <formula>LEN(TRIM(D180))=0</formula>
    </cfRule>
  </conditionalFormatting>
  <conditionalFormatting sqref="D185 D187:D191 D193:D195 D197:D204 D206:D213 D215:D216">
    <cfRule type="expression" dxfId="1624" priority="6">
      <formula>wld_supervisor_result="Excluded"</formula>
    </cfRule>
  </conditionalFormatting>
  <conditionalFormatting sqref="D185">
    <cfRule type="containsBlanks" dxfId="1622" priority="26">
      <formula>LEN(TRIM(D185))=0</formula>
    </cfRule>
    <cfRule type="notContainsBlanks" dxfId="1621" priority="27">
      <formula>LEN(TRIM(D185))&gt;0</formula>
    </cfRule>
  </conditionalFormatting>
  <conditionalFormatting sqref="D187:D191">
    <cfRule type="containsBlanks" dxfId="1619" priority="23">
      <formula>LEN(TRIM(D187))=0</formula>
    </cfRule>
    <cfRule type="notContainsBlanks" dxfId="1618" priority="24">
      <formula>LEN(TRIM(D187))&gt;0</formula>
    </cfRule>
  </conditionalFormatting>
  <conditionalFormatting sqref="D193:D195">
    <cfRule type="containsBlanks" dxfId="1616" priority="20">
      <formula>LEN(TRIM(D193))=0</formula>
    </cfRule>
    <cfRule type="notContainsBlanks" dxfId="1615" priority="21">
      <formula>LEN(TRIM(D193))&gt;0</formula>
    </cfRule>
  </conditionalFormatting>
  <conditionalFormatting sqref="D197:D204">
    <cfRule type="containsBlanks" dxfId="1613" priority="17">
      <formula>LEN(TRIM(D197))=0</formula>
    </cfRule>
    <cfRule type="notContainsBlanks" dxfId="1612" priority="18">
      <formula>LEN(TRIM(D197))&gt;0</formula>
    </cfRule>
  </conditionalFormatting>
  <conditionalFormatting sqref="D206:D213">
    <cfRule type="containsBlanks" dxfId="1610" priority="14">
      <formula>LEN(TRIM(D206))=0</formula>
    </cfRule>
    <cfRule type="notContainsBlanks" dxfId="1609" priority="15">
      <formula>LEN(TRIM(D206))&gt;0</formula>
    </cfRule>
  </conditionalFormatting>
  <conditionalFormatting sqref="D215:D216">
    <cfRule type="containsBlanks" dxfId="1607" priority="11">
      <formula>LEN(TRIM(D215))=0</formula>
    </cfRule>
    <cfRule type="notContainsBlanks" dxfId="1606" priority="12">
      <formula>LEN(TRIM(D215))&gt;0</formula>
    </cfRule>
  </conditionalFormatting>
  <conditionalFormatting sqref="D222 D224 D226:D232 D234">
    <cfRule type="expression" dxfId="1605" priority="760">
      <formula>wld_avi_loadbalancer_result="Excluded"</formula>
    </cfRule>
  </conditionalFormatting>
  <conditionalFormatting sqref="D240:D243 D245:D260 D265:D266 D268:D274 D276:D282 D284:D290 D292:D298 D303:D324 D356:D359 D362:D364 D367:D369 D374:D403 D329">
    <cfRule type="expression" dxfId="1604" priority="44">
      <formula>OR((wld_domain_result="Excluded"),(wld_stretched_cluster_result="Excluded"))</formula>
    </cfRule>
  </conditionalFormatting>
  <conditionalFormatting sqref="D240:D243">
    <cfRule type="expression" dxfId="1603" priority="261">
      <formula>wld_multi_rack_count_result&lt;&gt;"Excluded"</formula>
    </cfRule>
  </conditionalFormatting>
  <conditionalFormatting sqref="D245:D260">
    <cfRule type="expression" dxfId="1602" priority="185">
      <formula>wld_multi_rack_count_result&lt;&gt;"Excluded"</formula>
    </cfRule>
  </conditionalFormatting>
  <conditionalFormatting sqref="D268:D274 D276:D282 D284:D290">
    <cfRule type="expression" dxfId="1601" priority="83">
      <formula>wld_az2_reuse_vcf_networkpool_chosen="Re-use an existing VCF Network Pool"</formula>
    </cfRule>
  </conditionalFormatting>
  <conditionalFormatting sqref="D275">
    <cfRule type="expression" dxfId="1600" priority="359">
      <formula>input_mgmt_principal_storage_chosen="VMFS on Fibre Channel (FC)"</formula>
    </cfRule>
    <cfRule type="expression" dxfId="1599" priority="360">
      <formula>mgmt_domain_existing_vcenter_chosen="Selected"</formula>
    </cfRule>
    <cfRule type="containsBlanks" dxfId="1597" priority="362">
      <formula>LEN(TRIM(D275))=0</formula>
    </cfRule>
    <cfRule type="notContainsBlanks" dxfId="1596" priority="363">
      <formula>LEN(TRIM(D275))&gt;0</formula>
    </cfRule>
  </conditionalFormatting>
  <conditionalFormatting sqref="D276:D282">
    <cfRule type="expression" dxfId="1595" priority="45">
      <formula>AND((wld_principal_storage_chosen&lt;&gt;"vSAN-ESA"),(wld_principal_storage_chosen&lt;&gt;"vSAN-OSA"))</formula>
    </cfRule>
  </conditionalFormatting>
  <conditionalFormatting sqref="D284:D290">
    <cfRule type="expression" dxfId="1594" priority="200">
      <formula>OR((wld_domain_result="Excluded"),(wld_stretched_cluster_result="Excluded"),(wld_secondary_storage_result="Excluded"))</formula>
    </cfRule>
  </conditionalFormatting>
  <conditionalFormatting sqref="D292:D298">
    <cfRule type="expression" dxfId="1593" priority="41">
      <formula>wld_principal_storage_chosen&lt;&gt;"vSAN Storage Cluster"</formula>
    </cfRule>
  </conditionalFormatting>
  <conditionalFormatting sqref="D319:D324">
    <cfRule type="expression" dxfId="1592" priority="184">
      <formula>wld_domain_result="Excluded"</formula>
    </cfRule>
  </conditionalFormatting>
  <conditionalFormatting sqref="D326">
    <cfRule type="expression" dxfId="1591" priority="177">
      <formula>mgmt_domain_existing_vcenter_chosen="Selected"</formula>
    </cfRule>
  </conditionalFormatting>
  <conditionalFormatting sqref="D328">
    <cfRule type="expression" dxfId="1590" priority="153">
      <formula>wld_multi_rack_count_result&lt;&gt;"Excluded"</formula>
    </cfRule>
    <cfRule type="expression" dxfId="1589" priority="162">
      <formula>OR((wld_domain_result="Excluded"),(wld_stretched_cluster_result="Excluded"))</formula>
    </cfRule>
  </conditionalFormatting>
  <conditionalFormatting sqref="D328:D331 D42:D53">
    <cfRule type="expression" dxfId="1588" priority="110">
      <formula>mgmt_domain_deployment_type_chosen="VMware vSphere Foundation"</formula>
    </cfRule>
  </conditionalFormatting>
  <conditionalFormatting sqref="D330">
    <cfRule type="expression" dxfId="1587" priority="118">
      <formula>wld_multi_rack_count_result&lt;&gt;"Excluded"</formula>
    </cfRule>
    <cfRule type="expression" dxfId="1586" priority="152">
      <formula>OR((wld_domain_result="Excluded"),(wld_stretched_cluster_result="Excluded"))</formula>
    </cfRule>
  </conditionalFormatting>
  <conditionalFormatting sqref="D331">
    <cfRule type="expression" dxfId="1585" priority="117">
      <formula>OR((wld_domain_result="Excluded"),(wld_stretched_cluster_result="Excluded"))</formula>
    </cfRule>
  </conditionalFormatting>
  <conditionalFormatting sqref="D336:D353">
    <cfRule type="expression" dxfId="1584" priority="70">
      <formula>OR((wld_domain_result="Excluded"),(wld_stretched_cluster_result="Excluded"))</formula>
    </cfRule>
  </conditionalFormatting>
  <conditionalFormatting sqref="D374:D389">
    <cfRule type="expression" dxfId="1583" priority="675">
      <formula>wld_multi_rack_count_result&lt;&gt;"Excluded"</formula>
    </cfRule>
    <cfRule type="expression" dxfId="1582" priority="679">
      <formula>OR((wld_domain_result="Excluded"),(wld_stretched_cluster_result="Excluded"))</formula>
    </cfRule>
  </conditionalFormatting>
  <conditionalFormatting sqref="D391">
    <cfRule type="expression" dxfId="1581" priority="74">
      <formula>wld_domain_chosen="Import Workload Domain"</formula>
    </cfRule>
    <cfRule type="expression" dxfId="1580" priority="76" stopIfTrue="1">
      <formula>wld_domain_result="Excluded"</formula>
    </cfRule>
    <cfRule type="expression" dxfId="1579" priority="78">
      <formula>wld_host_overlay_addressing_chosen="DHCP"</formula>
    </cfRule>
    <cfRule type="expression" dxfId="1578" priority="80" stopIfTrue="1">
      <formula>wld_domain_result="Excluded"</formula>
    </cfRule>
    <cfRule type="expression" dxfId="1577" priority="82">
      <formula>wld_multirack_result="Included"</formula>
    </cfRule>
  </conditionalFormatting>
  <conditionalFormatting sqref="D395:D399">
    <cfRule type="expression" dxfId="1576" priority="85">
      <formula>wld_multi_rack_count_result&lt;&gt;"Excluded"</formula>
    </cfRule>
  </conditionalFormatting>
  <conditionalFormatting sqref="D398:D399">
    <cfRule type="expression" dxfId="1575" priority="193">
      <formula>OR((wld_domain_result="Excluded"),(wld_stretched_cluster_result="Excluded"),(wld_host_overlay_addressing_chosen&lt;&gt;"Static IP Pool"))</formula>
    </cfRule>
  </conditionalFormatting>
  <conditionalFormatting sqref="D408 D411:D412 D415:D425">
    <cfRule type="expression" dxfId="1574" priority="759">
      <formula>OR((wld_domain_result="Excluded"),(wld_stretched_cluster_result="Excluded"),(wld_bgp_chosen&lt;&gt;"Centralized Connectivity"))</formula>
    </cfRule>
  </conditionalFormatting>
  <conditionalFormatting sqref="D430 D432:D447 D449:D464 D466:D482 D486:D500 D504:D508 D512:D514 D523 D525 D529:D532 D545:D546 D550:D557 D575:D579">
    <cfRule type="expression" dxfId="1573" priority="698" stopIfTrue="1">
      <formula>OR((wld_nsxt_federation_result="Excluded"),(wld_nsxt_federation_chosen="Connect Instance"))</formula>
    </cfRule>
  </conditionalFormatting>
  <conditionalFormatting sqref="D513:D514">
    <cfRule type="expression" dxfId="1572" priority="741">
      <formula>OR((wld_domain_result="Excluded"),(wld_nsxt_federation_result="Excluded"),(wld_nsxt_federation_chosen="Connect Instance"))</formula>
    </cfRule>
  </conditionalFormatting>
  <conditionalFormatting sqref="D518">
    <cfRule type="expression" dxfId="1571" priority="1368">
      <formula>OR((wld_nsxt_federation_result="Excluded"),(wld_nsxt_federation_chosen="Connect Instance"),(wld_signed_certs_result="Excluded"))</formula>
    </cfRule>
  </conditionalFormatting>
  <conditionalFormatting sqref="D522:D525">
    <cfRule type="expression" dxfId="1570" priority="1365">
      <formula>OR((wld_nsxt_federation_result="Excluded"),(wld_nsxt_federation_chosen="Connect Instance"),(wld_signed_certs_result="Excluded"))</formula>
    </cfRule>
  </conditionalFormatting>
  <conditionalFormatting sqref="D529:D532 D36 D38:D40 D55:D69 D71:D81 D83:D93 D95:D97 D99:D102 D104:D117 D119:D135 D21:D28 D222 D224 D226:D232 D240:D243 D245:D260 D265:D266 D268:D274 D276:D282 D284:D290 D292:D298 D303:D324 D336 D338:D353 D356:D359 D362:D364 D367:D369 D374:D403 D408 D411:D412 D415:D425 D430 D432:D447 D449:D464 D466:D482 D486:D500 D504:D508 D512:D514 D518 D522:D525 D536:D541 D545:D546 D550:D557 D561:D571 D575:D579 D583:D622 D626:D629">
    <cfRule type="expression" dxfId="1569" priority="42">
      <formula>mgmt_domain_deployment_type_chosen="VMware vSphere Foundation"</formula>
    </cfRule>
  </conditionalFormatting>
  <conditionalFormatting sqref="D529:D532">
    <cfRule type="expression" dxfId="1568" priority="34">
      <formula>OR((wld_nsxt_federation_result="Excluded"),(wld_nsxt_federation_chosen="Connect Instance"),(wld_signed_certs_result="Excluded"))</formula>
    </cfRule>
    <cfRule type="containsBlanks" dxfId="1567" priority="35">
      <formula>LEN(TRIM(D529))=0</formula>
    </cfRule>
    <cfRule type="notContainsBlanks" dxfId="1565" priority="37">
      <formula>LEN(TRIM(D529))&gt;0</formula>
    </cfRule>
    <cfRule type="expression" dxfId="1564" priority="1373">
      <formula>OR((wld_nsxt_federation_result="Excluded"),(wld_nsxt_federation_chosen="Connect Instance"),(wld_signed_certs_result="Excluded"))</formula>
    </cfRule>
  </conditionalFormatting>
  <conditionalFormatting sqref="D536:D541">
    <cfRule type="expression" dxfId="1563" priority="697">
      <formula>OR((wld_domain_result="Excluded"),(wld_nsxt_federation_result="Excluded"))</formula>
    </cfRule>
  </conditionalFormatting>
  <conditionalFormatting sqref="D538:D539">
    <cfRule type="expression" dxfId="1562" priority="680">
      <formula>wld_domain_result="Excluded"</formula>
    </cfRule>
  </conditionalFormatting>
  <conditionalFormatting sqref="D540:D541">
    <cfRule type="expression" dxfId="1561" priority="739">
      <formula>AND(wld_multi_rack_count_result&lt;&gt;"Excluded",wld_dedicated_edge_cluster_chosen_first&lt;&gt;1,wld_dedicated_edge_cluster_chosen_second&lt;&gt;1)</formula>
    </cfRule>
    <cfRule type="expression" dxfId="1560" priority="740">
      <formula>OR((wld_domain_result="Excluded"),(wld_nsxt_federation_result="Excluded"))</formula>
    </cfRule>
  </conditionalFormatting>
  <conditionalFormatting sqref="D545:D546">
    <cfRule type="expression" dxfId="1559" priority="1087">
      <formula>OR((wld_nsxt_federation_result="Excluded"),(wld_nsxt_federation_chosen&lt;&gt;"Active Global Manager"))</formula>
    </cfRule>
  </conditionalFormatting>
  <conditionalFormatting sqref="D550:D557 D561:D571">
    <cfRule type="expression" dxfId="1558" priority="967">
      <formula>OR((wld_nsxt_federation_result="Excluded"),(wld_nsxt_federation_chosen&lt;&gt;"Standby Global Manager"))</formula>
    </cfRule>
  </conditionalFormatting>
  <conditionalFormatting sqref="D583">
    <cfRule type="expression" dxfId="1557" priority="731">
      <formula>wld_domain_result="Excluded"</formula>
    </cfRule>
    <cfRule type="expression" dxfId="1556" priority="733">
      <formula>OR((wld_domain_result="Excluded"),(wld_nsxt_federation_result="Excluded"))</formula>
    </cfRule>
  </conditionalFormatting>
  <conditionalFormatting sqref="D583:D622">
    <cfRule type="expression" dxfId="1555" priority="73">
      <formula>OR((wld_nsxt_federation_result="Excluded"),(wld_nsxt_federation_chosen="Active Global Manager"))</formula>
    </cfRule>
  </conditionalFormatting>
  <conditionalFormatting sqref="D626:D629">
    <cfRule type="expression" dxfId="1554" priority="919">
      <formula>OR((wld_nsxt_federation_result="Excluded"),(wld_nsxt_federation_chosen="Active Global Manager"))</formula>
    </cfRule>
  </conditionalFormatting>
  <conditionalFormatting sqref="D11:E11 B11">
    <cfRule type="expression" dxfId="1553" priority="215">
      <formula>AND((wld_signed_certs_chosen&lt;&gt;"Exclude"),(wld_signed_certs_result="Excluded"))</formula>
    </cfRule>
  </conditionalFormatting>
  <conditionalFormatting sqref="D11:E11">
    <cfRule type="expression" dxfId="1552" priority="1519">
      <formula>(wld_signed_certs_chosen="Exclude")</formula>
    </cfRule>
    <cfRule type="expression" dxfId="1551" priority="1520">
      <formula>AND((wld_signed_certs_chosen="Include"),(wld_signed_certs_result="Excluded"))</formula>
    </cfRule>
    <cfRule type="expression" dxfId="1550" priority="1560">
      <formula>AND((vcf_granular_option_chosen="Full Deployment"),(wld_signed_certs_chosen="Include"),(wld_signed_certs_result="Excluded"))</formula>
    </cfRule>
    <cfRule type="expression" dxfId="1549" priority="1561">
      <formula>AND((wld_signed_certs_chosen="Include"),(wld_signed_certs_result="Included"))</formula>
    </cfRule>
  </conditionalFormatting>
  <conditionalFormatting sqref="D12:E12">
    <cfRule type="expression" dxfId="1548" priority="1569">
      <formula>(wld_bgp_result="Excluded")</formula>
    </cfRule>
    <cfRule type="expression" dxfId="1547" priority="1571">
      <formula>AND((wld_bgp_chosen&lt;&gt;"Exclude"),(wld_bgp_result="Included"))</formula>
    </cfRule>
  </conditionalFormatting>
  <conditionalFormatting sqref="D15:E15 B15">
    <cfRule type="expression" dxfId="1546" priority="1572">
      <formula>(wld_stretched_cluster_chosen="Exclude")</formula>
    </cfRule>
    <cfRule type="expression" dxfId="1545" priority="1575">
      <formula>AND((wld_stretched_cluster_chosen="Include"),(wld_stretched_cluster_result="Included"))</formula>
    </cfRule>
  </conditionalFormatting>
  <conditionalFormatting sqref="D15:E15">
    <cfRule type="expression" dxfId="1544" priority="1573">
      <formula>AND((wld_stretched_cluster_chosen="Include"),(wld_stretched_cluster_result="Excluded"))</formula>
    </cfRule>
    <cfRule type="expression" dxfId="1543" priority="1576">
      <formula>AND((wld_stretched_cluster_chosen="Include"),(wld_stretched_cluster_result="Included"))</formula>
    </cfRule>
  </conditionalFormatting>
  <conditionalFormatting sqref="D16:E16">
    <cfRule type="expression" dxfId="1542" priority="1557">
      <formula>(wld_nsxt_federation_chosen="Exclude")</formula>
    </cfRule>
    <cfRule type="expression" dxfId="1541" priority="1558">
      <formula>AND((wld_nsxt_federation_chosen&lt;&gt;"Exclude"),(wld_nsxt_federation_result="Excluded"))</formula>
    </cfRule>
    <cfRule type="expression" dxfId="1540" priority="1559">
      <formula>AND((wld_nsxt_federation_chosen&lt;&gt;"Exclude"),(wld_nsxt_federation_result="Included"))</formula>
    </cfRule>
  </conditionalFormatting>
  <conditionalFormatting sqref="E15:E16">
    <cfRule type="containsText" dxfId="1538" priority="1516" operator="containsText" text="Note:">
      <formula>NOT(ISERROR(SEARCH("Note:",E15)))</formula>
    </cfRule>
  </conditionalFormatting>
  <dataValidations disablePrompts="1" count="23">
    <dataValidation type="list" allowBlank="1" showInputMessage="1" showErrorMessage="1" sqref="B16" xr:uid="{4C87AA03-6454-D94F-9467-431FFA208D54}">
      <formula1>"Exclude, Active Global Manager, Standby Global Manager, Connect Instance"</formula1>
    </dataValidation>
    <dataValidation type="list" allowBlank="1" showInputMessage="1" showErrorMessage="1" sqref="B12" xr:uid="{2D9695D8-0E1C-EF44-AAB1-95F146F1964E}">
      <formula1>"Exclude,Centralized Connectivity,Distributed Connectivity"</formula1>
    </dataValidation>
    <dataValidation type="list" allowBlank="1" showInputMessage="1" showErrorMessage="1" sqref="B11 D171 B13:B15" xr:uid="{C69FA742-5038-9D45-BD6D-BB0D8DB6294F}">
      <formula1>"Include,Exclude"</formula1>
    </dataValidation>
    <dataValidation type="list" allowBlank="1" showInputMessage="1" showErrorMessage="1" sqref="D107 D122" xr:uid="{1FA25AA4-C7C4-224F-A74A-E18EB0A0D6B9}">
      <formula1>"Unselected,Selected"</formula1>
    </dataValidation>
    <dataValidation type="list" allowBlank="1" showInputMessage="1" showErrorMessage="1" sqref="D101" xr:uid="{F2F55751-BB10-E84F-9AD8-518EAD20263D}">
      <formula1>"BGP,STATIC"</formula1>
    </dataValidation>
    <dataValidation type="list" allowBlank="1" showInputMessage="1" showErrorMessage="1" sqref="D53 D95 D189" xr:uid="{6E218C7E-278E-A44E-BA80-EACBB79470BA}">
      <formula1>"Selected,Unselected"</formula1>
    </dataValidation>
    <dataValidation type="list" allowBlank="1" showInputMessage="1" showErrorMessage="1" sqref="D45" xr:uid="{140CA152-F868-7845-AEBE-6E3B151912BF}">
      <formula1>"Yes,No"</formula1>
    </dataValidation>
    <dataValidation type="list" allowBlank="1" showInputMessage="1" showErrorMessage="1" sqref="D49 D77 D156" xr:uid="{B79D3647-2C48-7E4B-84CE-38073E4D2E1B}">
      <formula1>"DHCP,Static"</formula1>
    </dataValidation>
    <dataValidation type="list" allowBlank="1" showInputMessage="1" showErrorMessage="1" sqref="D61" xr:uid="{D4E60F0F-0F73-3E4E-B263-BF2E7937FF8E}">
      <formula1>"DHCP,IP Pool,Static IP List"</formula1>
    </dataValidation>
    <dataValidation type="list" allowBlank="1" showInputMessage="1" showErrorMessage="1" sqref="D40 D149" xr:uid="{745744E8-9BDB-EF47-909E-01A0278A7BE3}">
      <formula1>"Small,Medium,Large,Extra Large"</formula1>
    </dataValidation>
    <dataValidation type="list" allowBlank="1" showInputMessage="1" showErrorMessage="1" sqref="D224" xr:uid="{223675FF-994A-B14A-A66F-B3D900280D48}">
      <formula1>"Excluded,Small,Medium,Large"</formula1>
    </dataValidation>
    <dataValidation type="list" allowBlank="1" showInputMessage="1" showErrorMessage="1" sqref="D100" xr:uid="{A470D2E1-F581-F74A-B599-24F7809B8FFB}">
      <formula1>"Active Active,Active Standby"</formula1>
    </dataValidation>
    <dataValidation type="list" allowBlank="1" showInputMessage="1" showErrorMessage="1" sqref="D265" xr:uid="{CCAF4F8A-F76A-2842-8C67-E8F0466D0CEA}">
      <formula1>"Re-use an existing VCF Network Pool,Create a new VCF Network Pool"</formula1>
    </dataValidation>
    <dataValidation type="list" allowBlank="1" showInputMessage="1" showErrorMessage="1" sqref="D391" xr:uid="{ADF891B3-FBF5-0544-BC0F-71FC8A0ADD84}">
      <formula1>"Re-use an existing Pool,Create New Static IP Pool"</formula1>
    </dataValidation>
    <dataValidation type="list" allowBlank="1" showInputMessage="1" showErrorMessage="1" sqref="D69 D271 D279 D287 D295" xr:uid="{F6283ECB-5E37-9248-9A2F-1A27ABA84247}">
      <formula1>table_masks</formula1>
    </dataValidation>
    <dataValidation type="list" allowBlank="1" showInputMessage="1" showErrorMessage="1" sqref="D435" xr:uid="{F610C192-E65D-4841-85C4-A947DAA7556F}">
      <formula1>"Small,Medium,Large,X-Large"</formula1>
    </dataValidation>
    <dataValidation type="list" allowBlank="1" showInputMessage="1" showErrorMessage="1" sqref="D155" xr:uid="{F7D076F1-4615-B246-8A3C-5B09089EB687}">
      <formula1>"IPv4,IPv4 &amp; IPv6, IPv6"</formula1>
    </dataValidation>
    <dataValidation type="list" allowBlank="1" showInputMessage="1" showErrorMessage="1" sqref="D187" xr:uid="{5D4F36B9-6739-D74A-8DF8-CD7462F751D4}">
      <formula1>"vSphere Zone Deployment,Cluster Deployment"</formula1>
    </dataValidation>
    <dataValidation type="list" allowBlank="1" showInputMessage="1" showErrorMessage="1" sqref="D185" xr:uid="{E1B505FD-B792-514B-BE19-78004A6EA7AE}">
      <formula1>"VCF Networking with VPC,vSphere Distributed Switch"</formula1>
    </dataValidation>
    <dataValidation type="list" allowBlank="1" showInputMessage="1" showErrorMessage="1" sqref="D215" xr:uid="{BDD0E196-F5C6-D545-99D5-DF864C298F3F}">
      <formula1>"Tiny,Small,Medium,Large,XLarge"</formula1>
    </dataValidation>
    <dataValidation type="list" allowBlank="1" showInputMessage="1" showErrorMessage="1" sqref="D197" xr:uid="{5571FCFF-5C67-ED44-B012-85977F6212C7}">
      <formula1>"Static,DHCP"</formula1>
    </dataValidation>
    <dataValidation type="list" allowBlank="1" showInputMessage="1" showErrorMessage="1" sqref="D48" xr:uid="{3AD7A264-6F29-3547-A4C9-EB923692AEBF}">
      <formula1>"IPv4 Only,IPv6 Only, IPv4 &amp; IPv6"</formula1>
    </dataValidation>
    <dataValidation type="list" allowBlank="1" showInputMessage="1" showErrorMessage="1" sqref="D60" xr:uid="{76D8BD7A-6922-4F41-AE01-5925A0B81452}">
      <formula1>"IPv4,IPv6,"</formula1>
    </dataValidation>
  </dataValidations>
  <hyperlinks>
    <hyperlink ref="B5" location="'Configure Workload Domain'!navigation_apply_signed_certs_wld_domain" display="Apply Signed Certificates" xr:uid="{00000000-0004-0000-0700-000000000000}"/>
    <hyperlink ref="C5" location="'Configure Workload Domain'!navigation_nsx_routing_wld_domain" display="NSX Network Connectivity for the Workload Domain" xr:uid="{00000000-0004-0000-0700-000001000000}"/>
    <hyperlink ref="C7" location="'Configure Workload Domain'!navigation_avi_lb_wld_domain" display="Deploy AVI Loadbalancer " xr:uid="{00000000-0004-0000-0700-000002000000}"/>
    <hyperlink ref="E5" location="'Configure Workload Domain'!navigation_stretched_cluster_wld_domain" display="Stretched Cluster" xr:uid="{00000000-0004-0000-0700-000003000000}"/>
    <hyperlink ref="B7" location="'Configure Workload Domain'!navigation_nsx_federation_for_wld_domain" display="NSX Federation for Workload Domain" xr:uid="{00000000-0004-0000-0700-000004000000}"/>
    <hyperlink ref="E21" location="'Configure Workload Domain'!navigation_apply_signed_certs_mgmt_domain" display="navigation_apply_signed_certs_mgmt_domain" xr:uid="{00000000-0004-0000-0700-000005000000}"/>
    <hyperlink ref="E43" location="'Deploy Workload Domain'!D163" display="Values are set based on vSphere Cluster configuration in the Deploy Workload Domain Tab. Click to Redirect" xr:uid="{00000000-0004-0000-0700-000006000000}"/>
    <hyperlink ref="E47" location="'Deploy Workload Domain'!D199" display="Values are set based on Datastore configuration in the Deploy Workload Domain Tab. Click to Redirect" xr:uid="{00000000-0004-0000-0700-000007000000}"/>
    <hyperlink ref="E52" location="'Deploy Workload Domain'!D250" display="Must be precreated in vCenter, Value is deterimined based on input in Deploy Workload Domain Tab." xr:uid="{00000000-0004-0000-0700-000008000000}"/>
    <hyperlink ref="E51" location="'Deploy Workload Domain'!D332" display="Value is deterimined based on input in Deploy Workload Domain Tab. Click to Redirect" xr:uid="{00000000-0004-0000-0700-000009000000}"/>
    <hyperlink ref="E72" location="'Deploy Workload Domain'!D163" display="Values are set based on vSphere Cluster configuration in the Deploy Workload Domain Tab. Click to Redirect" xr:uid="{00000000-0004-0000-0700-00000A000000}"/>
    <hyperlink ref="E73" location="'Deploy Workload Domain'!L94" display="Values are set based on vSphere Cluster configuration in the Deploy Workload Domain Tab" xr:uid="{00000000-0004-0000-0700-00000B000000}"/>
    <hyperlink ref="E76" location="'Deploy Workload Domain'!D199" display="Values are set based on Datastore configuration in the Deploy Workload Domain Tab. Click to Redirect" xr:uid="{00000000-0004-0000-0700-00000C000000}"/>
    <hyperlink ref="E78" location="'Deploy Workload Domain'!D250" display="Must be precreated in vCenter, Value is deterimined based on input in Deploy Workload Domain Tab." xr:uid="{00000000-0004-0000-0700-00000D000000}"/>
    <hyperlink ref="E80" location="'Deploy Workload Domain'!D332" display="Value is deterimined based on input in Deploy Workload Domain Tab. Click to Redirect" xr:uid="{00000000-0004-0000-0700-00000E000000}"/>
    <hyperlink ref="E551" location="'VI Workload Domain'!input_wld_nsxt_gm_fingerprint" display="Note: Click this cell to redirect to the location for storing this output" xr:uid="{00000000-0004-0000-0700-00000F000000}"/>
    <hyperlink ref="E562" location="'VI Workload Domain'!input_wld_nsxt_lm_fingerprint" display="Note: Click this cell to redirect to the location for storing this output" xr:uid="{00000000-0004-0000-0700-000010000000}"/>
    <hyperlink ref="E168" location="'Deploy Workload Domain'!D332" display="Value is deterimined based on input in Deploy Workload Domain Tab. Click to Redirect" xr:uid="{68C53295-CD74-1341-9019-C203509F6197}"/>
    <hyperlink ref="E158" location="'Deploy Workload Domain'!D332" display="Value is deterimined based on input in Deploy Workload Domain Tab. Click to Redirect" xr:uid="{11D5D64A-EFA1-4B4E-823D-B111A0BACF5A}"/>
    <hyperlink ref="E159" location="'Deploy Workload Domain'!D250" display="Must be precreated in vCenter, Value is deterimined based on input in Deploy Workload Domain Tab." xr:uid="{5742DED8-9ECC-1D4E-A3F3-1B03FFC7F722}"/>
    <hyperlink ref="E169" location="'Deploy Workload Domain'!D250" display="Must be precreated in vCenter, Value is deterimined based on input in Deploy Workload Domain Tab." xr:uid="{DA5B689D-658C-4140-9651-E23A0549FF46}"/>
    <hyperlink ref="E162" location="'Deploy Workload Domain'!D163" display="Values are set based on vSphere Cluster configuration in the Deploy Workload Domain Tab. Click to Redirect" xr:uid="{2D5ADBA4-9CD2-EB4A-90D2-1685324AABE3}"/>
    <hyperlink ref="E152" location="'Deploy Workload Domain'!D163" display="Values are set based on vSphere Cluster configuration in the Deploy Workload Domain Tab. Click to Redirect" xr:uid="{6BBCF8E5-556B-B14D-A5A9-0000A343FD39}"/>
    <hyperlink ref="E154" location="'Deploy Workload Domain'!D199" display="Values are set based on Datastore configuration in the Deploy Workload Domain Tab. Click to Redirect" xr:uid="{0E3A2F83-DAFC-B74E-9C14-51580264D620}"/>
    <hyperlink ref="E164" location="'Deploy Workload Domain'!D199" display="Values are set based on Datastore configuration in the Deploy Workload Domain Tab. Click to Redirect" xr:uid="{DC0C4855-F1E4-9344-90E2-8032BCD9B827}"/>
    <hyperlink ref="D5" location="navigation_wld_supervisor" display="Enable vSphere Supervisor" xr:uid="{ABA17270-6619-234F-9EB3-7475D1FA4DED}"/>
  </hyperlinks>
  <pageMargins left="0.7" right="0.7" top="0.75" bottom="0.75" header="0.3" footer="0.3"/>
  <pageSetup paperSize="9" orientation="portrait" horizontalDpi="0" verticalDpi="0"/>
  <ignoredErrors>
    <ignoredError sqref="C64" formula="1"/>
  </ignoredErrors>
  <drawing r:id="rId1"/>
  <extLst>
    <ext xmlns:x14="http://schemas.microsoft.com/office/spreadsheetml/2009/9/main" uri="{78C0D931-6437-407d-A8EE-F0AAD7539E65}">
      <x14:conditionalFormattings>
        <x14:conditionalFormatting xmlns:xm="http://schemas.microsoft.com/office/excel/2006/main">
          <x14:cfRule type="containsText" priority="1375" operator="containsText" id="{17D4330D-4A3B-7F45-A84A-0EA101F3B4C0}">
            <xm:f>NOT(ISERROR(SEARCH("Value Missing",D21)))</xm:f>
            <xm:f>"Value Missing"</xm:f>
            <x14:dxf>
              <fill>
                <patternFill>
                  <bgColor rgb="FFFFBE29"/>
                </patternFill>
              </fill>
            </x14:dxf>
          </x14:cfRule>
          <xm:sqref>D21:D28 D36 D38:D40 D42:D53 D55:D69 D71:D81 D83:D93 D95:D97 D99:D102 D104:D117 D119:D135 D171 D173:D175 D177:D179 D181 D222 D224 D226:D232 D240:D243 D245:D260 D265:D266 D268:D274 D276:D282 D284:D290 D292:D298 D303:D324 D328:D331 D336:D353 D356:D359 D362:D364 D367:D369 D374:D403 D408 D411:D412 D415:D425 D430 D432:D447 D449:D464 D466:D482 D486:D500 D504:D508 D512:D514 D518 D522:D525 D536:D541 D545:D546 D550:D557 D561:D571 D575:D579 D583:D622 D626:D629</xm:sqref>
        </x14:conditionalFormatting>
        <x14:conditionalFormatting xmlns:xm="http://schemas.microsoft.com/office/excel/2006/main">
          <x14:cfRule type="containsText" priority="31" operator="containsText" id="{15E15184-9C52-834D-931C-2F052F935CA4}">
            <xm:f>NOT(ISERROR(SEARCH("Value Missing",D137)))</xm:f>
            <xm:f>"Value Missing"</xm:f>
            <x14:dxf>
              <font>
                <color rgb="FF0E223A"/>
              </font>
              <fill>
                <patternFill>
                  <bgColor rgb="FFFFBE29"/>
                </patternFill>
              </fill>
            </x14:dxf>
          </x14:cfRule>
          <xm:sqref>D137:D146 D148:D149 D151:D159 D161:D169</xm:sqref>
        </x14:conditionalFormatting>
        <x14:conditionalFormatting xmlns:xm="http://schemas.microsoft.com/office/excel/2006/main">
          <x14:cfRule type="containsText" priority="149" stopIfTrue="1" operator="containsText" id="{C98AE17A-A6AF-AC4F-AB86-EC82F8190CF7}">
            <xm:f>NOT(ISERROR(SEARCH("Value Missing",D180)))</xm:f>
            <xm:f>"Value Missing"</xm:f>
            <x14:dxf>
              <font>
                <color rgb="FF0E223A"/>
              </font>
              <fill>
                <patternFill>
                  <bgColor rgb="FFFFBE29"/>
                </patternFill>
              </fill>
            </x14:dxf>
          </x14:cfRule>
          <xm:sqref>D180</xm:sqref>
        </x14:conditionalFormatting>
        <x14:conditionalFormatting xmlns:xm="http://schemas.microsoft.com/office/excel/2006/main">
          <x14:cfRule type="containsText" priority="25" operator="containsText" id="{7D3CF6B0-FD31-5C4E-BF42-543F365CB5CA}">
            <xm:f>NOT(ISERROR(SEARCH("Value Missing",D185)))</xm:f>
            <xm:f>"Value Missing"</xm:f>
            <x14:dxf>
              <font>
                <color rgb="FF0E223A"/>
              </font>
              <fill>
                <patternFill>
                  <bgColor rgb="FFFFBE29"/>
                </patternFill>
              </fill>
            </x14:dxf>
          </x14:cfRule>
          <xm:sqref>D185</xm:sqref>
        </x14:conditionalFormatting>
        <x14:conditionalFormatting xmlns:xm="http://schemas.microsoft.com/office/excel/2006/main">
          <x14:cfRule type="containsText" priority="22" operator="containsText" id="{4C4C73FC-7397-AA4B-A27A-D80D4B5FC49F}">
            <xm:f>NOT(ISERROR(SEARCH("Value Missing",D187)))</xm:f>
            <xm:f>"Value Missing"</xm:f>
            <x14:dxf>
              <font>
                <color rgb="FF0E223A"/>
              </font>
              <fill>
                <patternFill>
                  <bgColor rgb="FFFFBE29"/>
                </patternFill>
              </fill>
            </x14:dxf>
          </x14:cfRule>
          <xm:sqref>D187:D191</xm:sqref>
        </x14:conditionalFormatting>
        <x14:conditionalFormatting xmlns:xm="http://schemas.microsoft.com/office/excel/2006/main">
          <x14:cfRule type="containsText" priority="19" operator="containsText" id="{50E04A00-1F72-114D-9350-212614B7EDE5}">
            <xm:f>NOT(ISERROR(SEARCH("Value Missing",D193)))</xm:f>
            <xm:f>"Value Missing"</xm:f>
            <x14:dxf>
              <font>
                <color rgb="FF0E223A"/>
              </font>
              <fill>
                <patternFill>
                  <bgColor rgb="FFFFBE29"/>
                </patternFill>
              </fill>
            </x14:dxf>
          </x14:cfRule>
          <xm:sqref>D193:D195</xm:sqref>
        </x14:conditionalFormatting>
        <x14:conditionalFormatting xmlns:xm="http://schemas.microsoft.com/office/excel/2006/main">
          <x14:cfRule type="containsText" priority="16" operator="containsText" id="{D828DD90-446F-C745-A5E0-3D90956DD352}">
            <xm:f>NOT(ISERROR(SEARCH("Value Missing",D197)))</xm:f>
            <xm:f>"Value Missing"</xm:f>
            <x14:dxf>
              <font>
                <color rgb="FF0E223A"/>
              </font>
              <fill>
                <patternFill>
                  <bgColor rgb="FFFFBE29"/>
                </patternFill>
              </fill>
            </x14:dxf>
          </x14:cfRule>
          <xm:sqref>D197:D204</xm:sqref>
        </x14:conditionalFormatting>
        <x14:conditionalFormatting xmlns:xm="http://schemas.microsoft.com/office/excel/2006/main">
          <x14:cfRule type="containsText" priority="13" operator="containsText" id="{E7BC5038-99C9-F542-800E-6DCEA0EA8AC2}">
            <xm:f>NOT(ISERROR(SEARCH("Value Missing",D206)))</xm:f>
            <xm:f>"Value Missing"</xm:f>
            <x14:dxf>
              <font>
                <color rgb="FF0E223A"/>
              </font>
              <fill>
                <patternFill>
                  <bgColor rgb="FFFFBE29"/>
                </patternFill>
              </fill>
            </x14:dxf>
          </x14:cfRule>
          <xm:sqref>D206:D213</xm:sqref>
        </x14:conditionalFormatting>
        <x14:conditionalFormatting xmlns:xm="http://schemas.microsoft.com/office/excel/2006/main">
          <x14:cfRule type="containsText" priority="10" operator="containsText" id="{D2C42EF9-3845-B447-8F98-7781ACACC7B7}">
            <xm:f>NOT(ISERROR(SEARCH("Value Missing",D215)))</xm:f>
            <xm:f>"Value Missing"</xm:f>
            <x14:dxf>
              <font>
                <color rgb="FF0E223A"/>
              </font>
              <fill>
                <patternFill>
                  <bgColor rgb="FFFFBE29"/>
                </patternFill>
              </fill>
            </x14:dxf>
          </x14:cfRule>
          <xm:sqref>D215:D216</xm:sqref>
        </x14:conditionalFormatting>
        <x14:conditionalFormatting xmlns:xm="http://schemas.microsoft.com/office/excel/2006/main">
          <x14:cfRule type="containsText" priority="361" stopIfTrue="1" operator="containsText" id="{0BA8D10D-B6F0-DA4D-AECB-738162EE74F4}">
            <xm:f>NOT(ISERROR(SEARCH("Value Missing",D275)))</xm:f>
            <xm:f>"Value Missing"</xm:f>
            <x14:dxf>
              <font>
                <color rgb="FF0E223A"/>
              </font>
              <fill>
                <patternFill>
                  <bgColor rgb="FFFFBE29"/>
                </patternFill>
              </fill>
            </x14:dxf>
          </x14:cfRule>
          <xm:sqref>D275</xm:sqref>
        </x14:conditionalFormatting>
        <x14:conditionalFormatting xmlns:xm="http://schemas.microsoft.com/office/excel/2006/main">
          <x14:cfRule type="containsText" priority="36" operator="containsText" id="{4D51BEA6-2F87-5A42-92E0-216754F83A07}">
            <xm:f>NOT(ISERROR(SEARCH("Value Missing",D529)))</xm:f>
            <xm:f>"Value Missing"</xm:f>
            <x14:dxf>
              <fill>
                <patternFill>
                  <bgColor rgb="FFFFBE29"/>
                </patternFill>
              </fill>
            </x14:dxf>
          </x14:cfRule>
          <xm:sqref>D529:D532</xm:sqref>
        </x14:conditionalFormatting>
        <x14:conditionalFormatting xmlns:xm="http://schemas.microsoft.com/office/excel/2006/main">
          <x14:cfRule type="containsText" priority="38" operator="containsText" id="{B99F52C8-C476-DB49-B76D-553C139C0585}">
            <xm:f>NOT(ISERROR(SEARCH("Create VI Workload Domain or Deploy a new VCF fleet not selected on VCF &amp; VVF Planning Tab",E11)))</xm:f>
            <xm:f>"Create VI Workload Domain or Deploy a new VCF fleet not selected on VCF &amp; VVF Planning Tab"</xm:f>
            <x14:dxf>
              <font>
                <color theme="1"/>
              </font>
              <fill>
                <patternFill>
                  <bgColor rgb="FFFFBE29"/>
                </patternFill>
              </fill>
            </x14:dxf>
          </x14:cfRule>
          <xm:sqref>E11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3a237d-4129-4a2a-8fb3-b20be8ca4bd3" xsi:nil="true"/>
    <lcf76f155ced4ddcb4097134ff3c332f xmlns="7dc73e9a-a2c7-410e-a6a7-fe1b70e2a0b9">
      <Terms xmlns="http://schemas.microsoft.com/office/infopath/2007/PartnerControls"/>
    </lcf76f155ced4ddcb4097134ff3c332f>
    <SharedWithUsers xmlns="daa80f42-9ae5-4835-be60-e49709dd5722">
      <UserInfo>
        <DisplayName>Andy Beltz</DisplayName>
        <AccountId>525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2EF44E0227C24E85294C0D2197735E" ma:contentTypeVersion="16" ma:contentTypeDescription="Create a new document." ma:contentTypeScope="" ma:versionID="0762e96695b87e50645077735b0a3394">
  <xsd:schema xmlns:xsd="http://www.w3.org/2001/XMLSchema" xmlns:xs="http://www.w3.org/2001/XMLSchema" xmlns:p="http://schemas.microsoft.com/office/2006/metadata/properties" xmlns:ns2="7dc73e9a-a2c7-410e-a6a7-fe1b70e2a0b9" xmlns:ns3="daa80f42-9ae5-4835-be60-e49709dd5722" xmlns:ns4="eb3a237d-4129-4a2a-8fb3-b20be8ca4bd3" targetNamespace="http://schemas.microsoft.com/office/2006/metadata/properties" ma:root="true" ma:fieldsID="277ebc50a8058a9c036e40c5cb4292f8" ns2:_="" ns3:_="" ns4:_="">
    <xsd:import namespace="7dc73e9a-a2c7-410e-a6a7-fe1b70e2a0b9"/>
    <xsd:import namespace="daa80f42-9ae5-4835-be60-e49709dd5722"/>
    <xsd:import namespace="eb3a237d-4129-4a2a-8fb3-b20be8ca4bd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4:TaxCatchAll"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73e9a-a2c7-410e-a6a7-fe1b70e2a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5e2881d-93c9-4b6d-a08c-48bb4ed1ec6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a80f42-9ae5-4835-be60-e49709dd57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3a237d-4129-4a2a-8fb3-b20be8ca4bd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f06e5e-f23f-4c2a-8b0f-6461e8fdd81c}" ma:internalName="TaxCatchAll" ma:showField="CatchAllData" ma:web="daa80f42-9ae5-4835-be60-e49709dd57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38FDAF-6C1D-43F6-B941-6E104C721C9F}">
  <ds:schemaRefs>
    <ds:schemaRef ds:uri="eb3a237d-4129-4a2a-8fb3-b20be8ca4bd3"/>
    <ds:schemaRef ds:uri="daa80f42-9ae5-4835-be60-e49709dd5722"/>
    <ds:schemaRef ds:uri="http://www.w3.org/XML/1998/namespace"/>
    <ds:schemaRef ds:uri="http://schemas.microsoft.com/office/2006/metadata/properties"/>
    <ds:schemaRef ds:uri="http://schemas.microsoft.com/office/2006/documentManagement/types"/>
    <ds:schemaRef ds:uri="http://purl.org/dc/elements/1.1/"/>
    <ds:schemaRef ds:uri="http://purl.org/dc/terms/"/>
    <ds:schemaRef ds:uri="7dc73e9a-a2c7-410e-a6a7-fe1b70e2a0b9"/>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68027453-C8FB-4CB4-AFBB-858BEA4663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c73e9a-a2c7-410e-a6a7-fe1b70e2a0b9"/>
    <ds:schemaRef ds:uri="daa80f42-9ae5-4835-be60-e49709dd5722"/>
    <ds:schemaRef ds:uri="eb3a237d-4129-4a2a-8fb3-b20be8ca4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A35F94-42D7-4DE9-8B50-E0DB83B46D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27</vt:i4>
      </vt:variant>
      <vt:variant>
        <vt:lpstr>Named Ranges</vt:lpstr>
      </vt:variant>
      <vt:variant>
        <vt:i4>8408</vt:i4>
      </vt:variant>
    </vt:vector>
  </HeadingPairs>
  <TitlesOfParts>
    <vt:vector size="8435" baseType="lpstr">
      <vt:lpstr>Prerequisite Checklist</vt:lpstr>
      <vt:lpstr>VCF &amp; VVF Planning</vt:lpstr>
      <vt:lpstr>Management Domain Sizing</vt:lpstr>
      <vt:lpstr>Static Reference Tables</vt:lpstr>
      <vt:lpstr>Deploy Management Domain</vt:lpstr>
      <vt:lpstr>Configure Management Domain</vt:lpstr>
      <vt:lpstr>Deploy Fleet Management Day-N</vt:lpstr>
      <vt:lpstr>Deploy Workload Domain</vt:lpstr>
      <vt:lpstr>Configure Workload Domain</vt:lpstr>
      <vt:lpstr>Deploy Cluster</vt:lpstr>
      <vt:lpstr>Change Control</vt:lpstr>
      <vt:lpstr>Arkham</vt:lpstr>
      <vt:lpstr>Value Reference Tables - MR</vt:lpstr>
      <vt:lpstr>Value Reference Tables</vt:lpstr>
      <vt:lpstr>Dumping Ground</vt:lpstr>
      <vt:lpstr>Additional Racks</vt:lpstr>
      <vt:lpstr>Site Protection &amp; DR</vt:lpstr>
      <vt:lpstr>Cyber Recovery</vt:lpstr>
      <vt:lpstr>On-Premises Ransomware Recovery</vt:lpstr>
      <vt:lpstr>Management Domain As Built</vt:lpstr>
      <vt:lpstr>Workload Domain As Built</vt:lpstr>
      <vt:lpstr>Public Reference Sheet</vt:lpstr>
      <vt:lpstr>Version History</vt:lpstr>
      <vt:lpstr>Private AI Ready Infrastructure</vt:lpstr>
      <vt:lpstr>Cloud-Based Ransomware Recovery</vt:lpstr>
      <vt:lpstr>Cross Cloud Mobility</vt:lpstr>
      <vt:lpstr>Active Directory Inputs</vt:lpstr>
      <vt:lpstr>Additional_Instance</vt:lpstr>
      <vt:lpstr>administrator_vsphere_local_password</vt:lpstr>
      <vt:lpstr>air_GPU_network_operator_namespace</vt:lpstr>
      <vt:lpstr>air_GPU_operator_namespace</vt:lpstr>
      <vt:lpstr>air_GPU_VM_class</vt:lpstr>
      <vt:lpstr>air_license</vt:lpstr>
      <vt:lpstr>asn_instance</vt:lpstr>
      <vt:lpstr>asn_mgmt_az1</vt:lpstr>
      <vt:lpstr>asn_mgmt_az2</vt:lpstr>
      <vt:lpstr>asn_start</vt:lpstr>
      <vt:lpstr>asn_wld_az1</vt:lpstr>
      <vt:lpstr>asn_wld_az2</vt:lpstr>
      <vt:lpstr>avilb_root_password</vt:lpstr>
      <vt:lpstr>aws_regions</vt:lpstr>
      <vt:lpstr>ca_administrator_password</vt:lpstr>
      <vt:lpstr>ca_administrator_username</vt:lpstr>
      <vt:lpstr>ca_algorithm</vt:lpstr>
      <vt:lpstr>ca_country</vt:lpstr>
      <vt:lpstr>ca_email_address</vt:lpstr>
      <vt:lpstr>ca_key_size</vt:lpstr>
      <vt:lpstr>ca_locality</vt:lpstr>
      <vt:lpstr>ca_organization</vt:lpstr>
      <vt:lpstr>ca_organization_unit</vt:lpstr>
      <vt:lpstr>ca_state</vt:lpstr>
      <vt:lpstr>ca_template_name</vt:lpstr>
      <vt:lpstr>calculated_mgmt_host_count</vt:lpstr>
      <vt:lpstr>cbr_aria_logs_key</vt:lpstr>
      <vt:lpstr>cbr_aria_logs_url</vt:lpstr>
      <vt:lpstr>cbr_firewall_rule_vcenter</vt:lpstr>
      <vt:lpstr>cbr_recovery_host_count</vt:lpstr>
      <vt:lpstr>cbr_recovery_host_type</vt:lpstr>
      <vt:lpstr>cbr_recovery_management_subnet</vt:lpstr>
      <vt:lpstr>cbr_recovery_region</vt:lpstr>
      <vt:lpstr>cbr_recovery_sddc_name</vt:lpstr>
      <vt:lpstr>cbr_recovery_subnet</vt:lpstr>
      <vt:lpstr>cbr_recovery_vpc</vt:lpstr>
      <vt:lpstr>cbr_vcdr_anti_affinity</vt:lpstr>
      <vt:lpstr>cbr_vcdr_cdp1_hostname</vt:lpstr>
      <vt:lpstr>cbr_vcdr_cdp1_ip</vt:lpstr>
      <vt:lpstr>cbr_vcdr_cdp2_hostname</vt:lpstr>
      <vt:lpstr>cbr_vcdr_cdp2_ip</vt:lpstr>
      <vt:lpstr>cbr_vcdr_email_recipient</vt:lpstr>
      <vt:lpstr>cbr_vcdr_email_sender</vt:lpstr>
      <vt:lpstr>cbr_vcdr_label</vt:lpstr>
      <vt:lpstr>cbr_vcdr_orchestrator_fqdn</vt:lpstr>
      <vt:lpstr>cbr_vcdr_ova</vt:lpstr>
      <vt:lpstr>cbr_vcdr_passcode</vt:lpstr>
      <vt:lpstr>cbr_vcdr_site_name</vt:lpstr>
      <vt:lpstr>cbr_vcdr_timezone</vt:lpstr>
      <vt:lpstr>cbr_vcdr_vsphere_role</vt:lpstr>
      <vt:lpstr>cbr_vm_folder</vt:lpstr>
      <vt:lpstr>ccm_aws_admin_password</vt:lpstr>
      <vt:lpstr>ccm_aws_admin_ssouser</vt:lpstr>
      <vt:lpstr>ccm_aws_host_count</vt:lpstr>
      <vt:lpstr>ccm_aws_host_type</vt:lpstr>
      <vt:lpstr>ccm_aws_management_subnet</vt:lpstr>
      <vt:lpstr>ccm_aws_region</vt:lpstr>
      <vt:lpstr>ccm_aws_sddc_name</vt:lpstr>
      <vt:lpstr>ccm_aws_subnet</vt:lpstr>
      <vt:lpstr>ccm_aws_vpc</vt:lpstr>
      <vt:lpstr>ccm_firewall_group</vt:lpstr>
      <vt:lpstr>ccm_firewall_ip_addresses</vt:lpstr>
      <vt:lpstr>ccm_firewall_rule_hcx</vt:lpstr>
      <vt:lpstr>ccm_firewall_rule_vcenter</vt:lpstr>
      <vt:lpstr>ccm_hcx_admin_password</vt:lpstr>
      <vt:lpstr>ccm_hcx_cdp_hostname</vt:lpstr>
      <vt:lpstr>ccm_hcx_cdp_ip</vt:lpstr>
      <vt:lpstr>ccm_hcx_compute_profile</vt:lpstr>
      <vt:lpstr>ccm_hcx_dc_location</vt:lpstr>
      <vt:lpstr>ccm_hcx_license</vt:lpstr>
      <vt:lpstr>ccm_hcx_mgmt_network_ip_range</vt:lpstr>
      <vt:lpstr>ccm_hcx_nsx_svc_password</vt:lpstr>
      <vt:lpstr>ccm_hcx_nsx_svc_user</vt:lpstr>
      <vt:lpstr>ccm_hcx_remote_url</vt:lpstr>
      <vt:lpstr>ccm_hcx_resource_pool</vt:lpstr>
      <vt:lpstr>ccm_hcx_root_password</vt:lpstr>
      <vt:lpstr>ccm_hcx_service_mesh</vt:lpstr>
      <vt:lpstr>ccm_hcx_vm_folder</vt:lpstr>
      <vt:lpstr>ccm_hcx_vmotion_network_ip_range</vt:lpstr>
      <vt:lpstr>ccm_hcx_vsphere_role</vt:lpstr>
      <vt:lpstr>ccm_hcx_vsphere_svc_password</vt:lpstr>
      <vt:lpstr>ccm_hcx_vsphere_svc_user</vt:lpstr>
      <vt:lpstr>ccm_vm_folder</vt:lpstr>
      <vt:lpstr>certificate_authority_fqdn</vt:lpstr>
      <vt:lpstr>certificate_authority_model</vt:lpstr>
      <vt:lpstr>certificate_authority_name</vt:lpstr>
      <vt:lpstr>change_control_new</vt:lpstr>
      <vt:lpstr>change_control_old</vt:lpstr>
      <vt:lpstr>child_ad_groups_ou</vt:lpstr>
      <vt:lpstr>child_ad_users_ou</vt:lpstr>
      <vt:lpstr>child_dns_zone</vt:lpstr>
      <vt:lpstr>child_svc_nsx_ad_password</vt:lpstr>
      <vt:lpstr>child_svc_nsx_ad_user</vt:lpstr>
      <vt:lpstr>child_svc_vsphere_ad_password</vt:lpstr>
      <vt:lpstr>child_svc_vsphere_ad_user</vt:lpstr>
      <vt:lpstr>cluster_az1_host_fqdns</vt:lpstr>
      <vt:lpstr>cluster_az1_host_mgmt_ips</vt:lpstr>
      <vt:lpstr>cluster_az1_host_overlay_cidr</vt:lpstr>
      <vt:lpstr>cluster_az1_host_overlay_gateway_ip</vt:lpstr>
      <vt:lpstr>cluster_az1_host_overlay_network_pool_description</vt:lpstr>
      <vt:lpstr>cluster_az1_host_overlay_network_pool_name</vt:lpstr>
      <vt:lpstr>cluster_az1_host_overlay_network_profile_name</vt:lpstr>
      <vt:lpstr>cluster_az1_host_overlay_new_pool_chosen</vt:lpstr>
      <vt:lpstr>cluster_az1_host_overlay_pool_end_ip</vt:lpstr>
      <vt:lpstr>cluster_az1_host_overlay_pool_start_ip</vt:lpstr>
      <vt:lpstr>cluster_az1_host_overlay_transport_zone</vt:lpstr>
      <vt:lpstr>cluster_az1_host_overlay_uplink_profile_name</vt:lpstr>
      <vt:lpstr>cluster_az1_host_overlay_vlan</vt:lpstr>
      <vt:lpstr>cluster_az1_host1_fqdn</vt:lpstr>
      <vt:lpstr>cluster_az1_host1_mgmt_ip</vt:lpstr>
      <vt:lpstr>cluster_az1_host10_fqdn</vt:lpstr>
      <vt:lpstr>cluster_az1_host10_mgmt_ip</vt:lpstr>
      <vt:lpstr>cluster_az1_host11_fqdn</vt:lpstr>
      <vt:lpstr>cluster_az1_host11_mgmt_ip</vt:lpstr>
      <vt:lpstr>cluster_az1_host12_fqdn</vt:lpstr>
      <vt:lpstr>cluster_az1_host12_mgmt_ip</vt:lpstr>
      <vt:lpstr>cluster_az1_host13_fqdn</vt:lpstr>
      <vt:lpstr>cluster_az1_host13_mgmt_ip</vt:lpstr>
      <vt:lpstr>cluster_az1_host14_fqdn</vt:lpstr>
      <vt:lpstr>cluster_az1_host14_mgmt_ip</vt:lpstr>
      <vt:lpstr>cluster_az1_host15_fqdn</vt:lpstr>
      <vt:lpstr>cluster_az1_host15_mgmt_ip</vt:lpstr>
      <vt:lpstr>cluster_az1_host16_fqdn</vt:lpstr>
      <vt:lpstr>cluster_az1_host16_mgmt_ip</vt:lpstr>
      <vt:lpstr>cluster_az1_host2_fqdn</vt:lpstr>
      <vt:lpstr>cluster_az1_host2_mgmt_ip</vt:lpstr>
      <vt:lpstr>cluster_az1_host3_fqdn</vt:lpstr>
      <vt:lpstr>cluster_az1_host3_mgmt_ip</vt:lpstr>
      <vt:lpstr>cluster_az1_host4_fqdn</vt:lpstr>
      <vt:lpstr>cluster_az1_host4_mgmt_ip</vt:lpstr>
      <vt:lpstr>cluster_az1_host5_fqdn</vt:lpstr>
      <vt:lpstr>cluster_az1_host5_mgmt_ip</vt:lpstr>
      <vt:lpstr>cluster_az1_host6_fqdn</vt:lpstr>
      <vt:lpstr>cluster_az1_host6_mgmt_ip</vt:lpstr>
      <vt:lpstr>cluster_az1_host7_fqdn</vt:lpstr>
      <vt:lpstr>cluster_az1_host7_mgmt_ip</vt:lpstr>
      <vt:lpstr>cluster_az1_host8_fqdn</vt:lpstr>
      <vt:lpstr>cluster_az1_host8_mgmt_ip</vt:lpstr>
      <vt:lpstr>cluster_az1_host9_fqdn</vt:lpstr>
      <vt:lpstr>cluster_az1_host9_mgmt_ip</vt:lpstr>
      <vt:lpstr>cluster_az1_mgmt_cidr</vt:lpstr>
      <vt:lpstr>cluster_az1_mgmt_gateway_ip</vt:lpstr>
      <vt:lpstr>cluster_az1_mgmt_lbt_chosen</vt:lpstr>
      <vt:lpstr>cluster_az1_mgmt_mtu</vt:lpstr>
      <vt:lpstr>cluster_az1_mgmt_pg</vt:lpstr>
      <vt:lpstr>cluster_az1_mgmt_uplink1_chosen</vt:lpstr>
      <vt:lpstr>cluster_az1_mgmt_uplink2_chosen</vt:lpstr>
      <vt:lpstr>cluster_az1_mgmt_vlan</vt:lpstr>
      <vt:lpstr>cluster_az1_mgmt_vm_lbt_chosen</vt:lpstr>
      <vt:lpstr>cluster_az1_mgmt_vm_pg</vt:lpstr>
      <vt:lpstr>cluster_az1_mgmt_vm_uplink1_chosen</vt:lpstr>
      <vt:lpstr>cluster_az1_mgmt_vm_uplink2_chosen</vt:lpstr>
      <vt:lpstr>cluster_az1_nsx_lbt_chosen</vt:lpstr>
      <vt:lpstr>cluster_az1_nsx_uplink_count</vt:lpstr>
      <vt:lpstr>cluster_az1_nsx_uplink1</vt:lpstr>
      <vt:lpstr>cluster_az1_nsx_uplink1_active</vt:lpstr>
      <vt:lpstr>cluster_az1_nsx_uplink2</vt:lpstr>
      <vt:lpstr>cluster_az1_nsx_uplink2_active</vt:lpstr>
      <vt:lpstr>cluster_az1_pool_name</vt:lpstr>
      <vt:lpstr>cluster_az1_principal_storage_cidr</vt:lpstr>
      <vt:lpstr>cluster_az1_principal_storage_gateway_cidr</vt:lpstr>
      <vt:lpstr>cluster_az1_principal_storage_gateway_ip</vt:lpstr>
      <vt:lpstr>cluster_az1_principal_storage_ip_assignment_chosen</vt:lpstr>
      <vt:lpstr>cluster_az1_principal_storage_ip_scheme_chosen</vt:lpstr>
      <vt:lpstr>cluster_az1_principal_storage_lbt_chosen</vt:lpstr>
      <vt:lpstr>cluster_az1_principal_storage_mask</vt:lpstr>
      <vt:lpstr>cluster_az1_principal_storage_mtu</vt:lpstr>
      <vt:lpstr>cluster_az1_principal_storage_network</vt:lpstr>
      <vt:lpstr>cluster_az1_principal_storage_pg</vt:lpstr>
      <vt:lpstr>cluster_az1_principal_storage_pool_end_ip</vt:lpstr>
      <vt:lpstr>cluster_az1_principal_storage_pool_start_ip</vt:lpstr>
      <vt:lpstr>cluster_az1_principal_storage_uplink1_chosen</vt:lpstr>
      <vt:lpstr>cluster_az1_principal_storage_uplink2_chosen</vt:lpstr>
      <vt:lpstr>cluster_az1_principal_storage_vlan</vt:lpstr>
      <vt:lpstr>cluster_az1_reuse_vcf_networkpool_chosen</vt:lpstr>
      <vt:lpstr>cluster_az1_reuse_vcf_networkpool_result</vt:lpstr>
      <vt:lpstr>cluster_az1_secondary_storage_cidr</vt:lpstr>
      <vt:lpstr>cluster_az1_secondary_storage_gateway_cidr</vt:lpstr>
      <vt:lpstr>cluster_az1_secondary_storage_gateway_ip</vt:lpstr>
      <vt:lpstr>cluster_az1_secondary_storage_ip_assignment_chosen</vt:lpstr>
      <vt:lpstr>cluster_az1_secondary_storage_ip_scheme_chosen</vt:lpstr>
      <vt:lpstr>cluster_az1_secondary_storage_mask</vt:lpstr>
      <vt:lpstr>cluster_az1_secondary_storage_mtu</vt:lpstr>
      <vt:lpstr>cluster_az1_secondary_storage_network</vt:lpstr>
      <vt:lpstr>cluster_az1_secondary_storage_pool_end_ip</vt:lpstr>
      <vt:lpstr>cluster_az1_secondary_storage_pool_start_ip</vt:lpstr>
      <vt:lpstr>cluster_az1_secondary_storage_vlan</vt:lpstr>
      <vt:lpstr>cluster_az1_storage_cluster_cidr</vt:lpstr>
      <vt:lpstr>cluster_az1_storage_cluster_gateway_cidr</vt:lpstr>
      <vt:lpstr>cluster_az1_storage_cluster_gateway_ip</vt:lpstr>
      <vt:lpstr>cluster_az1_storage_cluster_ip_assignment_chosen</vt:lpstr>
      <vt:lpstr>cluster_az1_storage_cluster_ip_scheme_chosen</vt:lpstr>
      <vt:lpstr>cluster_az1_storage_cluster_mask</vt:lpstr>
      <vt:lpstr>cluster_az1_storage_cluster_mtu</vt:lpstr>
      <vt:lpstr>cluster_az1_storage_cluster_network</vt:lpstr>
      <vt:lpstr>cluster_az1_storage_cluster_pool_end_ip</vt:lpstr>
      <vt:lpstr>cluster_az1_storage_cluster_pool_start_ip</vt:lpstr>
      <vt:lpstr>cluster_az1_storage_cluster_vlan</vt:lpstr>
      <vt:lpstr>cluster_az1_vmotion_cidr</vt:lpstr>
      <vt:lpstr>cluster_az1_vmotion_gateway_cidr</vt:lpstr>
      <vt:lpstr>cluster_az1_vmotion_gateway_ip</vt:lpstr>
      <vt:lpstr>cluster_az1_vmotion_ip_assignment_chosen</vt:lpstr>
      <vt:lpstr>cluster_az1_vmotion_ip_scheme_chosen</vt:lpstr>
      <vt:lpstr>cluster_az1_vmotion_lbt_chosen</vt:lpstr>
      <vt:lpstr>cluster_az1_vmotion_mask</vt:lpstr>
      <vt:lpstr>cluster_az1_vmotion_mtu</vt:lpstr>
      <vt:lpstr>cluster_az1_vmotion_network</vt:lpstr>
      <vt:lpstr>cluster_az1_vmotion_pg</vt:lpstr>
      <vt:lpstr>cluster_az1_vmotion_pool_end_ip</vt:lpstr>
      <vt:lpstr>cluster_az1_vmotion_pool_start_ip</vt:lpstr>
      <vt:lpstr>cluster_az1_vmotion_uplink1_chosen</vt:lpstr>
      <vt:lpstr>cluster_az1_vmotion_uplink2_chosen</vt:lpstr>
      <vt:lpstr>cluster_az1_vmotion_vlan</vt:lpstr>
      <vt:lpstr>cluster_az1_vsan_storage_client_lbt_chosen</vt:lpstr>
      <vt:lpstr>cluster_az1_vsan_storage_client_pg</vt:lpstr>
      <vt:lpstr>cluster_az1_vsan_storage_client_uplink1</vt:lpstr>
      <vt:lpstr>cluster_az1_vsan_storage_client_uplink2</vt:lpstr>
      <vt:lpstr>cluster_az2_host_fqdns</vt:lpstr>
      <vt:lpstr>cluster_az2_host_mgmt_ips</vt:lpstr>
      <vt:lpstr>cluster_az2_host_overlay_cidr</vt:lpstr>
      <vt:lpstr>cluster_az2_host_overlay_gateway_ip</vt:lpstr>
      <vt:lpstr>cluster_az2_host_overlay_network_pool_name</vt:lpstr>
      <vt:lpstr>cluster_az2_host_overlay_network_profile_name</vt:lpstr>
      <vt:lpstr>cluster_az2_host_overlay_new_pool_chosen</vt:lpstr>
      <vt:lpstr>cluster_az2_host_overlay_pool_end_ip</vt:lpstr>
      <vt:lpstr>cluster_az2_host_overlay_pool_start_ip</vt:lpstr>
      <vt:lpstr>cluster_az2_host_overlay_uplink_profile_name</vt:lpstr>
      <vt:lpstr>cluster_az2_host_overlay_vlan</vt:lpstr>
      <vt:lpstr>cluster_az2_host1_fqdn</vt:lpstr>
      <vt:lpstr>cluster_az2_host1_mgmt_ip</vt:lpstr>
      <vt:lpstr>cluster_az2_host10_fqdn</vt:lpstr>
      <vt:lpstr>cluster_az2_host10_mgmt_ip</vt:lpstr>
      <vt:lpstr>cluster_az2_host11_fqdn</vt:lpstr>
      <vt:lpstr>cluster_az2_host11_mgmt_ip</vt:lpstr>
      <vt:lpstr>cluster_az2_host12_fqdn</vt:lpstr>
      <vt:lpstr>cluster_az2_host12_mgmt_ip</vt:lpstr>
      <vt:lpstr>cluster_az2_host13_fqdn</vt:lpstr>
      <vt:lpstr>cluster_az2_host13_mgmt_ip</vt:lpstr>
      <vt:lpstr>cluster_az2_host14_fqdn</vt:lpstr>
      <vt:lpstr>cluster_az2_host14_mgmt_ip</vt:lpstr>
      <vt:lpstr>cluster_az2_host15_fqdn</vt:lpstr>
      <vt:lpstr>cluster_az2_host15_mgmt_ip</vt:lpstr>
      <vt:lpstr>cluster_az2_host16_fqdn</vt:lpstr>
      <vt:lpstr>cluster_az2_host16_mgmt_ip</vt:lpstr>
      <vt:lpstr>cluster_az2_host2_fqdn</vt:lpstr>
      <vt:lpstr>cluster_az2_host2_mgmt_ip</vt:lpstr>
      <vt:lpstr>cluster_az2_host3_fqdn</vt:lpstr>
      <vt:lpstr>cluster_az2_host3_mgmt_ip</vt:lpstr>
      <vt:lpstr>cluster_az2_host4_fqdn</vt:lpstr>
      <vt:lpstr>cluster_az2_host4_mgmt_ip</vt:lpstr>
      <vt:lpstr>cluster_az2_host5_fqdn</vt:lpstr>
      <vt:lpstr>cluster_az2_host5_mgmt_ip</vt:lpstr>
      <vt:lpstr>cluster_az2_host6_fqdn</vt:lpstr>
      <vt:lpstr>cluster_az2_host6_mgmt_ip</vt:lpstr>
      <vt:lpstr>cluster_az2_host7_fqdn</vt:lpstr>
      <vt:lpstr>cluster_az2_host7_mgmt_ip</vt:lpstr>
      <vt:lpstr>cluster_az2_host8_fqdn</vt:lpstr>
      <vt:lpstr>cluster_az2_host8_mgmt_ip</vt:lpstr>
      <vt:lpstr>cluster_az2_host9_fqdn</vt:lpstr>
      <vt:lpstr>cluster_az2_host9_mgmt_ip</vt:lpstr>
      <vt:lpstr>cluster_az2_mgmt_cidr</vt:lpstr>
      <vt:lpstr>cluster_az2_mgmt_gateway_ip</vt:lpstr>
      <vt:lpstr>cluster_az2_mgmt_mtu</vt:lpstr>
      <vt:lpstr>cluster_az2_mgmt_vlan</vt:lpstr>
      <vt:lpstr>cluster_az2_pool_name</vt:lpstr>
      <vt:lpstr>cluster_az2_principal_storage_cidr</vt:lpstr>
      <vt:lpstr>cluster_az2_principal_storage_gateway_ip</vt:lpstr>
      <vt:lpstr>cluster_az2_principal_storage_mask</vt:lpstr>
      <vt:lpstr>cluster_az2_principal_storage_mtu</vt:lpstr>
      <vt:lpstr>cluster_az2_principal_storage_network</vt:lpstr>
      <vt:lpstr>cluster_az2_principal_storage_pool_end_ip</vt:lpstr>
      <vt:lpstr>cluster_az2_principal_storage_pool_start_ip</vt:lpstr>
      <vt:lpstr>cluster_az2_principal_storage_vlan</vt:lpstr>
      <vt:lpstr>cluster_az2_reuse_vcf_networkpool_chosen</vt:lpstr>
      <vt:lpstr>cluster_az2_secondary_storage_gateway_ip</vt:lpstr>
      <vt:lpstr>cluster_az2_secondary_storage_mask</vt:lpstr>
      <vt:lpstr>cluster_az2_secondary_storage_mtu</vt:lpstr>
      <vt:lpstr>cluster_az2_secondary_storage_network</vt:lpstr>
      <vt:lpstr>cluster_az2_secondary_storage_pool_end_ip</vt:lpstr>
      <vt:lpstr>cluster_az2_secondary_storage_pool_start_ip</vt:lpstr>
      <vt:lpstr>cluster_az2_secondary_storage_vlan</vt:lpstr>
      <vt:lpstr>cluster_az2_storage_cluster_cidr</vt:lpstr>
      <vt:lpstr>cluster_az2_storage_cluster_gateway_ip</vt:lpstr>
      <vt:lpstr>cluster_az2_storage_cluster_mask</vt:lpstr>
      <vt:lpstr>cluster_az2_storage_cluster_mtu</vt:lpstr>
      <vt:lpstr>cluster_az2_storage_cluster_network</vt:lpstr>
      <vt:lpstr>cluster_az2_storage_cluster_pool_end_ip</vt:lpstr>
      <vt:lpstr>cluster_az2_storage_cluster_pool_start_ip</vt:lpstr>
      <vt:lpstr>cluster_az2_storage_cluster_vlan</vt:lpstr>
      <vt:lpstr>cluster_az2_tor1_peer_asn</vt:lpstr>
      <vt:lpstr>cluster_az2_tor1_peer_ip</vt:lpstr>
      <vt:lpstr>cluster_az2_tor2_peer_asn</vt:lpstr>
      <vt:lpstr>cluster_az2_tor2_peer_ip</vt:lpstr>
      <vt:lpstr>cluster_az2_vmotion_cidr</vt:lpstr>
      <vt:lpstr>cluster_az2_vmotion_gateway_ip</vt:lpstr>
      <vt:lpstr>cluster_az2_vmotion_mask</vt:lpstr>
      <vt:lpstr>cluster_az2_vmotion_mtu</vt:lpstr>
      <vt:lpstr>cluster_az2_vmotion_network</vt:lpstr>
      <vt:lpstr>cluster_az2_vmotion_pool_end_ip</vt:lpstr>
      <vt:lpstr>cluster_az2_vmotion_pool_start_ip</vt:lpstr>
      <vt:lpstr>cluster_az2_vmotion_vlan</vt:lpstr>
      <vt:lpstr>cluster_chosen</vt:lpstr>
      <vt:lpstr>cluster_cl01_vds_copy_profile_chosen</vt:lpstr>
      <vt:lpstr>cluster_cluster_sddc_id</vt:lpstr>
      <vt:lpstr>cluster_compute_hosts_per_rack_chosen</vt:lpstr>
      <vt:lpstr>cluster_compute_hosts_per_rack_result</vt:lpstr>
      <vt:lpstr>cluster_datacenter</vt:lpstr>
      <vt:lpstr>cluster_domain_name</vt:lpstr>
      <vt:lpstr>cluster_esx_root_password</vt:lpstr>
      <vt:lpstr>cluster_esx_root_username</vt:lpstr>
      <vt:lpstr>cluster_host_overlay_addressing_chosen</vt:lpstr>
      <vt:lpstr>cluster_host_overlay_transportzone</vt:lpstr>
      <vt:lpstr>cluster_image_name</vt:lpstr>
      <vt:lpstr>cluster_multi_rack_count_chosen</vt:lpstr>
      <vt:lpstr>cluster_multi_rack_count_result</vt:lpstr>
      <vt:lpstr>cluster_name</vt:lpstr>
      <vt:lpstr>cluster_nfs_datastore_name</vt:lpstr>
      <vt:lpstr>cluster_nfs_server_address</vt:lpstr>
      <vt:lpstr>cluster_nfs_share_path</vt:lpstr>
      <vt:lpstr>cluster_nsx_default_operation_mode_chosen</vt:lpstr>
      <vt:lpstr>cluster_nsx_operation_mode_chosen</vt:lpstr>
      <vt:lpstr>cluster_nsx_overlay_transport_zone_chosen</vt:lpstr>
      <vt:lpstr>cluster_nsx_vlan_transport_zone_chosen</vt:lpstr>
      <vt:lpstr>cluster_nsx_vlan_transport_zone_name</vt:lpstr>
      <vt:lpstr>cluster_nsxt_vip_fqdn</vt:lpstr>
      <vt:lpstr>cluster_principal_storage_chosen</vt:lpstr>
      <vt:lpstr>cluster_principal_storage_result</vt:lpstr>
      <vt:lpstr>cluster_result</vt:lpstr>
      <vt:lpstr>cluster_secondary_storage_chosen</vt:lpstr>
      <vt:lpstr>cluster_secondary_storage_result</vt:lpstr>
      <vt:lpstr>cluster_storage_cluster_name</vt:lpstr>
      <vt:lpstr>cluster_stretched_cluster_chosen</vt:lpstr>
      <vt:lpstr>cluster_stretched_cluster_result</vt:lpstr>
      <vt:lpstr>cluster_vc_fqdn</vt:lpstr>
      <vt:lpstr>cluster_vds_profile_chosen</vt:lpstr>
      <vt:lpstr>cluster_vds01_lacp_mode_chosen</vt:lpstr>
      <vt:lpstr>cluster_vds01_lacp_timeout_chosen</vt:lpstr>
      <vt:lpstr>cluster_vds01_lag_lbt_chosen</vt:lpstr>
      <vt:lpstr>cluster_vds01_lag_name</vt:lpstr>
      <vt:lpstr>cluster_vds01_link_type_chosen</vt:lpstr>
      <vt:lpstr>cluster_vds01_mtu</vt:lpstr>
      <vt:lpstr>cluster_vds01_name</vt:lpstr>
      <vt:lpstr>cluster_vds01_pnics</vt:lpstr>
      <vt:lpstr>cluster_vds01_traffic_type</vt:lpstr>
      <vt:lpstr>cluster_vds01_uplink_count</vt:lpstr>
      <vt:lpstr>cluster_vds02_lacp_mode_chosen</vt:lpstr>
      <vt:lpstr>cluster_vds02_lacp_timeout_chosen</vt:lpstr>
      <vt:lpstr>cluster_vds02_lag_lbt_chosen</vt:lpstr>
      <vt:lpstr>cluster_vds02_lag_name</vt:lpstr>
      <vt:lpstr>cluster_vds02_link_type_chosen</vt:lpstr>
      <vt:lpstr>cluster_vds02_mtu</vt:lpstr>
      <vt:lpstr>cluster_vds02_name</vt:lpstr>
      <vt:lpstr>cluster_vds02_pnics</vt:lpstr>
      <vt:lpstr>cluster_vds02_traffic_type</vt:lpstr>
      <vt:lpstr>cluster_vds02_uplink_count</vt:lpstr>
      <vt:lpstr>cluster_vds03_lacp_mode_chosen</vt:lpstr>
      <vt:lpstr>cluster_vds03_lacp_timeout_chosen</vt:lpstr>
      <vt:lpstr>cluster_vds03_lag_lbt_chosen</vt:lpstr>
      <vt:lpstr>cluster_vds03_lag_name</vt:lpstr>
      <vt:lpstr>cluster_vds03_link_type_chosen</vt:lpstr>
      <vt:lpstr>cluster_vds03_mtu</vt:lpstr>
      <vt:lpstr>cluster_vds03_name</vt:lpstr>
      <vt:lpstr>cluster_vds03_pnics</vt:lpstr>
      <vt:lpstr>cluster_vds03_traffic_type</vt:lpstr>
      <vt:lpstr>cluster_vds03_uplink_count</vt:lpstr>
      <vt:lpstr>cluster_vmfs_datastore_name</vt:lpstr>
      <vt:lpstr>cluster_vsan_client_network</vt:lpstr>
      <vt:lpstr>cluster_vsan_compute_fault_domain_mapping_chosen</vt:lpstr>
      <vt:lpstr>cluster_vsan_compute_network_topology_chosen</vt:lpstr>
      <vt:lpstr>cluster_vsan_datastore</vt:lpstr>
      <vt:lpstr>cluster_vsan_dedupe_compression_chosen</vt:lpstr>
      <vt:lpstr>cluster_vsan_ftt_chosen</vt:lpstr>
      <vt:lpstr>cluster_vsan_type</vt:lpstr>
      <vt:lpstr>cluster_witness_cluster</vt:lpstr>
      <vt:lpstr>cluster_witness_dns1_ip</vt:lpstr>
      <vt:lpstr>cluster_witness_dns2_ip</vt:lpstr>
      <vt:lpstr>cluster_witness_fqdn</vt:lpstr>
      <vt:lpstr>cluster_witness_hostname</vt:lpstr>
      <vt:lpstr>cluster_witness_ip</vt:lpstr>
      <vt:lpstr>cluster_witness_mgmt_pg</vt:lpstr>
      <vt:lpstr>cluster_witness_ntp1_server</vt:lpstr>
      <vt:lpstr>cluster_witness_ntp2_server</vt:lpstr>
      <vt:lpstr>cluster_witness_vm_folder</vt:lpstr>
      <vt:lpstr>cluster_witness_vsan_datastore</vt:lpstr>
      <vt:lpstr>cluster_witness_zone_vc_fqdn</vt:lpstr>
      <vt:lpstr>cluster_witnessaz_mgmt_cidr</vt:lpstr>
      <vt:lpstr>cluster_witnessaz_mgmt_gateway_ip</vt:lpstr>
      <vt:lpstr>cluster_witnessaz_mgmt_mask</vt:lpstr>
      <vt:lpstr>cluster_witnessaz_mgmt_mtu</vt:lpstr>
      <vt:lpstr>cluster_witnessaz_mgmt_vlan</vt:lpstr>
      <vt:lpstr>cluster_wld_domain_chosen</vt:lpstr>
      <vt:lpstr>cr_clean_room</vt:lpstr>
      <vt:lpstr>cr_console_cloud</vt:lpstr>
      <vt:lpstr>cr_mgmt_protect_vc_domain</vt:lpstr>
      <vt:lpstr>cr_mgmt_protect_vc_fqdn</vt:lpstr>
      <vt:lpstr>cr_wld_pnr_fqdn</vt:lpstr>
      <vt:lpstr>cr_wld_pnr_ip</vt:lpstr>
      <vt:lpstr>cr_wld_protect_vc_replication_user</vt:lpstr>
      <vt:lpstr>cr_wld_vrms_pg</vt:lpstr>
      <vt:lpstr>deployment_type_vcf</vt:lpstr>
      <vt:lpstr>deployment_type_vvf</vt:lpstr>
      <vt:lpstr>domain_controller_hostname</vt:lpstr>
      <vt:lpstr>dri_dns_servers</vt:lpstr>
      <vt:lpstr>dri_ec_name</vt:lpstr>
      <vt:lpstr>dri_k8s_size_hint</vt:lpstr>
      <vt:lpstr>dri_load_balancer_ge</vt:lpstr>
      <vt:lpstr>dri_load_balancer_le</vt:lpstr>
      <vt:lpstr>dri_network_address_range_size</vt:lpstr>
      <vt:lpstr>dri_network_mode</vt:lpstr>
      <vt:lpstr>dri_nsxt_vip_fqdn</vt:lpstr>
      <vt:lpstr>dri_ntp_servers</vt:lpstr>
      <vt:lpstr>dri_overlay_transport_zone</vt:lpstr>
      <vt:lpstr>dri_sddc_domain</vt:lpstr>
      <vt:lpstr>dri_tier0_name</vt:lpstr>
      <vt:lpstr>dri_vcenter_cluster</vt:lpstr>
      <vt:lpstr>dri_vcenter_datacenter</vt:lpstr>
      <vt:lpstr>dri_vcenter_fqdn</vt:lpstr>
      <vt:lpstr>dri_vcenter_vds_name</vt:lpstr>
      <vt:lpstr>dri_vcenter_vsan_datastore</vt:lpstr>
      <vt:lpstr>esxi_root_password</vt:lpstr>
      <vt:lpstr>first_domain_mgmt_only_viable</vt:lpstr>
      <vt:lpstr>first_domain_mgmt_vi_viable</vt:lpstr>
      <vt:lpstr>First_Instance</vt:lpstr>
      <vt:lpstr>flt_auto_node_pool_end_ip</vt:lpstr>
      <vt:lpstr>flt_auto_node_pool_start_ip</vt:lpstr>
      <vt:lpstr>flt_auto_sr_fqdn</vt:lpstr>
      <vt:lpstr>flt_custom_management_cidr</vt:lpstr>
      <vt:lpstr>flt_custom_management_gateway_ip</vt:lpstr>
      <vt:lpstr>flt_custom_management_mask</vt:lpstr>
      <vt:lpstr>flt_custom_management_mtu</vt:lpstr>
      <vt:lpstr>flt_custom_management_network</vt:lpstr>
      <vt:lpstr>flt_custom_management_vlan</vt:lpstr>
      <vt:lpstr>flt_custom_network_chosen</vt:lpstr>
      <vt:lpstr>flt_custom_network_result</vt:lpstr>
      <vt:lpstr>flt_custom_network_vcf_ops_automation_chosen</vt:lpstr>
      <vt:lpstr>flt_custom_network_vcf_ops_automation_result</vt:lpstr>
      <vt:lpstr>flt_def_administrator_vsphere_local_password</vt:lpstr>
      <vt:lpstr>flt_def_administrator_vsphere_local_username</vt:lpstr>
      <vt:lpstr>flt_def_auto_admin_password</vt:lpstr>
      <vt:lpstr>flt_def_auto_cluster_cidr</vt:lpstr>
      <vt:lpstr>flt_def_auto_node_pool_end_ip</vt:lpstr>
      <vt:lpstr>flt_def_auto_node_pool_start_ip</vt:lpstr>
      <vt:lpstr>flt_def_auto_node_prefix</vt:lpstr>
      <vt:lpstr>flt_def_auto_size_chosen</vt:lpstr>
      <vt:lpstr>flt_def_auto_size_result</vt:lpstr>
      <vt:lpstr>flt_def_auto_sr_fqdn</vt:lpstr>
      <vt:lpstr>flt_def_auto_sr_ip</vt:lpstr>
      <vt:lpstr>flt_def_ceip_status_chosen</vt:lpstr>
      <vt:lpstr>flt_def_sddc_mgr_fqdn</vt:lpstr>
      <vt:lpstr>flt_def_vcf_custom_network_chosen</vt:lpstr>
      <vt:lpstr>flt_def_vcf_custom_passwords_chosen</vt:lpstr>
      <vt:lpstr>flt_def_vcf_custom_size_chosen</vt:lpstr>
      <vt:lpstr>flt_def_vcf_operations_admin_password</vt:lpstr>
      <vt:lpstr>flt_def_vcf_operations_az1_vcf_mgmt_gateway_cidr</vt:lpstr>
      <vt:lpstr>flt_def_vcf_operations_az1_vcf_mgmt_pg</vt:lpstr>
      <vt:lpstr>flt_def_vcf_operations_custom_size_chosen</vt:lpstr>
      <vt:lpstr>flt_def_vcf_operations_ha_mode_chosen</vt:lpstr>
      <vt:lpstr>flt_def_vcf_operations_lc_fqdn</vt:lpstr>
      <vt:lpstr>flt_def_vcf_operations_lc_ip</vt:lpstr>
      <vt:lpstr>flt_def_vcf_operations_nodea_fqdn</vt:lpstr>
      <vt:lpstr>flt_def_vcf_operations_nodea_ip</vt:lpstr>
      <vt:lpstr>flt_def_vcf_operations_nodeb_fqdn</vt:lpstr>
      <vt:lpstr>flt_def_vcf_operations_nodeb_ip</vt:lpstr>
      <vt:lpstr>flt_def_vcf_operations_nodec_fqdn</vt:lpstr>
      <vt:lpstr>flt_def_vcf_operations_nodec_ip</vt:lpstr>
      <vt:lpstr>flt_def_vcf_operations_proxy_az1_vcf_mgmt_gateway_cidr</vt:lpstr>
      <vt:lpstr>flt_def_vcf_operations_proxy_az1_vcf_mgmt_pg</vt:lpstr>
      <vt:lpstr>flt_def_vcf_operations_proxy_custom_size_chosen</vt:lpstr>
      <vt:lpstr>flt_def_vcf_operations_proxy_fqdn</vt:lpstr>
      <vt:lpstr>flt_def_vcf_operations_proxy_ip</vt:lpstr>
      <vt:lpstr>flt_def_vcf_operations_proxy_root_password</vt:lpstr>
      <vt:lpstr>flt_def_vcf_operations_proxy_size_result</vt:lpstr>
      <vt:lpstr>flt_def_vcf_operations_root_password</vt:lpstr>
      <vt:lpstr>flt_def_vcf_operations_size_chosen</vt:lpstr>
      <vt:lpstr>flt_def_vcf_operations_size_result</vt:lpstr>
      <vt:lpstr>flt_def_vcf_operations_virtual_fqdn</vt:lpstr>
      <vt:lpstr>flt_def_vcf_operations_virtual_ip</vt:lpstr>
      <vt:lpstr>flt_def_vra_virtual_fqdn</vt:lpstr>
      <vt:lpstr>flt_def_vra_virtual_ip</vt:lpstr>
      <vt:lpstr>flt_fc_fqdn</vt:lpstr>
      <vt:lpstr>flt_fc_hostname</vt:lpstr>
      <vt:lpstr>flt_fc_ip</vt:lpstr>
      <vt:lpstr>flt_ic_fqdn</vt:lpstr>
      <vt:lpstr>flt_lc_fqdn</vt:lpstr>
      <vt:lpstr>flt_logs_admin_password</vt:lpstr>
      <vt:lpstr>flt_logs_admin_username</vt:lpstr>
      <vt:lpstr>flt_logs_cert_ip_addresses</vt:lpstr>
      <vt:lpstr>flt_logs_chosen</vt:lpstr>
      <vt:lpstr>flt_logs_install_type_chosen</vt:lpstr>
      <vt:lpstr>flt_logs_install_version</vt:lpstr>
      <vt:lpstr>flt_logs_node_size_chosen</vt:lpstr>
      <vt:lpstr>flt_logs_number_replicas_chosen</vt:lpstr>
      <vt:lpstr>flt_logs_result</vt:lpstr>
      <vt:lpstr>flt_logs_vip_fqdn</vt:lpstr>
      <vt:lpstr>flt_logs_vip_ip</vt:lpstr>
      <vt:lpstr>flt_net_admin_password</vt:lpstr>
      <vt:lpstr>flt_net_chosen</vt:lpstr>
      <vt:lpstr>flt_net_dual_stack_chosen</vt:lpstr>
      <vt:lpstr>flt_net_ha_mode_chosen</vt:lpstr>
      <vt:lpstr>flt_net_install_type_chosen</vt:lpstr>
      <vt:lpstr>flt_net_install_version</vt:lpstr>
      <vt:lpstr>flt_net_nodea_fqdn</vt:lpstr>
      <vt:lpstr>flt_net_nodea_hostname</vt:lpstr>
      <vt:lpstr>flt_net_nodea_ip</vt:lpstr>
      <vt:lpstr>flt_net_prxy_fqdn</vt:lpstr>
      <vt:lpstr>flt_net_prxy_hostname</vt:lpstr>
      <vt:lpstr>flt_net_prxy_ip</vt:lpstr>
      <vt:lpstr>flt_net_result</vt:lpstr>
      <vt:lpstr>flt_sr_fqdn</vt:lpstr>
      <vt:lpstr>flt_vcfms_node_pool_end_ip</vt:lpstr>
      <vt:lpstr>flt_vcfms_node_pool_start_ip</vt:lpstr>
      <vt:lpstr>flt_vidb_additional_vips</vt:lpstr>
      <vt:lpstr>flt_vidb_base_dn</vt:lpstr>
      <vt:lpstr>flt_vidb_bind_password</vt:lpstr>
      <vt:lpstr>flt_vidb_bind_username</vt:lpstr>
      <vt:lpstr>flt_vidb_chosen</vt:lpstr>
      <vt:lpstr>flt_vidb_directory_name</vt:lpstr>
      <vt:lpstr>flt_vidb_directory_search_chosen</vt:lpstr>
      <vt:lpstr>flt_vidb_distinguished_name</vt:lpstr>
      <vt:lpstr>flt_vidb_employeeID</vt:lpstr>
      <vt:lpstr>flt_vidb_encrypted_cert</vt:lpstr>
      <vt:lpstr>flt_vidb_encrypted_connection_chosen</vt:lpstr>
      <vt:lpstr>flt_vidb_first_name</vt:lpstr>
      <vt:lpstr>flt_vidb_global_catalog_chosen</vt:lpstr>
      <vt:lpstr>flt_vidb_group_base_dn</vt:lpstr>
      <vt:lpstr>flt_vidb_hostname</vt:lpstr>
      <vt:lpstr>flt_vidb_identity_provider_chosen</vt:lpstr>
      <vt:lpstr>flt_vidb_last_name</vt:lpstr>
      <vt:lpstr>flt_vidb_mail</vt:lpstr>
      <vt:lpstr>flt_vidb_node_prefix</vt:lpstr>
      <vt:lpstr>flt_vidb_password</vt:lpstr>
      <vt:lpstr>flt_vidb_password_alias</vt:lpstr>
      <vt:lpstr>flt_vidb_password_description</vt:lpstr>
      <vt:lpstr>flt_vidb_primary_domain_controller</vt:lpstr>
      <vt:lpstr>flt_vidb_primary_domain_controller_port</vt:lpstr>
      <vt:lpstr>flt_vidb_result</vt:lpstr>
      <vt:lpstr>flt_vidb_root_username</vt:lpstr>
      <vt:lpstr>flt_vidb_secondary_domain_controller</vt:lpstr>
      <vt:lpstr>flt_vidb_secondary_domain_controller_port</vt:lpstr>
      <vt:lpstr>flt_vidb_server_location_chosen</vt:lpstr>
      <vt:lpstr>flt_vidb_system_user_alias</vt:lpstr>
      <vt:lpstr>flt_vidb_system_user_description</vt:lpstr>
      <vt:lpstr>flt_vidb_system_user_password</vt:lpstr>
      <vt:lpstr>flt_vidb_user_base_dn</vt:lpstr>
      <vt:lpstr>flt_vidb_user_name</vt:lpstr>
      <vt:lpstr>flt_vidb_user_principal_name</vt:lpstr>
      <vt:lpstr>flt_vidb_vip_fqdn</vt:lpstr>
      <vt:lpstr>flt_vidb_vip_ip</vt:lpstr>
      <vt:lpstr>group_gg_kub_admins</vt:lpstr>
      <vt:lpstr>group_gg_kub_readonly</vt:lpstr>
      <vt:lpstr>group_gg_nsx_auditors</vt:lpstr>
      <vt:lpstr>group_gg_nsx_enterprise_admins</vt:lpstr>
      <vt:lpstr>group_gg_nsx_network_admins</vt:lpstr>
      <vt:lpstr>group_gg_sso_admins</vt:lpstr>
      <vt:lpstr>group_gg_vc_admins</vt:lpstr>
      <vt:lpstr>group_gg_vc_read_only</vt:lpstr>
      <vt:lpstr>group_gg_vcf_admins</vt:lpstr>
      <vt:lpstr>group_gg_vcf_operators</vt:lpstr>
      <vt:lpstr>group_gg_vcf_viewers</vt:lpstr>
      <vt:lpstr>group_gg_vra_cloud_assembly_admins</vt:lpstr>
      <vt:lpstr>group_gg_vra_cloud_assembly_users</vt:lpstr>
      <vt:lpstr>group_gg_vra_cloud_assembly_viewers</vt:lpstr>
      <vt:lpstr>group_gg_vra_orchestrator_viewers</vt:lpstr>
      <vt:lpstr>group_gg_vra_org_owners</vt:lpstr>
      <vt:lpstr>group_gg_vra_project_admins_sample</vt:lpstr>
      <vt:lpstr>group_gg_vra_project_users_sample</vt:lpstr>
      <vt:lpstr>group_gg_vrli_admins</vt:lpstr>
      <vt:lpstr>group_gg_vrli_users</vt:lpstr>
      <vt:lpstr>group_gg_vrli_viewers</vt:lpstr>
      <vt:lpstr>group_gg_vrops_admins</vt:lpstr>
      <vt:lpstr>group_gg_vrops_content_admins</vt:lpstr>
      <vt:lpstr>group_gg_vrops_read_only</vt:lpstr>
      <vt:lpstr>group_gg_vrslcm_admins</vt:lpstr>
      <vt:lpstr>group_gg_vrslcm_content_developers</vt:lpstr>
      <vt:lpstr>group_gg_vrslcm_release_managers</vt:lpstr>
      <vt:lpstr>group_parent_gg_wsa_admins</vt:lpstr>
      <vt:lpstr>group_parent_gg_wsa_directory_admins</vt:lpstr>
      <vt:lpstr>group_parent_gg_wsa_read_only</vt:lpstr>
      <vt:lpstr>input_administrator_vsphere_local_password</vt:lpstr>
      <vt:lpstr>input_air_GPU_network_operator_namespace</vt:lpstr>
      <vt:lpstr>input_air_GPU_operator_namespace</vt:lpstr>
      <vt:lpstr>input_air_GPU_VM_class</vt:lpstr>
      <vt:lpstr>input_air_license</vt:lpstr>
      <vt:lpstr>input_avilb_root_password</vt:lpstr>
      <vt:lpstr>input_ca_administrator_password</vt:lpstr>
      <vt:lpstr>input_ca_administrator_username</vt:lpstr>
      <vt:lpstr>input_ca_algorithm</vt:lpstr>
      <vt:lpstr>input_ca_country</vt:lpstr>
      <vt:lpstr>input_ca_email_address</vt:lpstr>
      <vt:lpstr>input_ca_key_size</vt:lpstr>
      <vt:lpstr>input_ca_locality</vt:lpstr>
      <vt:lpstr>input_ca_organization</vt:lpstr>
      <vt:lpstr>input_ca_organization_unit</vt:lpstr>
      <vt:lpstr>input_ca_state</vt:lpstr>
      <vt:lpstr>input_ca_template_name</vt:lpstr>
      <vt:lpstr>input_cbr_aria_logs_key</vt:lpstr>
      <vt:lpstr>input_cbr_aria_logs_url</vt:lpstr>
      <vt:lpstr>input_cbr_firewall_group</vt:lpstr>
      <vt:lpstr>input_cbr_firewall_ip_addresses</vt:lpstr>
      <vt:lpstr>input_cbr_firewall_rule_vcenter</vt:lpstr>
      <vt:lpstr>input_cbr_recovery_host_count</vt:lpstr>
      <vt:lpstr>input_cbr_recovery_host_type</vt:lpstr>
      <vt:lpstr>input_cbr_recovery_management_subnet</vt:lpstr>
      <vt:lpstr>input_cbr_recovery_region</vt:lpstr>
      <vt:lpstr>input_cbr_recovery_sddc_name</vt:lpstr>
      <vt:lpstr>input_cbr_recovery_subnet</vt:lpstr>
      <vt:lpstr>input_cbr_recovery_vpc</vt:lpstr>
      <vt:lpstr>input_cbr_vcdr_anti_affinity</vt:lpstr>
      <vt:lpstr>input_cbr_vcdr_cdp1_hostname</vt:lpstr>
      <vt:lpstr>input_cbr_vcdr_cdp1_ip</vt:lpstr>
      <vt:lpstr>input_cbr_vcdr_cdp2_hostname</vt:lpstr>
      <vt:lpstr>input_cbr_vcdr_cdp2_ip</vt:lpstr>
      <vt:lpstr>input_cbr_vcdr_cloud_file_system</vt:lpstr>
      <vt:lpstr>input_cbr_vcdr_email_recipient</vt:lpstr>
      <vt:lpstr>input_cbr_vcdr_email_sender</vt:lpstr>
      <vt:lpstr>input_cbr_vcdr_label</vt:lpstr>
      <vt:lpstr>input_cbr_vcdr_orchestrator_fqdn</vt:lpstr>
      <vt:lpstr>input_cbr_vcdr_ova</vt:lpstr>
      <vt:lpstr>input_cbr_vcdr_passcode</vt:lpstr>
      <vt:lpstr>input_cbr_vcdr_site_name</vt:lpstr>
      <vt:lpstr>input_cbr_vcdr_timezone</vt:lpstr>
      <vt:lpstr>input_cbr_vcdr_vsphere_role</vt:lpstr>
      <vt:lpstr>input_cbr_vm_folder</vt:lpstr>
      <vt:lpstr>input_cbw_hcx_cdp_fqdn</vt:lpstr>
      <vt:lpstr>input_ccm_aws_admin_password</vt:lpstr>
      <vt:lpstr>input_ccm_aws_admin_ssouser</vt:lpstr>
      <vt:lpstr>input_ccm_aws_host_count</vt:lpstr>
      <vt:lpstr>input_ccm_aws_host_type</vt:lpstr>
      <vt:lpstr>input_ccm_aws_management_subnet</vt:lpstr>
      <vt:lpstr>input_ccm_aws_region</vt:lpstr>
      <vt:lpstr>input_ccm_aws_sddc_name</vt:lpstr>
      <vt:lpstr>input_ccm_aws_subnet</vt:lpstr>
      <vt:lpstr>input_ccm_aws_vpc</vt:lpstr>
      <vt:lpstr>input_ccm_firewall_group</vt:lpstr>
      <vt:lpstr>input_ccm_firewall_ip_addresses</vt:lpstr>
      <vt:lpstr>input_ccm_firewall_rule_hcx</vt:lpstr>
      <vt:lpstr>input_ccm_firewall_rule_vcenter</vt:lpstr>
      <vt:lpstr>input_ccm_hcx_admin_password</vt:lpstr>
      <vt:lpstr>input_ccm_hcx_cdp_hostname</vt:lpstr>
      <vt:lpstr>input_ccm_hcx_cdp_ip</vt:lpstr>
      <vt:lpstr>input_ccm_hcx_compute_profile</vt:lpstr>
      <vt:lpstr>input_ccm_hcx_dc_location</vt:lpstr>
      <vt:lpstr>input_ccm_hcx_license</vt:lpstr>
      <vt:lpstr>input_ccm_hcx_mgmt_network_ip_range</vt:lpstr>
      <vt:lpstr>input_ccm_hcx_remote_url</vt:lpstr>
      <vt:lpstr>input_ccm_hcx_resource_pool</vt:lpstr>
      <vt:lpstr>input_ccm_hcx_root_password</vt:lpstr>
      <vt:lpstr>input_ccm_hcx_service_mesh</vt:lpstr>
      <vt:lpstr>input_ccm_hcx_vm_folder</vt:lpstr>
      <vt:lpstr>input_ccm_hcx_vmotion_network_ip_range</vt:lpstr>
      <vt:lpstr>input_ccm_hcx_vsphere_role</vt:lpstr>
      <vt:lpstr>input_ccm_vm_folder</vt:lpstr>
      <vt:lpstr>input_certificate_authority_fqdn</vt:lpstr>
      <vt:lpstr>input_certificate_authority_name</vt:lpstr>
      <vt:lpstr>input_child_ad_groups_ou</vt:lpstr>
      <vt:lpstr>input_child_ad_users_ou</vt:lpstr>
      <vt:lpstr>input_child_dns_zone</vt:lpstr>
      <vt:lpstr>input_child_svc_nsx_ad_password</vt:lpstr>
      <vt:lpstr>input_child_svc_nsx_ad_user</vt:lpstr>
      <vt:lpstr>input_child_svc_vsphere_ad_password</vt:lpstr>
      <vt:lpstr>input_child_svc_vsphere_ad_user</vt:lpstr>
      <vt:lpstr>input_cluster_az1_host_overlay_cidr</vt:lpstr>
      <vt:lpstr>input_cluster_az1_host_overlay_gateway_ip</vt:lpstr>
      <vt:lpstr>input_cluster_az1_host_overlay_network_pool_description</vt:lpstr>
      <vt:lpstr>input_cluster_az1_host_overlay_network_pool_name</vt:lpstr>
      <vt:lpstr>input_cluster_az1_host_overlay_network_profile_name</vt:lpstr>
      <vt:lpstr>input_cluster_az1_host_overlay_pool_end_ip</vt:lpstr>
      <vt:lpstr>input_cluster_az1_host_overlay_pool_start_ip</vt:lpstr>
      <vt:lpstr>input_cluster_az1_host_overlay_uplink_profile_name</vt:lpstr>
      <vt:lpstr>input_cluster_az1_host_overlay_vlan</vt:lpstr>
      <vt:lpstr>input_cluster_az1_host1_fqdn</vt:lpstr>
      <vt:lpstr>input_cluster_az1_host1_mgmt_ip</vt:lpstr>
      <vt:lpstr>input_cluster_az1_host10_fqdn</vt:lpstr>
      <vt:lpstr>input_cluster_az1_host10_mgmt_ip</vt:lpstr>
      <vt:lpstr>input_cluster_az1_host11_fqdn</vt:lpstr>
      <vt:lpstr>input_cluster_az1_host11_mgmt_ip</vt:lpstr>
      <vt:lpstr>input_cluster_az1_host12_fqdn</vt:lpstr>
      <vt:lpstr>input_cluster_az1_host12_mgmt_ip</vt:lpstr>
      <vt:lpstr>input_cluster_az1_host13_fqdn</vt:lpstr>
      <vt:lpstr>input_cluster_az1_host13_mgmt_ip</vt:lpstr>
      <vt:lpstr>input_cluster_az1_host14_fqdn</vt:lpstr>
      <vt:lpstr>input_cluster_az1_host14_mgmt_ip</vt:lpstr>
      <vt:lpstr>input_cluster_az1_host15_fqdn</vt:lpstr>
      <vt:lpstr>input_cluster_az1_host15_mgmt_ip</vt:lpstr>
      <vt:lpstr>input_cluster_az1_host16_fqdn</vt:lpstr>
      <vt:lpstr>input_cluster_az1_host16_mgmt_ip</vt:lpstr>
      <vt:lpstr>input_cluster_az1_host2_fqdn</vt:lpstr>
      <vt:lpstr>input_cluster_az1_host2_mgmt_ip</vt:lpstr>
      <vt:lpstr>input_cluster_az1_host3_fqdn</vt:lpstr>
      <vt:lpstr>input_cluster_az1_host3_mgmt_ip</vt:lpstr>
      <vt:lpstr>input_cluster_az1_host4_fqdn</vt:lpstr>
      <vt:lpstr>input_cluster_az1_host4_mgmt_ip</vt:lpstr>
      <vt:lpstr>input_cluster_az1_host5_fqdn</vt:lpstr>
      <vt:lpstr>input_cluster_az1_host5_mgmt_ip</vt:lpstr>
      <vt:lpstr>input_cluster_az1_host6_fqdn</vt:lpstr>
      <vt:lpstr>input_cluster_az1_host6_mgmt_ip</vt:lpstr>
      <vt:lpstr>input_cluster_az1_host7_fqdn</vt:lpstr>
      <vt:lpstr>input_cluster_az1_host7_mgmt_ip</vt:lpstr>
      <vt:lpstr>input_cluster_az1_host8_fqdn</vt:lpstr>
      <vt:lpstr>input_cluster_az1_host8_mgmt_ip</vt:lpstr>
      <vt:lpstr>input_cluster_az1_host9_fqdn</vt:lpstr>
      <vt:lpstr>input_cluster_az1_host9_mgmt_ip</vt:lpstr>
      <vt:lpstr>input_cluster_az1_mgmt_cidr</vt:lpstr>
      <vt:lpstr>input_cluster_az1_mgmt_gateway_ip</vt:lpstr>
      <vt:lpstr>input_cluster_az1_mgmt_mtu</vt:lpstr>
      <vt:lpstr>input_cluster_az1_mgmt_pg</vt:lpstr>
      <vt:lpstr>input_cluster_az1_mgmt_vlan</vt:lpstr>
      <vt:lpstr>input_cluster_az1_mgmt_vm_pg</vt:lpstr>
      <vt:lpstr>input_cluster_az1_nsx_uplink_count</vt:lpstr>
      <vt:lpstr>input_cluster_az1_nsx_uplink1</vt:lpstr>
      <vt:lpstr>input_cluster_az1_nsx_uplink1_active</vt:lpstr>
      <vt:lpstr>input_cluster_az1_nsx_uplink2</vt:lpstr>
      <vt:lpstr>input_cluster_az1_nsx_uplink2_active</vt:lpstr>
      <vt:lpstr>input_cluster_az1_pool_name</vt:lpstr>
      <vt:lpstr>input_cluster_az1_principal_storage_gateway_cidr</vt:lpstr>
      <vt:lpstr>input_cluster_az1_principal_storage_mtu</vt:lpstr>
      <vt:lpstr>input_cluster_az1_principal_storage_pg</vt:lpstr>
      <vt:lpstr>input_cluster_az1_principal_storage_pool_end_ip</vt:lpstr>
      <vt:lpstr>input_cluster_az1_principal_storage_pool_start_ip</vt:lpstr>
      <vt:lpstr>input_cluster_az1_principal_storage_vlan</vt:lpstr>
      <vt:lpstr>input_cluster_az1_secondary_storage_gateway_cidr</vt:lpstr>
      <vt:lpstr>input_cluster_az1_secondary_storage_mtu</vt:lpstr>
      <vt:lpstr>input_cluster_az1_secondary_storage_pool_end_ip</vt:lpstr>
      <vt:lpstr>input_cluster_az1_secondary_storage_pool_start_ip</vt:lpstr>
      <vt:lpstr>input_cluster_az1_secondary_storage_vlan</vt:lpstr>
      <vt:lpstr>input_cluster_az1_storage_cluster_gateway_cidr</vt:lpstr>
      <vt:lpstr>input_cluster_az1_storage_cluster_mtu</vt:lpstr>
      <vt:lpstr>input_cluster_az1_storage_cluster_pool_end_ip</vt:lpstr>
      <vt:lpstr>input_cluster_az1_storage_cluster_pool_start_ip</vt:lpstr>
      <vt:lpstr>input_cluster_az1_storage_cluster_vlan</vt:lpstr>
      <vt:lpstr>input_cluster_az1_vmotion_gateway_cidr</vt:lpstr>
      <vt:lpstr>input_cluster_az1_vmotion_mtu</vt:lpstr>
      <vt:lpstr>input_cluster_az1_vmotion_pg</vt:lpstr>
      <vt:lpstr>input_cluster_az1_vmotion_pool_end_ip</vt:lpstr>
      <vt:lpstr>input_cluster_az1_vmotion_pool_start_ip</vt:lpstr>
      <vt:lpstr>input_cluster_az1_vmotion_vlan</vt:lpstr>
      <vt:lpstr>input_cluster_az1_vsan_storage_client_pg</vt:lpstr>
      <vt:lpstr>input_cluster_az2_host_overlay_cidr</vt:lpstr>
      <vt:lpstr>input_cluster_az2_host_overlay_gateway_ip</vt:lpstr>
      <vt:lpstr>input_cluster_az2_host_overlay_gateway_mtu</vt:lpstr>
      <vt:lpstr>input_cluster_az2_host_overlay_network_pool_name</vt:lpstr>
      <vt:lpstr>input_cluster_az2_host_overlay_network_profile_name</vt:lpstr>
      <vt:lpstr>input_cluster_az2_host_overlay_pool_end_ip</vt:lpstr>
      <vt:lpstr>input_cluster_az2_host_overlay_pool_start_ip</vt:lpstr>
      <vt:lpstr>input_cluster_az2_host_overlay_uplink_profile_name</vt:lpstr>
      <vt:lpstr>input_cluster_az2_host_overlay_vlan</vt:lpstr>
      <vt:lpstr>input_cluster_az2_host1_fqdn</vt:lpstr>
      <vt:lpstr>input_cluster_az2_host1_mgmt_ip</vt:lpstr>
      <vt:lpstr>input_cluster_az2_host10_fqdn</vt:lpstr>
      <vt:lpstr>input_cluster_az2_host10_mgmt_ip</vt:lpstr>
      <vt:lpstr>input_cluster_az2_host11_fqdn</vt:lpstr>
      <vt:lpstr>input_cluster_az2_host11_mgmt_ip</vt:lpstr>
      <vt:lpstr>input_cluster_az2_host12_fqdn</vt:lpstr>
      <vt:lpstr>input_cluster_az2_host12_mgmt_ip</vt:lpstr>
      <vt:lpstr>input_cluster_az2_host13_fqdn</vt:lpstr>
      <vt:lpstr>input_cluster_az2_host13_mgmt_ip</vt:lpstr>
      <vt:lpstr>input_cluster_az2_host14_fqdn</vt:lpstr>
      <vt:lpstr>input_cluster_az2_host14_mgmt_ip</vt:lpstr>
      <vt:lpstr>input_cluster_az2_host15_fqdn</vt:lpstr>
      <vt:lpstr>input_cluster_az2_host15_mgmt_ip</vt:lpstr>
      <vt:lpstr>input_cluster_az2_host16_fqdn</vt:lpstr>
      <vt:lpstr>input_cluster_az2_host16_mgmt_ip</vt:lpstr>
      <vt:lpstr>input_cluster_az2_host2_fqdn</vt:lpstr>
      <vt:lpstr>input_cluster_az2_host2_mgmt_ip</vt:lpstr>
      <vt:lpstr>input_cluster_az2_host3_fqdn</vt:lpstr>
      <vt:lpstr>input_cluster_az2_host3_mgmt_ip</vt:lpstr>
      <vt:lpstr>input_cluster_az2_host4_fqdn</vt:lpstr>
      <vt:lpstr>input_cluster_az2_host4_mgmt_ip</vt:lpstr>
      <vt:lpstr>input_cluster_az2_host5_fqdn</vt:lpstr>
      <vt:lpstr>input_cluster_az2_host5_mgmt_ip</vt:lpstr>
      <vt:lpstr>input_cluster_az2_host6_fqdn</vt:lpstr>
      <vt:lpstr>input_cluster_az2_host6_mgmt_ip</vt:lpstr>
      <vt:lpstr>input_cluster_az2_host7_fqdn</vt:lpstr>
      <vt:lpstr>input_cluster_az2_host7_mgmt_ip</vt:lpstr>
      <vt:lpstr>input_cluster_az2_host8_fqdn</vt:lpstr>
      <vt:lpstr>input_cluster_az2_host8_mgmt_ip</vt:lpstr>
      <vt:lpstr>input_cluster_az2_host9_fqdn</vt:lpstr>
      <vt:lpstr>input_cluster_az2_host9_mgmt_ip</vt:lpstr>
      <vt:lpstr>input_cluster_az2_mgmt_cidr</vt:lpstr>
      <vt:lpstr>input_cluster_az2_mgmt_gateway_ip</vt:lpstr>
      <vt:lpstr>input_cluster_az2_mgmt_mtu</vt:lpstr>
      <vt:lpstr>input_cluster_az2_mgmt_vlan</vt:lpstr>
      <vt:lpstr>input_cluster_az2_pool_name</vt:lpstr>
      <vt:lpstr>input_cluster_az2_principal_storage_gateway_ip</vt:lpstr>
      <vt:lpstr>input_cluster_az2_principal_storage_mask</vt:lpstr>
      <vt:lpstr>input_cluster_az2_principal_storage_mtu</vt:lpstr>
      <vt:lpstr>input_cluster_az2_principal_storage_network</vt:lpstr>
      <vt:lpstr>input_cluster_az2_principal_storage_pool_end_ip</vt:lpstr>
      <vt:lpstr>input_cluster_az2_principal_storage_pool_start_ip</vt:lpstr>
      <vt:lpstr>input_cluster_az2_principal_storage_vlan</vt:lpstr>
      <vt:lpstr>input_cluster_az2_secondary_storage_gateway_ip</vt:lpstr>
      <vt:lpstr>input_cluster_az2_secondary_storage_mask</vt:lpstr>
      <vt:lpstr>input_cluster_az2_secondary_storage_mtu</vt:lpstr>
      <vt:lpstr>input_cluster_az2_secondary_storage_network</vt:lpstr>
      <vt:lpstr>input_cluster_az2_secondary_storage_pool_end_ip</vt:lpstr>
      <vt:lpstr>input_cluster_az2_secondary_storage_pool_start_ip</vt:lpstr>
      <vt:lpstr>input_cluster_az2_secondary_storage_vlan</vt:lpstr>
      <vt:lpstr>input_cluster_az2_storage_cluster_gateway_ip</vt:lpstr>
      <vt:lpstr>input_cluster_az2_storage_cluster_mask</vt:lpstr>
      <vt:lpstr>input_cluster_az2_storage_cluster_mtu</vt:lpstr>
      <vt:lpstr>input_cluster_az2_storage_cluster_network</vt:lpstr>
      <vt:lpstr>input_cluster_az2_storage_cluster_pool_end_ip</vt:lpstr>
      <vt:lpstr>input_cluster_az2_storage_cluster_pool_start_ip</vt:lpstr>
      <vt:lpstr>input_cluster_az2_storage_cluster_vlan</vt:lpstr>
      <vt:lpstr>input_cluster_az2_tor1_peer_asn</vt:lpstr>
      <vt:lpstr>input_cluster_az2_tor1_peer_ip</vt:lpstr>
      <vt:lpstr>input_cluster_az2_tor2_peer_asn</vt:lpstr>
      <vt:lpstr>input_cluster_az2_tor2_peer_ip</vt:lpstr>
      <vt:lpstr>input_cluster_az2_vmotion_gateway_ip</vt:lpstr>
      <vt:lpstr>input_cluster_az2_vmotion_mask</vt:lpstr>
      <vt:lpstr>input_cluster_az2_vmotion_mtu</vt:lpstr>
      <vt:lpstr>input_cluster_az2_vmotion_network</vt:lpstr>
      <vt:lpstr>input_cluster_az2_vmotion_pool_end_ip</vt:lpstr>
      <vt:lpstr>input_cluster_az2_vmotion_pool_start_ip</vt:lpstr>
      <vt:lpstr>input_cluster_az2_vmotion_vlan</vt:lpstr>
      <vt:lpstr>input_cluster_cluster_sddc_id</vt:lpstr>
      <vt:lpstr>input_cluster_datacenter</vt:lpstr>
      <vt:lpstr>input_cluster_domain_name</vt:lpstr>
      <vt:lpstr>input_cluster_esx_root_password</vt:lpstr>
      <vt:lpstr>input_cluster_esx_root_username</vt:lpstr>
      <vt:lpstr>input_cluster_host_overlay_transportzone</vt:lpstr>
      <vt:lpstr>input_cluster_image_name</vt:lpstr>
      <vt:lpstr>input_cluster_name</vt:lpstr>
      <vt:lpstr>input_cluster_nfs_datastore_name</vt:lpstr>
      <vt:lpstr>input_cluster_nfs_server_address</vt:lpstr>
      <vt:lpstr>input_cluster_nfs_share_path</vt:lpstr>
      <vt:lpstr>input_cluster_nsx_vlan_transport_zone_name</vt:lpstr>
      <vt:lpstr>input_cluster_nsxt_vip_fqdn</vt:lpstr>
      <vt:lpstr>input_cluster_storage_cluster_name</vt:lpstr>
      <vt:lpstr>input_cluster_vc_fqdn</vt:lpstr>
      <vt:lpstr>input_cluster_vds01_lag_name</vt:lpstr>
      <vt:lpstr>input_cluster_vds01_mtu</vt:lpstr>
      <vt:lpstr>input_cluster_vds01_name</vt:lpstr>
      <vt:lpstr>input_cluster_vds01_pnics</vt:lpstr>
      <vt:lpstr>input_cluster_vds01_uplink_count</vt:lpstr>
      <vt:lpstr>input_cluster_vds02_lag_name</vt:lpstr>
      <vt:lpstr>input_cluster_vds02_mtu</vt:lpstr>
      <vt:lpstr>input_cluster_vds02_name</vt:lpstr>
      <vt:lpstr>input_cluster_vds02_pnics</vt:lpstr>
      <vt:lpstr>input_cluster_vds02_uplink_count</vt:lpstr>
      <vt:lpstr>input_cluster_vds03_lag_name</vt:lpstr>
      <vt:lpstr>input_cluster_vds03_mtu</vt:lpstr>
      <vt:lpstr>input_cluster_vds03_name</vt:lpstr>
      <vt:lpstr>input_cluster_vds03_pnics</vt:lpstr>
      <vt:lpstr>input_cluster_vds03_uplink_count</vt:lpstr>
      <vt:lpstr>input_cluster_vmfs_datastore_name</vt:lpstr>
      <vt:lpstr>input_cluster_vsan_datastore</vt:lpstr>
      <vt:lpstr>input_cluster_vsan_type_non_vsan_storage</vt:lpstr>
      <vt:lpstr>input_cluster_vsan_type_with_client_network</vt:lpstr>
      <vt:lpstr>input_cluster_vsan_type_without_client_network</vt:lpstr>
      <vt:lpstr>input_cluster_witness_cluster</vt:lpstr>
      <vt:lpstr>input_cluster_witness_dns1_ip</vt:lpstr>
      <vt:lpstr>input_cluster_witness_dns2_ip</vt:lpstr>
      <vt:lpstr>input_cluster_witness_fqdn</vt:lpstr>
      <vt:lpstr>input_cluster_witness_hostname</vt:lpstr>
      <vt:lpstr>input_cluster_witness_ip</vt:lpstr>
      <vt:lpstr>input_cluster_witness_mgmt_pg</vt:lpstr>
      <vt:lpstr>input_cluster_witness_ntp1_server</vt:lpstr>
      <vt:lpstr>input_cluster_witness_ntp2_server</vt:lpstr>
      <vt:lpstr>input_cluster_witness_vm_folder</vt:lpstr>
      <vt:lpstr>input_cluster_witness_vsan_datastore</vt:lpstr>
      <vt:lpstr>input_cluster_witness_zone_vc_fqdn</vt:lpstr>
      <vt:lpstr>input_cluster_witnessaz_mask</vt:lpstr>
      <vt:lpstr>input_cluster_witnessaz_mgmt_cidr</vt:lpstr>
      <vt:lpstr>input_cluster_witnessaz_mgmt_gateway_ip</vt:lpstr>
      <vt:lpstr>input_cluster_witnessaz_mgmt_mtu</vt:lpstr>
      <vt:lpstr>input_cluster_witnessaz_mgmt_vlan</vt:lpstr>
      <vt:lpstr>input_cr_clean_room</vt:lpstr>
      <vt:lpstr>input_cr_console_cloud</vt:lpstr>
      <vt:lpstr>input_cr_mgmt_protect_vc_domain</vt:lpstr>
      <vt:lpstr>input_cr_mgmt_protect_vc_fqdn</vt:lpstr>
      <vt:lpstr>input_cr_wld_pnr_fqdn</vt:lpstr>
      <vt:lpstr>input_cr_wld_pnr_ip</vt:lpstr>
      <vt:lpstr>input_cr_wld_protect_vc_replication_user</vt:lpstr>
      <vt:lpstr>input_cr_wld_vrms_pg</vt:lpstr>
      <vt:lpstr>input_domain_controller_hostname</vt:lpstr>
      <vt:lpstr>input_esxi_root_password</vt:lpstr>
      <vt:lpstr>input_flt_auto_node_pool_end_ip</vt:lpstr>
      <vt:lpstr>input_flt_auto_node_pool_start_ip</vt:lpstr>
      <vt:lpstr>input_flt_auto_sr_fqdn</vt:lpstr>
      <vt:lpstr>input_flt_def_administrator_vsphere_local_password</vt:lpstr>
      <vt:lpstr>input_flt_def_administrator_vsphere_local_username</vt:lpstr>
      <vt:lpstr>input_flt_def_auto_admin_password</vt:lpstr>
      <vt:lpstr>input_flt_def_auto_cluster_cidr</vt:lpstr>
      <vt:lpstr>input_flt_def_auto_node_pool_end_ip</vt:lpstr>
      <vt:lpstr>input_flt_def_auto_node_pool_start_ip</vt:lpstr>
      <vt:lpstr>input_flt_def_auto_node_prefix</vt:lpstr>
      <vt:lpstr>input_flt_def_auto_sr_fqdn</vt:lpstr>
      <vt:lpstr>input_flt_def_auto_sr_ip</vt:lpstr>
      <vt:lpstr>input_flt_def_sddc_mgr_fqdn</vt:lpstr>
      <vt:lpstr>input_flt_def_vcf_operations_admin_password</vt:lpstr>
      <vt:lpstr>input_flt_def_vcf_operations_az1_vcf_mgmt_gateway_cidr</vt:lpstr>
      <vt:lpstr>input_flt_def_vcf_operations_az1_vcf_mgmt_pg</vt:lpstr>
      <vt:lpstr>input_flt_def_vcf_operations_lc_fqdn</vt:lpstr>
      <vt:lpstr>input_flt_def_vcf_operations_lc_ip</vt:lpstr>
      <vt:lpstr>input_flt_def_vcf_operations_nodea_fqdn</vt:lpstr>
      <vt:lpstr>input_flt_def_vcf_operations_nodea_ip</vt:lpstr>
      <vt:lpstr>input_flt_def_vcf_operations_nodeb_fqdn</vt:lpstr>
      <vt:lpstr>input_flt_def_vcf_operations_nodeb_ip</vt:lpstr>
      <vt:lpstr>input_flt_def_vcf_operations_nodec_fqdn</vt:lpstr>
      <vt:lpstr>input_flt_def_vcf_operations_nodec_ip</vt:lpstr>
      <vt:lpstr>input_flt_def_vcf_operations_proxy_az1_vcf_mgmt_gateway_cidr</vt:lpstr>
      <vt:lpstr>input_flt_def_vcf_operations_proxy_az1_vcf_mgmt_pg</vt:lpstr>
      <vt:lpstr>input_flt_def_vcf_operations_proxy_fqdn</vt:lpstr>
      <vt:lpstr>input_flt_def_vcf_operations_proxy_ip</vt:lpstr>
      <vt:lpstr>input_flt_def_vcf_operations_proxy_root_password</vt:lpstr>
      <vt:lpstr>input_flt_def_vcf_operations_root_password</vt:lpstr>
      <vt:lpstr>input_flt_def_vcf_operations_virtual_fqdn</vt:lpstr>
      <vt:lpstr>input_flt_def_vcf_operations_virtual_ip</vt:lpstr>
      <vt:lpstr>input_flt_def_vra_virtual_fqdn</vt:lpstr>
      <vt:lpstr>input_flt_def_vra_virtual_ip</vt:lpstr>
      <vt:lpstr>input_flt_fc_fqdn</vt:lpstr>
      <vt:lpstr>input_flt_fc_ip</vt:lpstr>
      <vt:lpstr>input_flt_ic_fqdn</vt:lpstr>
      <vt:lpstr>input_flt_ic_ip</vt:lpstr>
      <vt:lpstr>input_flt_lc_fqdn</vt:lpstr>
      <vt:lpstr>input_flt_lc_ip</vt:lpstr>
      <vt:lpstr>input_flt_logs_admin_password</vt:lpstr>
      <vt:lpstr>input_flt_logs_admin_username</vt:lpstr>
      <vt:lpstr>input_flt_logs_vip_fqdn</vt:lpstr>
      <vt:lpstr>input_flt_logs_vip_ip</vt:lpstr>
      <vt:lpstr>input_flt_net_admin_password</vt:lpstr>
      <vt:lpstr>input_flt_net_nodea_fqdn</vt:lpstr>
      <vt:lpstr>input_flt_net_nodea_ip</vt:lpstr>
      <vt:lpstr>input_flt_net_prxy_fqdn</vt:lpstr>
      <vt:lpstr>input_flt_net_prxy_ip</vt:lpstr>
      <vt:lpstr>input_flt_sr_fqdn</vt:lpstr>
      <vt:lpstr>input_flt_vcfms_node_pool_end_ip</vt:lpstr>
      <vt:lpstr>input_flt_vcfms_node_pool_start_ip</vt:lpstr>
      <vt:lpstr>input_flt_vidb_base_dn</vt:lpstr>
      <vt:lpstr>input_flt_vidb_bind_password</vt:lpstr>
      <vt:lpstr>input_flt_vidb_bind_username</vt:lpstr>
      <vt:lpstr>input_flt_vidb_directory_name</vt:lpstr>
      <vt:lpstr>input_flt_vidb_distinguished_name</vt:lpstr>
      <vt:lpstr>input_flt_vidb_employeeID</vt:lpstr>
      <vt:lpstr>input_flt_vidb_encrypted_cert</vt:lpstr>
      <vt:lpstr>input_flt_vidb_first_name</vt:lpstr>
      <vt:lpstr>input_flt_vidb_group_base_dn</vt:lpstr>
      <vt:lpstr>input_flt_vidb_last_name</vt:lpstr>
      <vt:lpstr>input_flt_vidb_mail</vt:lpstr>
      <vt:lpstr>input_flt_vidb_primary_domain_controller</vt:lpstr>
      <vt:lpstr>input_flt_vidb_primary_domain_controller_port</vt:lpstr>
      <vt:lpstr>input_flt_vidb_secondary_domain_controller</vt:lpstr>
      <vt:lpstr>input_flt_vidb_secondary_domain_controller_port</vt:lpstr>
      <vt:lpstr>input_flt_vidb_user_base_dn</vt:lpstr>
      <vt:lpstr>input_flt_vidb_user_name</vt:lpstr>
      <vt:lpstr>input_flt_vidb_user_principal_name</vt:lpstr>
      <vt:lpstr>input_flt_vidb_vip_fqdn</vt:lpstr>
      <vt:lpstr>input_flt_vidb_vip_ip</vt:lpstr>
      <vt:lpstr>input_gg_kub_admins_group</vt:lpstr>
      <vt:lpstr>input_gg_kub_readonly_group</vt:lpstr>
      <vt:lpstr>input_gg_nsx_auditors_group</vt:lpstr>
      <vt:lpstr>input_gg_nsx_enterprise_admins_group</vt:lpstr>
      <vt:lpstr>input_gg_nsx_network_admins_group</vt:lpstr>
      <vt:lpstr>input_gg_sso_admins_group</vt:lpstr>
      <vt:lpstr>input_gg_vc_admins_group</vt:lpstr>
      <vt:lpstr>input_gg_vc_read_only_group</vt:lpstr>
      <vt:lpstr>input_gg_vcf_admins_group</vt:lpstr>
      <vt:lpstr>input_gg_vcf_operators_group</vt:lpstr>
      <vt:lpstr>input_gg_vcf_viewers_group</vt:lpstr>
      <vt:lpstr>input_gg_vra_cloud_assembly_admins_group</vt:lpstr>
      <vt:lpstr>input_gg_vra_cloud_assembly_users_group</vt:lpstr>
      <vt:lpstr>input_gg_vra_cloud_assembly_viewers_group</vt:lpstr>
      <vt:lpstr>input_gg_vra_orchestrator_admins_group</vt:lpstr>
      <vt:lpstr>input_gg_vra_orchestrator_designers_group</vt:lpstr>
      <vt:lpstr>input_gg_vra_orchestrator_viewers_group</vt:lpstr>
      <vt:lpstr>input_gg_vra_org_owners_group</vt:lpstr>
      <vt:lpstr>input_gg_vra_project_admins_sample_group</vt:lpstr>
      <vt:lpstr>input_gg_vra_project_users_sample_group</vt:lpstr>
      <vt:lpstr>input_gg_vra_service_broker_admins_group</vt:lpstr>
      <vt:lpstr>input_gg_vra_service_broker_users_group</vt:lpstr>
      <vt:lpstr>input_gg_vra_service_broker_viewers_group</vt:lpstr>
      <vt:lpstr>input_gg_vrli_admins_group</vt:lpstr>
      <vt:lpstr>input_gg_vrli_users_group</vt:lpstr>
      <vt:lpstr>input_gg_vrli_viewers_group</vt:lpstr>
      <vt:lpstr>input_gg_vrni_admin_group</vt:lpstr>
      <vt:lpstr>input_gg_vrni_auditor_group</vt:lpstr>
      <vt:lpstr>input_gg_vrni_member_group</vt:lpstr>
      <vt:lpstr>input_gg_vrops_admins_group</vt:lpstr>
      <vt:lpstr>input_gg_vrops_content_admins_group</vt:lpstr>
      <vt:lpstr>input_gg_vrops_read_only_group</vt:lpstr>
      <vt:lpstr>input_gg_vrslcm_admins_group</vt:lpstr>
      <vt:lpstr>input_gg_vrslcm_content_developers_group</vt:lpstr>
      <vt:lpstr>input_gg_vrslcm_release_managers_group</vt:lpstr>
      <vt:lpstr>input_k8s_cluster_name</vt:lpstr>
      <vt:lpstr>input_k8s_ip_prefixlist</vt:lpstr>
      <vt:lpstr>input_k8s_ip_routemap</vt:lpstr>
      <vt:lpstr>input_k8s_kubectl_path</vt:lpstr>
      <vt:lpstr>input_k8s_mgmt_seg</vt:lpstr>
      <vt:lpstr>input_k8s_namepsace</vt:lpstr>
      <vt:lpstr>input_k8s_tanzu_k8s_cluster_pod_pool_cidr</vt:lpstr>
      <vt:lpstr>input_k8s_tanzu_k8s_cluster_service_pool_cidr</vt:lpstr>
      <vt:lpstr>input_k8s_vcenter_category</vt:lpstr>
      <vt:lpstr>input_k8s_vcenter_content_library</vt:lpstr>
      <vt:lpstr>input_k8s_vcenter_storage_policy</vt:lpstr>
      <vt:lpstr>input_k8s_vcenter_tag</vt:lpstr>
      <vt:lpstr>input_k8s_vm_class</vt:lpstr>
      <vt:lpstr>input_mgmt_avilb_cluster_name</vt:lpstr>
      <vt:lpstr>input_mgmt_avilb_cluster_version</vt:lpstr>
      <vt:lpstr>input_mgmt_avilb_fqdn</vt:lpstr>
      <vt:lpstr>input_mgmt_avilb_ip</vt:lpstr>
      <vt:lpstr>input_mgmt_avilb_mgra_ip</vt:lpstr>
      <vt:lpstr>input_mgmt_avilb_mgrb_ip</vt:lpstr>
      <vt:lpstr>input_mgmt_avilb_mgrc_ip</vt:lpstr>
      <vt:lpstr>input_mgmt_az1_dtgw_gateway_cidr</vt:lpstr>
      <vt:lpstr>input_mgmt_az1_dtgw_vlan</vt:lpstr>
      <vt:lpstr>input_mgmt_az1_edge_overlay_cidr</vt:lpstr>
      <vt:lpstr>input_mgmt_az1_edge_overlay_gateway_ip</vt:lpstr>
      <vt:lpstr>input_mgmt_az1_edge_overlay_mask</vt:lpstr>
      <vt:lpstr>input_mgmt_az1_edge_overlay_mtu</vt:lpstr>
      <vt:lpstr>input_mgmt_az1_edge_overlay_network_pool_name</vt:lpstr>
      <vt:lpstr>input_mgmt_az1_edge_overlay_pool_end_ip</vt:lpstr>
      <vt:lpstr>input_mgmt_az1_edge_overlay_pool_start_ip</vt:lpstr>
      <vt:lpstr>input_mgmt_az1_edge_overlay_vlan</vt:lpstr>
      <vt:lpstr>input_mgmt_az1_en1_edge_overlay_interface_ip_1_ip</vt:lpstr>
      <vt:lpstr>input_mgmt_az1_en1_edge_overlay_interface_ip_2_ip</vt:lpstr>
      <vt:lpstr>input_mgmt_az1_en1_eth0_uplink0</vt:lpstr>
      <vt:lpstr>input_mgmt_az1_en1_eth0_uplink1</vt:lpstr>
      <vt:lpstr>input_mgmt_az1_en1_eth1_uplink0</vt:lpstr>
      <vt:lpstr>input_mgmt_az1_en1_eth1_uplink1</vt:lpstr>
      <vt:lpstr>input_mgmt_az1_en1_fqdn</vt:lpstr>
      <vt:lpstr>input_mgmt_az1_en1_mgmt_cidr</vt:lpstr>
      <vt:lpstr>input_mgmt_az1_en1_uplink01_interface_cidr</vt:lpstr>
      <vt:lpstr>input_mgmt_az1_en1_uplink02_interface_cidr</vt:lpstr>
      <vt:lpstr>input_mgmt_az1_en2_edge_overlay_interface_ip_1_ip</vt:lpstr>
      <vt:lpstr>input_mgmt_az1_en2_edge_overlay_interface_ip_2_ip</vt:lpstr>
      <vt:lpstr>input_mgmt_az1_en2_eth0_uplink0</vt:lpstr>
      <vt:lpstr>input_mgmt_az1_en2_eth0_uplink1</vt:lpstr>
      <vt:lpstr>input_mgmt_az1_en2_eth1_uplink0</vt:lpstr>
      <vt:lpstr>input_mgmt_az1_en2_eth1_uplink1</vt:lpstr>
      <vt:lpstr>input_mgmt_az1_en2_fqdn</vt:lpstr>
      <vt:lpstr>input_mgmt_az1_en2_mgmt_cidr</vt:lpstr>
      <vt:lpstr>input_mgmt_az1_en2_uplink01_interface_cidr</vt:lpstr>
      <vt:lpstr>input_mgmt_az1_en2_uplink02_interface_cidr</vt:lpstr>
      <vt:lpstr>input_mgmt_az1_host_overlay_gateway_cidr</vt:lpstr>
      <vt:lpstr>input_mgmt_az1_host_overlay_mtu</vt:lpstr>
      <vt:lpstr>input_mgmt_az1_host_overlay_network_pool_description</vt:lpstr>
      <vt:lpstr>input_mgmt_az1_host_overlay_network_pool_name</vt:lpstr>
      <vt:lpstr>input_mgmt_az1_host_overlay_pool_end_ip</vt:lpstr>
      <vt:lpstr>input_mgmt_az1_host_overlay_pool_start_ip</vt:lpstr>
      <vt:lpstr>input_mgmt_az1_host_overlay_vlan</vt:lpstr>
      <vt:lpstr>input_mgmt_az1_host1_fqdn</vt:lpstr>
      <vt:lpstr>input_mgmt_az1_host1_mgmt_ip</vt:lpstr>
      <vt:lpstr>input_mgmt_az1_host1_vrms_ip</vt:lpstr>
      <vt:lpstr>input_mgmt_az1_host10_fqdn</vt:lpstr>
      <vt:lpstr>input_mgmt_az1_host10_mgmt_ip</vt:lpstr>
      <vt:lpstr>input_mgmt_az1_host10_vrms_ip</vt:lpstr>
      <vt:lpstr>input_mgmt_az1_host11_fqdn</vt:lpstr>
      <vt:lpstr>input_mgmt_az1_host11_mgmt_ip</vt:lpstr>
      <vt:lpstr>input_mgmt_az1_host11_vrms_ip</vt:lpstr>
      <vt:lpstr>input_mgmt_az1_host12_fqdn</vt:lpstr>
      <vt:lpstr>input_mgmt_az1_host12_mgmt_ip</vt:lpstr>
      <vt:lpstr>input_mgmt_az1_host12_vrms_ip</vt:lpstr>
      <vt:lpstr>input_mgmt_az1_host13_fqdn</vt:lpstr>
      <vt:lpstr>input_mgmt_az1_host13_mgmt_ip</vt:lpstr>
      <vt:lpstr>input_mgmt_az1_host13_vrms_ip</vt:lpstr>
      <vt:lpstr>input_mgmt_az1_host14_fqdn</vt:lpstr>
      <vt:lpstr>input_mgmt_az1_host14_mgmt_ip</vt:lpstr>
      <vt:lpstr>input_mgmt_az1_host14_vrms_ip</vt:lpstr>
      <vt:lpstr>input_mgmt_az1_host15_fqdn</vt:lpstr>
      <vt:lpstr>input_mgmt_az1_host15_mgmt_ip</vt:lpstr>
      <vt:lpstr>input_mgmt_az1_host15_vrms_ip</vt:lpstr>
      <vt:lpstr>input_mgmt_az1_host16_fqdn</vt:lpstr>
      <vt:lpstr>input_mgmt_az1_host16_mgmt_ip</vt:lpstr>
      <vt:lpstr>input_mgmt_az1_host16_vrms_ip</vt:lpstr>
      <vt:lpstr>input_mgmt_az1_host2_fqdn</vt:lpstr>
      <vt:lpstr>input_mgmt_az1_host2_mgmt_ip</vt:lpstr>
      <vt:lpstr>input_mgmt_az1_host2_vrms_ip</vt:lpstr>
      <vt:lpstr>input_mgmt_az1_host3_fqdn</vt:lpstr>
      <vt:lpstr>input_mgmt_az1_host3_mgmt_ip</vt:lpstr>
      <vt:lpstr>input_mgmt_az1_host3_vrms_ip</vt:lpstr>
      <vt:lpstr>input_mgmt_az1_host4_fqdn</vt:lpstr>
      <vt:lpstr>input_mgmt_az1_host4_mgmt_ip</vt:lpstr>
      <vt:lpstr>input_mgmt_az1_host4_vrms_ip</vt:lpstr>
      <vt:lpstr>input_mgmt_az1_host5_fqdn</vt:lpstr>
      <vt:lpstr>input_mgmt_az1_host5_mgmt_ip</vt:lpstr>
      <vt:lpstr>input_mgmt_az1_host5_vrms_ip</vt:lpstr>
      <vt:lpstr>input_mgmt_az1_host6_fqdn</vt:lpstr>
      <vt:lpstr>input_mgmt_az1_host6_mgmt_ip</vt:lpstr>
      <vt:lpstr>input_mgmt_az1_host6_vrms_ip</vt:lpstr>
      <vt:lpstr>input_mgmt_az1_host7_fqdn</vt:lpstr>
      <vt:lpstr>input_mgmt_az1_host7_mgmt_ip</vt:lpstr>
      <vt:lpstr>input_mgmt_az1_host7_vrms_ip</vt:lpstr>
      <vt:lpstr>input_mgmt_az1_host8_fqdn</vt:lpstr>
      <vt:lpstr>input_mgmt_az1_host8_mgmt_ip</vt:lpstr>
      <vt:lpstr>input_mgmt_az1_host8_vrms_ip</vt:lpstr>
      <vt:lpstr>input_mgmt_az1_host9_fqdn</vt:lpstr>
      <vt:lpstr>input_mgmt_az1_host9_mgmt_ip</vt:lpstr>
      <vt:lpstr>input_mgmt_az1_host9_vrms_ip</vt:lpstr>
      <vt:lpstr>input_mgmt_az1_mgmt_gateway_cidr</vt:lpstr>
      <vt:lpstr>input_mgmt_az1_mgmt_mtu</vt:lpstr>
      <vt:lpstr>input_mgmt_az1_mgmt_vlan</vt:lpstr>
      <vt:lpstr>input_mgmt_az1_mgmt_vm_gateway_cidr</vt:lpstr>
      <vt:lpstr>input_mgmt_az1_mgmt_vm_mtu</vt:lpstr>
      <vt:lpstr>input_mgmt_az1_mgmt_vm_vlan</vt:lpstr>
      <vt:lpstr>input_mgmt_az1_rtep_ip_pool_name</vt:lpstr>
      <vt:lpstr>input_mgmt_az1_rtep_overlay_cidr</vt:lpstr>
      <vt:lpstr>input_mgmt_az1_rtep_overlay_gateway_ip</vt:lpstr>
      <vt:lpstr>input_mgmt_az1_rtep_overlay_vlan</vt:lpstr>
      <vt:lpstr>input_mgmt_az1_secondary_storage_gateway_cidr</vt:lpstr>
      <vt:lpstr>input_mgmt_az1_secondary_storage_mtu</vt:lpstr>
      <vt:lpstr>input_mgmt_az1_secondary_storage_pool_end_ip</vt:lpstr>
      <vt:lpstr>input_mgmt_az1_secondary_storage_pool_start_ip</vt:lpstr>
      <vt:lpstr>input_mgmt_az1_secondary_storage_vlan</vt:lpstr>
      <vt:lpstr>input_mgmt_az1_tor1_peer_asn</vt:lpstr>
      <vt:lpstr>input_mgmt_az1_tor1_peer_bgp_password</vt:lpstr>
      <vt:lpstr>input_mgmt_az1_tor1_peer_ip</vt:lpstr>
      <vt:lpstr>input_mgmt_az1_tor2_peer_asn</vt:lpstr>
      <vt:lpstr>input_mgmt_az1_tor2_peer_bgp_password</vt:lpstr>
      <vt:lpstr>input_mgmt_az1_tor2_peer_ip</vt:lpstr>
      <vt:lpstr>input_mgmt_az1_uplink01_cidr</vt:lpstr>
      <vt:lpstr>input_mgmt_az1_uplink01_gateway_ip</vt:lpstr>
      <vt:lpstr>input_mgmt_az1_uplink01_mtu</vt:lpstr>
      <vt:lpstr>input_mgmt_az1_uplink01_vlan</vt:lpstr>
      <vt:lpstr>input_mgmt_az1_uplink02_cidr</vt:lpstr>
      <vt:lpstr>input_mgmt_az1_uplink02_gateway_ip</vt:lpstr>
      <vt:lpstr>input_mgmt_az1_uplink02_mtu</vt:lpstr>
      <vt:lpstr>input_mgmt_az1_uplink02_vlan</vt:lpstr>
      <vt:lpstr>input_mgmt_az1_vcf_mgmt_gateway_cidr</vt:lpstr>
      <vt:lpstr>input_mgmt_az1_vcf_mgmt_gateway_ipv6_cidr</vt:lpstr>
      <vt:lpstr>input_mgmt_az1_vcf_mgmt_mtu</vt:lpstr>
      <vt:lpstr>input_mgmt_az1_vcf_mgmt_vlan</vt:lpstr>
      <vt:lpstr>input_mgmt_az1_vmotion_gateway_cidr</vt:lpstr>
      <vt:lpstr>input_mgmt_az1_vmotion_mtu</vt:lpstr>
      <vt:lpstr>input_mgmt_az1_vmotion_pool_end_ip</vt:lpstr>
      <vt:lpstr>input_mgmt_az1_vmotion_pool_start_ip</vt:lpstr>
      <vt:lpstr>input_mgmt_az1_vmotion_vlan</vt:lpstr>
      <vt:lpstr>input_mgmt_az1_vrms_mask</vt:lpstr>
      <vt:lpstr>input_mgmt_az1_vrms_mtu</vt:lpstr>
      <vt:lpstr>input_mgmt_az1_vrms_vlan</vt:lpstr>
      <vt:lpstr>input_mgmt_az1_vsan_gateway_cidr</vt:lpstr>
      <vt:lpstr>input_mgmt_az1_vsan_mtu</vt:lpstr>
      <vt:lpstr>input_mgmt_az1_vsan_pool_end_ip</vt:lpstr>
      <vt:lpstr>input_mgmt_az1_vsan_pool_start_ip</vt:lpstr>
      <vt:lpstr>input_mgmt_az1_vsan_vlan</vt:lpstr>
      <vt:lpstr>input_mgmt_az2_host_overlay_cidr</vt:lpstr>
      <vt:lpstr>input_mgmt_az2_host_overlay_gateway_ip</vt:lpstr>
      <vt:lpstr>input_mgmt_az2_host_overlay_mtu</vt:lpstr>
      <vt:lpstr>input_mgmt_az2_host_overlay_network_pool_name</vt:lpstr>
      <vt:lpstr>input_mgmt_az2_host_overlay_network_profile_name</vt:lpstr>
      <vt:lpstr>input_mgmt_az2_host_overlay_pool_end_ip</vt:lpstr>
      <vt:lpstr>input_mgmt_az2_host_overlay_pool_start_ip</vt:lpstr>
      <vt:lpstr>input_mgmt_az2_host_overlay_uplink_profile_name</vt:lpstr>
      <vt:lpstr>input_mgmt_az2_host_overlay_vlan</vt:lpstr>
      <vt:lpstr>input_mgmt_az2_host1_fqdn</vt:lpstr>
      <vt:lpstr>input_mgmt_az2_host1_mgmt_ip</vt:lpstr>
      <vt:lpstr>input_mgmt_az2_host1_sddc_id</vt:lpstr>
      <vt:lpstr>input_mgmt_az2_host1_vrms_ip</vt:lpstr>
      <vt:lpstr>input_mgmt_az2_host10_fqdn</vt:lpstr>
      <vt:lpstr>input_mgmt_az2_host10_mgmt_ip</vt:lpstr>
      <vt:lpstr>input_mgmt_az2_host10_vrms_ip</vt:lpstr>
      <vt:lpstr>input_mgmt_az2_host11_fqdn</vt:lpstr>
      <vt:lpstr>input_mgmt_az2_host11_mgmt_ip</vt:lpstr>
      <vt:lpstr>input_mgmt_az2_host11_vrms_ip</vt:lpstr>
      <vt:lpstr>input_mgmt_az2_host12_fqdn</vt:lpstr>
      <vt:lpstr>input_mgmt_az2_host12_mgmt_ip</vt:lpstr>
      <vt:lpstr>input_mgmt_az2_host12_vrms_ip</vt:lpstr>
      <vt:lpstr>input_mgmt_az2_host13_fqdn</vt:lpstr>
      <vt:lpstr>input_mgmt_az2_host13_mgmt_ip</vt:lpstr>
      <vt:lpstr>input_mgmt_az2_host13_vrms_ip</vt:lpstr>
      <vt:lpstr>input_mgmt_az2_host14_fqdn</vt:lpstr>
      <vt:lpstr>input_mgmt_az2_host14_mgmt_ip</vt:lpstr>
      <vt:lpstr>input_mgmt_az2_host14_vrms_ip</vt:lpstr>
      <vt:lpstr>input_mgmt_az2_host15_fqdn</vt:lpstr>
      <vt:lpstr>input_mgmt_az2_host15_mgmt_ip</vt:lpstr>
      <vt:lpstr>input_mgmt_az2_host15_vrms_ip</vt:lpstr>
      <vt:lpstr>input_mgmt_az2_host16_fqdn</vt:lpstr>
      <vt:lpstr>input_mgmt_az2_host16_mgmt_ip</vt:lpstr>
      <vt:lpstr>input_mgmt_az2_host16_vrms_ip</vt:lpstr>
      <vt:lpstr>input_mgmt_az2_host2_fqdn</vt:lpstr>
      <vt:lpstr>input_mgmt_az2_host2_mgmt_ip</vt:lpstr>
      <vt:lpstr>input_mgmt_az2_host2_sddc_id</vt:lpstr>
      <vt:lpstr>input_mgmt_az2_host2_vrms_ip</vt:lpstr>
      <vt:lpstr>input_mgmt_az2_host3_fqdn</vt:lpstr>
      <vt:lpstr>input_mgmt_az2_host3_mgmt_ip</vt:lpstr>
      <vt:lpstr>input_mgmt_az2_host3_sddc_id</vt:lpstr>
      <vt:lpstr>input_mgmt_az2_host3_vrms_ip</vt:lpstr>
      <vt:lpstr>input_mgmt_az2_host4_fqdn</vt:lpstr>
      <vt:lpstr>input_mgmt_az2_host4_mgmt_ip</vt:lpstr>
      <vt:lpstr>input_mgmt_az2_host4_sddc_id</vt:lpstr>
      <vt:lpstr>input_mgmt_az2_host4_vrms_ip</vt:lpstr>
      <vt:lpstr>input_mgmt_az2_host5_fqdn</vt:lpstr>
      <vt:lpstr>input_mgmt_az2_host5_mgmt_ip</vt:lpstr>
      <vt:lpstr>input_mgmt_az2_host5_vrms_ip</vt:lpstr>
      <vt:lpstr>input_mgmt_az2_host6_fqdn</vt:lpstr>
      <vt:lpstr>input_mgmt_az2_host6_mgmt_ip</vt:lpstr>
      <vt:lpstr>input_mgmt_az2_host6_vrms_ip</vt:lpstr>
      <vt:lpstr>input_mgmt_az2_host7_fqdn</vt:lpstr>
      <vt:lpstr>input_mgmt_az2_host7_mgmt_ip</vt:lpstr>
      <vt:lpstr>input_mgmt_az2_host7_vrms_ip</vt:lpstr>
      <vt:lpstr>input_mgmt_az2_host8_fqdn</vt:lpstr>
      <vt:lpstr>input_mgmt_az2_host8_mgmt_ip</vt:lpstr>
      <vt:lpstr>input_mgmt_az2_host8_vrms_ip</vt:lpstr>
      <vt:lpstr>input_mgmt_az2_host9_fqdn</vt:lpstr>
      <vt:lpstr>input_mgmt_az2_host9_mgmt_ip</vt:lpstr>
      <vt:lpstr>input_mgmt_az2_host9_vrms_ip</vt:lpstr>
      <vt:lpstr>input_mgmt_az2_mgmt_cidr</vt:lpstr>
      <vt:lpstr>input_mgmt_az2_mgmt_gateway_ip</vt:lpstr>
      <vt:lpstr>input_mgmt_az2_mgmt_mtu</vt:lpstr>
      <vt:lpstr>input_mgmt_az2_mgmt_vlan</vt:lpstr>
      <vt:lpstr>input_mgmt_az2_pool_name</vt:lpstr>
      <vt:lpstr>input_mgmt_az2_secondary_storage_gateway_ip</vt:lpstr>
      <vt:lpstr>input_mgmt_az2_secondary_storage_mask</vt:lpstr>
      <vt:lpstr>input_mgmt_az2_secondary_storage_mtu</vt:lpstr>
      <vt:lpstr>input_mgmt_az2_secondary_storage_network</vt:lpstr>
      <vt:lpstr>input_mgmt_az2_secondary_storage_pool_end_ip</vt:lpstr>
      <vt:lpstr>input_mgmt_az2_secondary_storage_pool_start_ip</vt:lpstr>
      <vt:lpstr>input_mgmt_az2_secondary_storage_vlan</vt:lpstr>
      <vt:lpstr>input_mgmt_az2_tor1_peer_asn</vt:lpstr>
      <vt:lpstr>input_mgmt_az2_tor1_peer_bgp_password</vt:lpstr>
      <vt:lpstr>input_mgmt_az2_tor1_peer_ip</vt:lpstr>
      <vt:lpstr>input_mgmt_az2_tor2_peer_asn</vt:lpstr>
      <vt:lpstr>input_mgmt_az2_tor2_peer_bgp_password</vt:lpstr>
      <vt:lpstr>input_mgmt_az2_tor2_peer_ip</vt:lpstr>
      <vt:lpstr>input_mgmt_az2_vmotion_gateway_ip</vt:lpstr>
      <vt:lpstr>input_mgmt_az2_vmotion_mask</vt:lpstr>
      <vt:lpstr>input_mgmt_az2_vmotion_mtu</vt:lpstr>
      <vt:lpstr>input_mgmt_az2_vmotion_network</vt:lpstr>
      <vt:lpstr>input_mgmt_az2_vmotion_pool_end_ip</vt:lpstr>
      <vt:lpstr>input_mgmt_az2_vmotion_pool_start_ip</vt:lpstr>
      <vt:lpstr>input_mgmt_az2_vmotion_vlan</vt:lpstr>
      <vt:lpstr>input_mgmt_az2_vsan_gateway_ip</vt:lpstr>
      <vt:lpstr>input_mgmt_az2_vsan_mask</vt:lpstr>
      <vt:lpstr>input_mgmt_az2_vsan_mtu</vt:lpstr>
      <vt:lpstr>input_mgmt_az2_vsan_network</vt:lpstr>
      <vt:lpstr>input_mgmt_az2_vsan_pool_end_ip</vt:lpstr>
      <vt:lpstr>input_mgmt_az2_vsan_pool_start_ip</vt:lpstr>
      <vt:lpstr>input_mgmt_az2_vsan_vlan</vt:lpstr>
      <vt:lpstr>input_mgmt_cl01_az1_mgmt_pg</vt:lpstr>
      <vt:lpstr>input_mgmt_cl01_az1_mgmt_vm_pg</vt:lpstr>
      <vt:lpstr>input_mgmt_cl01_az1_nfs_pg</vt:lpstr>
      <vt:lpstr>input_mgmt_cl01_az1_uplink01_pg</vt:lpstr>
      <vt:lpstr>input_mgmt_cl01_az1_uplink02_pg</vt:lpstr>
      <vt:lpstr>input_mgmt_cl01_az1_vcf_mgmt_pg</vt:lpstr>
      <vt:lpstr>input_mgmt_cl01_az1_vmotion_pg</vt:lpstr>
      <vt:lpstr>input_mgmt_cl01_az1_vsan_pg</vt:lpstr>
      <vt:lpstr>input_mgmt_cl01_cluster</vt:lpstr>
      <vt:lpstr>input_mgmt_cl01_cluster_sddc_id</vt:lpstr>
      <vt:lpstr>input_mgmt_cl01_nfs_server_ip</vt:lpstr>
      <vt:lpstr>input_mgmt_cl01_nfs_share</vt:lpstr>
      <vt:lpstr>input_mgmt_cl01_vds01_lag_name</vt:lpstr>
      <vt:lpstr>input_mgmt_cl01_vds01_mtu</vt:lpstr>
      <vt:lpstr>input_mgmt_cl01_vds01_name</vt:lpstr>
      <vt:lpstr>input_mgmt_cl01_vds01_uplink_count</vt:lpstr>
      <vt:lpstr>input_mgmt_cl01_vds01_uplink1</vt:lpstr>
      <vt:lpstr>input_mgmt_cl01_vds01_uplink2</vt:lpstr>
      <vt:lpstr>input_mgmt_cl01_vds02_lag_name</vt:lpstr>
      <vt:lpstr>input_mgmt_cl01_vds02_mtu</vt:lpstr>
      <vt:lpstr>input_mgmt_cl01_vds02_name</vt:lpstr>
      <vt:lpstr>input_mgmt_cl01_vds02_uplink_count</vt:lpstr>
      <vt:lpstr>input_mgmt_cl01_vds02_uplink1</vt:lpstr>
      <vt:lpstr>input_mgmt_cl01_vds02_uplink2</vt:lpstr>
      <vt:lpstr>input_mgmt_cl01_vds03_lag_name</vt:lpstr>
      <vt:lpstr>input_mgmt_cl01_vds03_mtu</vt:lpstr>
      <vt:lpstr>input_mgmt_cl01_vds03_name</vt:lpstr>
      <vt:lpstr>input_mgmt_cl01_vds03_uplink_count</vt:lpstr>
      <vt:lpstr>input_mgmt_cl01_vds03_uplink1</vt:lpstr>
      <vt:lpstr>input_mgmt_cl01_vds03_uplink2</vt:lpstr>
      <vt:lpstr>input_mgmt_cl01_vsan_datastore</vt:lpstr>
      <vt:lpstr>input_mgmt_cross_instance_linked_t0_name</vt:lpstr>
      <vt:lpstr>input_mgmt_datacenter</vt:lpstr>
      <vt:lpstr>input_mgmt_depot_activation_code</vt:lpstr>
      <vt:lpstr>input_mgmt_ec_mtu</vt:lpstr>
      <vt:lpstr>input_mgmt_ec_name</vt:lpstr>
      <vt:lpstr>input_mgmt_ec_rp_name</vt:lpstr>
      <vt:lpstr>input_mgmt_ec01_en01_host_group_affinity_rule_name</vt:lpstr>
      <vt:lpstr>input_mgmt_ec01_en02_host_group_affinity_rule_name</vt:lpstr>
      <vt:lpstr>input_mgmt_en_asn</vt:lpstr>
      <vt:lpstr>input_mgmt_existing_active_nsx_gm</vt:lpstr>
      <vt:lpstr>input_mgmt_existing_cross_instance_t0_name</vt:lpstr>
      <vt:lpstr>input_mgmt_host_overlay_transportzone</vt:lpstr>
      <vt:lpstr>input_mgmt_internet_proxy_address</vt:lpstr>
      <vt:lpstr>input_mgmt_internet_proxy_email</vt:lpstr>
      <vt:lpstr>input_mgmt_internet_proxy_password</vt:lpstr>
      <vt:lpstr>input_mgmt_internet_proxy_port</vt:lpstr>
      <vt:lpstr>input_mgmt_nsxt_en_admin_password</vt:lpstr>
      <vt:lpstr>input_mgmt_nsxt_en_root_password</vt:lpstr>
      <vt:lpstr>input_mgmt_nsxt_federation_global_manager_name</vt:lpstr>
      <vt:lpstr>input_mgmt_nsxt_federation_location_name</vt:lpstr>
      <vt:lpstr>input_mgmt_nsxt_global_mgr_anti_affinity_rule_name</vt:lpstr>
      <vt:lpstr>input_mgmt_nsxt_global_mgr_certificate_id</vt:lpstr>
      <vt:lpstr>input_mgmt_nsxt_global_mgr_cluster_id</vt:lpstr>
      <vt:lpstr>input_mgmt_nsxt_global_mgr_vmca_signed_thumbprint</vt:lpstr>
      <vt:lpstr>input_mgmt_nsxt_global_mgra_fqdn</vt:lpstr>
      <vt:lpstr>input_mgmt_nsxt_global_mgra_hostname</vt:lpstr>
      <vt:lpstr>input_mgmt_nsxt_global_mgra_ip</vt:lpstr>
      <vt:lpstr>input_mgmt_nsxt_global_mgrb_fqdn</vt:lpstr>
      <vt:lpstr>input_mgmt_nsxt_global_mgrb_hostname</vt:lpstr>
      <vt:lpstr>input_mgmt_nsxt_global_mgrb_ip</vt:lpstr>
      <vt:lpstr>input_mgmt_nsxt_global_mgrc_fqdn</vt:lpstr>
      <vt:lpstr>input_mgmt_nsxt_global_mgrc_hostname</vt:lpstr>
      <vt:lpstr>input_mgmt_nsxt_global_mgrc_ip</vt:lpstr>
      <vt:lpstr>input_mgmt_nsxt_gm_fingerprint</vt:lpstr>
      <vt:lpstr>input_mgmt_nsxt_gm_vip_fqdn</vt:lpstr>
      <vt:lpstr>input_mgmt_nsxt_gm_vip_ip</vt:lpstr>
      <vt:lpstr>input_mgmt_nsxt_lm_fingerprint</vt:lpstr>
      <vt:lpstr>input_mgmt_nsxt_mgra_fqdn</vt:lpstr>
      <vt:lpstr>input_mgmt_nsxt_mgra_ip</vt:lpstr>
      <vt:lpstr>input_mgmt_nsxt_mgrb_fqdn</vt:lpstr>
      <vt:lpstr>input_mgmt_nsxt_mgrb_ip</vt:lpstr>
      <vt:lpstr>input_mgmt_nsxt_mgrc_fqdn</vt:lpstr>
      <vt:lpstr>input_mgmt_nsxt_mgrc_ip</vt:lpstr>
      <vt:lpstr>input_mgmt_nsxt_vip_fqdn</vt:lpstr>
      <vt:lpstr>input_mgmt_nsxt_vip_ip</vt:lpstr>
      <vt:lpstr>input_mgmt_nsxt_xreg_t1_name</vt:lpstr>
      <vt:lpstr>input_mgmt_offline_depot_fqdn</vt:lpstr>
      <vt:lpstr>input_mgmt_offline_depot_port</vt:lpstr>
      <vt:lpstr>input_mgmt_recovery_lb_creation_method</vt:lpstr>
      <vt:lpstr>input_mgmt_rtep_overlay_pool_end_ip</vt:lpstr>
      <vt:lpstr>input_mgmt_rtep_overlay_pool_start_ip</vt:lpstr>
      <vt:lpstr>input_mgmt_rwr_recovery_site_az1_mgmt_cidr</vt:lpstr>
      <vt:lpstr>input_mgmt_rwr_vc_fqdn</vt:lpstr>
      <vt:lpstr>input_mgmt_sddc_domain</vt:lpstr>
      <vt:lpstr>input_mgmt_srm_admin_email</vt:lpstr>
      <vt:lpstr>input_mgmt_srm_admin_password</vt:lpstr>
      <vt:lpstr>input_mgmt_srm_database_password</vt:lpstr>
      <vt:lpstr>input_mgmt_srm_days</vt:lpstr>
      <vt:lpstr>input_mgmt_srm_instances_per_day</vt:lpstr>
      <vt:lpstr>input_mgmt_srm_ip</vt:lpstr>
      <vt:lpstr>input_mgmt_srm_logs_pg</vt:lpstr>
      <vt:lpstr>input_mgmt_srm_logs_rp</vt:lpstr>
      <vt:lpstr>input_mgmt_srm_net_pg</vt:lpstr>
      <vt:lpstr>input_mgmt_srm_net_rp</vt:lpstr>
      <vt:lpstr>input_mgmt_srm_p12_password</vt:lpstr>
      <vt:lpstr>input_mgmt_srm_recovery_cluster</vt:lpstr>
      <vt:lpstr>input_mgmt_srm_recovery_datastore</vt:lpstr>
      <vt:lpstr>input_mgmt_srm_recovery_gateway</vt:lpstr>
      <vt:lpstr>input_mgmt_srm_recovery_mask</vt:lpstr>
      <vt:lpstr>input_mgmt_srm_recovery_nsx_ec_name</vt:lpstr>
      <vt:lpstr>input_mgmt_srm_recovery_nsx_location</vt:lpstr>
      <vt:lpstr>input_mgmt_srm_recovery_pg</vt:lpstr>
      <vt:lpstr>input_mgmt_srm_recovery_sddc_manager_domain</vt:lpstr>
      <vt:lpstr>input_mgmt_srm_recovery_sddc_manager_fqdn</vt:lpstr>
      <vt:lpstr>input_mgmt_srm_recovery_sddc_manager_password</vt:lpstr>
      <vt:lpstr>input_mgmt_srm_recovery_sddc_manager_username</vt:lpstr>
      <vt:lpstr>input_mgmt_srm_recovery_t1_si_ip</vt:lpstr>
      <vt:lpstr>input_mgmt_srm_recovery_vcenter_fqdn</vt:lpstr>
      <vt:lpstr>input_mgmt_srm_recovery_vcenter_password</vt:lpstr>
      <vt:lpstr>input_mgmt_srm_recovery_vcenter_username</vt:lpstr>
      <vt:lpstr>input_mgmt_srm_root_password</vt:lpstr>
      <vt:lpstr>input_mgmt_srm_rpo</vt:lpstr>
      <vt:lpstr>input_mgmt_srm_site_name</vt:lpstr>
      <vt:lpstr>input_mgmt_srm_sso_domain_membership</vt:lpstr>
      <vt:lpstr>input_mgmt_srm_vm_folder</vt:lpstr>
      <vt:lpstr>input_mgmt_srm_vm_size</vt:lpstr>
      <vt:lpstr>input_mgmt_srm_vra_pg</vt:lpstr>
      <vt:lpstr>input_mgmt_srm_vra_rp</vt:lpstr>
      <vt:lpstr>input_mgmt_srm_vrops_pg</vt:lpstr>
      <vt:lpstr>input_mgmt_srm_vrops_rp</vt:lpstr>
      <vt:lpstr>input_mgmt_srm_vrslcm_wsa_pg</vt:lpstr>
      <vt:lpstr>input_mgmt_srm_vrslcm_wsa_rp</vt:lpstr>
      <vt:lpstr>input_mgmt_sso_domain</vt:lpstr>
      <vt:lpstr>input_mgmt_sso_domain_username</vt:lpstr>
      <vt:lpstr>input_mgmt_supvr_api_server_fqdn</vt:lpstr>
      <vt:lpstr>input_mgmt_supvr_cp_storage_policy</vt:lpstr>
      <vt:lpstr>input_mgmt_supvr_ed_storage_policy</vt:lpstr>
      <vt:lpstr>input_mgmt_supvr_ic_storage_policy</vt:lpstr>
      <vt:lpstr>input_mgmt_supvr_ip_address_range</vt:lpstr>
      <vt:lpstr>input_mgmt_supvr_mgmt_dns_server</vt:lpstr>
      <vt:lpstr>input_mgmt_supvr_mgmt_dns_zones</vt:lpstr>
      <vt:lpstr>input_mgmt_supvr_mgmt_ntp_server</vt:lpstr>
      <vt:lpstr>input_mgmt_supvr_name</vt:lpstr>
      <vt:lpstr>input_mgmt_supvr_nsx_project</vt:lpstr>
      <vt:lpstr>input_mgmt_supvr_vpc_connectivity_profile</vt:lpstr>
      <vt:lpstr>input_mgmt_supvr_vpc_ext_ip_blocks_name</vt:lpstr>
      <vt:lpstr>input_mgmt_supvr_vpc_priv_cidr</vt:lpstr>
      <vt:lpstr>input_mgmt_supvr_vpc_priv_ip_blocks_name</vt:lpstr>
      <vt:lpstr>input_mgmt_supvr_vpc_service_cidr</vt:lpstr>
      <vt:lpstr>input_mgmt_supvr_wld_dns_server</vt:lpstr>
      <vt:lpstr>input_mgmt_supvr_wld_ntp_server</vt:lpstr>
      <vt:lpstr>input_mgmt_supvr_zone_name</vt:lpstr>
      <vt:lpstr>input_mgmt_tier0_name</vt:lpstr>
      <vt:lpstr>input_mgmt_tier1_name</vt:lpstr>
      <vt:lpstr>input_mgmt_vc_fqdn</vt:lpstr>
      <vt:lpstr>input_mgmt_vc_ip</vt:lpstr>
      <vt:lpstr>input_mgmt_vna_rp_name</vt:lpstr>
      <vt:lpstr>input_mgmt_vnaa_cidr</vt:lpstr>
      <vt:lpstr>input_mgmt_vnaa_fqdn</vt:lpstr>
      <vt:lpstr>input_mgmt_vnab_cidr</vt:lpstr>
      <vt:lpstr>input_mgmt_vnab_fqdn</vt:lpstr>
      <vt:lpstr>input_mgmt_vpc_ext_ip_blocks_cidr</vt:lpstr>
      <vt:lpstr>input_mgmt_vpc_ext_ip_blocks_excluded_ips</vt:lpstr>
      <vt:lpstr>input_mgmt_vpc_ext_ip_blocks_name</vt:lpstr>
      <vt:lpstr>input_mgmt_vpc_ext_ip_blocks_reserved</vt:lpstr>
      <vt:lpstr>input_mgmt_vpc_ext_ip_blocks_visability</vt:lpstr>
      <vt:lpstr>input_mgmt_vpc_priv_ip_blocks_excluded_ips</vt:lpstr>
      <vt:lpstr>input_mgmt_vpc_priv_ip_blocks_name</vt:lpstr>
      <vt:lpstr>input_mgmt_vpc_priv_ip_blocks_reserved</vt:lpstr>
      <vt:lpstr>input_mgmt_vpc_priv_ip_blocks_visability</vt:lpstr>
      <vt:lpstr>input_mgmt_vpc_transit_gateway_ip_blocks_cidr</vt:lpstr>
      <vt:lpstr>input_mgmt_vpc_vna_cluster_name</vt:lpstr>
      <vt:lpstr>input_mgmt_vrms_admin_email</vt:lpstr>
      <vt:lpstr>input_mgmt_vrms_admin_password</vt:lpstr>
      <vt:lpstr>input_mgmt_vrms_hostname</vt:lpstr>
      <vt:lpstr>input_mgmt_vrms_mgmt_ip</vt:lpstr>
      <vt:lpstr>input_mgmt_vrms_p12_password</vt:lpstr>
      <vt:lpstr>input_mgmt_vrms_pg</vt:lpstr>
      <vt:lpstr>input_mgmt_vrms_recovery_replication_cidr</vt:lpstr>
      <vt:lpstr>input_mgmt_vrms_root_password</vt:lpstr>
      <vt:lpstr>input_mgmt_vrms_site_name</vt:lpstr>
      <vt:lpstr>input_mgmt_vrms_vm_folder</vt:lpstr>
      <vt:lpstr>input_mgmt_vrms_vrms_ip</vt:lpstr>
      <vt:lpstr>input_mgmt_vsan_dit_rekey_custom_interval</vt:lpstr>
      <vt:lpstr>input_mgmt_vsan_dit_rekey_default_interval</vt:lpstr>
      <vt:lpstr>input_mgmt_witness_cluster</vt:lpstr>
      <vt:lpstr>input_mgmt_witness_dns1_ip</vt:lpstr>
      <vt:lpstr>input_mgmt_witness_dns2_ip</vt:lpstr>
      <vt:lpstr>input_mgmt_witness_fqdn</vt:lpstr>
      <vt:lpstr>input_mgmt_witness_hostname</vt:lpstr>
      <vt:lpstr>input_mgmt_witness_ip</vt:lpstr>
      <vt:lpstr>input_mgmt_witness_mgmt_pg</vt:lpstr>
      <vt:lpstr>input_mgmt_witness_ntp1_server</vt:lpstr>
      <vt:lpstr>input_mgmt_witness_ntp2_server</vt:lpstr>
      <vt:lpstr>input_mgmt_witness_root_password</vt:lpstr>
      <vt:lpstr>input_mgmt_witness_vm_folder</vt:lpstr>
      <vt:lpstr>input_mgmt_witness_vsan_datastore</vt:lpstr>
      <vt:lpstr>input_mgmt_witness_zone_vc_fqdn</vt:lpstr>
      <vt:lpstr>input_mgmt_witness_zone_vc_ip</vt:lpstr>
      <vt:lpstr>input_mgmt_witnessaz_mgmt_cidr</vt:lpstr>
      <vt:lpstr>input_mgmt_witnessaz_mgmt_gateway_ip</vt:lpstr>
      <vt:lpstr>input_mgmt_witnessaz_mgmt_mtu</vt:lpstr>
      <vt:lpstr>input_mgmt_witnessaz_mgmt_vlan</vt:lpstr>
      <vt:lpstr>input_nsxt_gm_admin_password</vt:lpstr>
      <vt:lpstr>input_nsxt_gm_audit_password</vt:lpstr>
      <vt:lpstr>input_nsxt_gm_root_password</vt:lpstr>
      <vt:lpstr>input_nsxt_lm_admin_password</vt:lpstr>
      <vt:lpstr>input_nsxt_lm_audit_password</vt:lpstr>
      <vt:lpstr>input_nsxt_lm_root_password</vt:lpstr>
      <vt:lpstr>input_parent_ad_groups_ou</vt:lpstr>
      <vt:lpstr>input_parent_ad_users_ou</vt:lpstr>
      <vt:lpstr>input_parent_dns_zone</vt:lpstr>
      <vt:lpstr>input_parent_gg_wsa_admins_group</vt:lpstr>
      <vt:lpstr>input_parent_gg_wsa_directory_admins_group</vt:lpstr>
      <vt:lpstr>input_parent_gg_wsa_read_only_group</vt:lpstr>
      <vt:lpstr>input_region_ad_child_fqdn</vt:lpstr>
      <vt:lpstr>input_region_ad_child_netbios</vt:lpstr>
      <vt:lpstr>input_region_ad_parent_fqdn</vt:lpstr>
      <vt:lpstr>input_region_ad_parent_netbios</vt:lpstr>
      <vt:lpstr>input_region_dns1_ip</vt:lpstr>
      <vt:lpstr>input_region_dns2_ip</vt:lpstr>
      <vt:lpstr>input_region_ntp1_server</vt:lpstr>
      <vt:lpstr>input_region_ntp2_server</vt:lpstr>
      <vt:lpstr>input_rwr_child_dns_zone</vt:lpstr>
      <vt:lpstr>input_rwr_datacenter</vt:lpstr>
      <vt:lpstr>input_rwr_sso_domain_name</vt:lpstr>
      <vt:lpstr>input_rwr_vlr_replication_password</vt:lpstr>
      <vt:lpstr>input_rwr_vrms_pg</vt:lpstr>
      <vt:lpstr>input_sddc_mgr_admin_local_password</vt:lpstr>
      <vt:lpstr>input_sddc_mgr_fqdn</vt:lpstr>
      <vt:lpstr>input_sddc_mgr_ip</vt:lpstr>
      <vt:lpstr>input_sddc_mgr_root_password</vt:lpstr>
      <vt:lpstr>input_sddc_mgr_vcf_password</vt:lpstr>
      <vt:lpstr>input_sftp_server</vt:lpstr>
      <vt:lpstr>input_sftp_server_backup_dir</vt:lpstr>
      <vt:lpstr>input_sftp_server_passphrase</vt:lpstr>
      <vt:lpstr>input_sftp_server_port</vt:lpstr>
      <vt:lpstr>input_sftp_server_protocol</vt:lpstr>
      <vt:lpstr>input_sftp_server_sshfingerprint</vt:lpstr>
      <vt:lpstr>input_smtp_server</vt:lpstr>
      <vt:lpstr>input_smtp_server_port</vt:lpstr>
      <vt:lpstr>input_svc_cbr_vcdr_vsphere_password</vt:lpstr>
      <vt:lpstr>input_svc_cbr_vcdr_vsphere_user</vt:lpstr>
      <vt:lpstr>input_svc_ccm_hcx_nsx_password</vt:lpstr>
      <vt:lpstr>input_svc_ccm_hcx_nsx_user</vt:lpstr>
      <vt:lpstr>input_svc_ccm_hcx_vsphere_password</vt:lpstr>
      <vt:lpstr>input_svc_ccm_hcx_vsphere_user</vt:lpstr>
      <vt:lpstr>input_svc_hrm_vrops_user</vt:lpstr>
      <vt:lpstr>input_svc_ila_ad_password</vt:lpstr>
      <vt:lpstr>input_svc_ila_ad_user</vt:lpstr>
      <vt:lpstr>input_svc_inv_ad_password</vt:lpstr>
      <vt:lpstr>input_svc_inv_ad_user</vt:lpstr>
      <vt:lpstr>input_svc_inv_vrops_password</vt:lpstr>
      <vt:lpstr>input_svc_inv_vrops_user</vt:lpstr>
      <vt:lpstr>input_svc_inv_vsphere_password</vt:lpstr>
      <vt:lpstr>input_svc_inv_vsphere_user</vt:lpstr>
      <vt:lpstr>input_svc_iom_vcf_password</vt:lpstr>
      <vt:lpstr>input_svc_iom_vcf_user</vt:lpstr>
      <vt:lpstr>input_svc_iom_vsphere_password</vt:lpstr>
      <vt:lpstr>input_svc_iom_vsphere_user</vt:lpstr>
      <vt:lpstr>input_svc_my_vmware_password</vt:lpstr>
      <vt:lpstr>input_svc_vcf_bck_password</vt:lpstr>
      <vt:lpstr>input_svc_vcf_bck_user</vt:lpstr>
      <vt:lpstr>input_svc_vcf_ca_vcf_password</vt:lpstr>
      <vt:lpstr>input_svc_vcf_ca_vcf_user</vt:lpstr>
      <vt:lpstr>input_svc_vra_nsx_password</vt:lpstr>
      <vt:lpstr>input_svc_vra_nsx_user</vt:lpstr>
      <vt:lpstr>input_svc_vra_vcf_password</vt:lpstr>
      <vt:lpstr>input_svc_vra_vcf_user</vt:lpstr>
      <vt:lpstr>input_svc_vra_vrops_password</vt:lpstr>
      <vt:lpstr>input_svc_vra_vrops_user</vt:lpstr>
      <vt:lpstr>input_svc_vra_vsphere_password</vt:lpstr>
      <vt:lpstr>input_svc_vra_vsphere_user</vt:lpstr>
      <vt:lpstr>input_svc_vro_vsphere_password</vt:lpstr>
      <vt:lpstr>input_svc_vro_vsphere_user</vt:lpstr>
      <vt:lpstr>input_svc_vrops_vra_password</vt:lpstr>
      <vt:lpstr>input_svc_vrops_vra_user</vt:lpstr>
      <vt:lpstr>input_vcenter_root_password</vt:lpstr>
      <vt:lpstr>input_vcf_automation_additional_vips</vt:lpstr>
      <vt:lpstr>input_vcf_automation_admin_password</vt:lpstr>
      <vt:lpstr>input_vcf_automation_admin_password_alias</vt:lpstr>
      <vt:lpstr>input_vcf_automation_admin_password_description</vt:lpstr>
      <vt:lpstr>input_vcf_automation_admin_username</vt:lpstr>
      <vt:lpstr>input_vcf_automation_cert_alias</vt:lpstr>
      <vt:lpstr>input_vcf_automation_cert_common_name</vt:lpstr>
      <vt:lpstr>input_vcf_automation_cert_country_code</vt:lpstr>
      <vt:lpstr>input_vcf_automation_cert_file</vt:lpstr>
      <vt:lpstr>input_vcf_automation_cert_locality</vt:lpstr>
      <vt:lpstr>input_vcf_automation_cert_organisation</vt:lpstr>
      <vt:lpstr>input_vcf_automation_cert_state</vt:lpstr>
      <vt:lpstr>input_vcf_automation_folder</vt:lpstr>
      <vt:lpstr>input_vcf_automation_gateway_ip</vt:lpstr>
      <vt:lpstr>input_vcf_automation_mask</vt:lpstr>
      <vt:lpstr>input_vcf_automation_node_pool_end_ip</vt:lpstr>
      <vt:lpstr>input_vcf_automation_node_pool_start_ip</vt:lpstr>
      <vt:lpstr>input_vcf_automation_nodea_ip</vt:lpstr>
      <vt:lpstr>input_vcf_automation_nodeb_ip</vt:lpstr>
      <vt:lpstr>input_vcf_automation_nodec_ip</vt:lpstr>
      <vt:lpstr>input_vcf_automation_noded_ip</vt:lpstr>
      <vt:lpstr>input_vcf_automation_nodee_ip</vt:lpstr>
      <vt:lpstr>input_vcf_automation_nodeef_ip</vt:lpstr>
      <vt:lpstr>input_vcf_automation_ou_cert</vt:lpstr>
      <vt:lpstr>input_vcf_automation_portgroup</vt:lpstr>
      <vt:lpstr>input_vcf_automation_resource_pool</vt:lpstr>
      <vt:lpstr>input_vcf_automation_root_password</vt:lpstr>
      <vt:lpstr>input_vcf_automation_root_password_alias</vt:lpstr>
      <vt:lpstr>input_vcf_automation_root_password_description</vt:lpstr>
      <vt:lpstr>input_vcf_automation_root_username</vt:lpstr>
      <vt:lpstr>input_vcf_automation_runtime_cidr</vt:lpstr>
      <vt:lpstr>input_vcf_automation_sr_fqdn</vt:lpstr>
      <vt:lpstr>input_vcf_automation_sr_ip</vt:lpstr>
      <vt:lpstr>input_vcf_automation_version</vt:lpstr>
      <vt:lpstr>input_vcf_automation_vip_fqdn</vt:lpstr>
      <vt:lpstr>input_vcf_automation_vip_ip</vt:lpstr>
      <vt:lpstr>input_vcf_installer_fqdn</vt:lpstr>
      <vt:lpstr>input_vcf_installer_ip</vt:lpstr>
      <vt:lpstr>input_vcf_instance_name</vt:lpstr>
      <vt:lpstr>input_vcfms_system_password</vt:lpstr>
      <vt:lpstr>input_vvs_dr_dns1_ip</vt:lpstr>
      <vt:lpstr>input_vvs_dr_dns2_ip</vt:lpstr>
      <vt:lpstr>input_vvs_dr_flt_auto_fqdn</vt:lpstr>
      <vt:lpstr>input_vvs_dr_flt_fleet_manager_fqdn</vt:lpstr>
      <vt:lpstr>input_vvs_dr_flt_logs_nodea_fqdn</vt:lpstr>
      <vt:lpstr>input_vvs_dr_flt_logs_nodeb_fqdn</vt:lpstr>
      <vt:lpstr>input_vvs_dr_flt_logs_nodec_fqdn</vt:lpstr>
      <vt:lpstr>input_vvs_dr_flt_net_nodea_fqdn</vt:lpstr>
      <vt:lpstr>input_vvs_dr_flt_net_nodeb_fqdn</vt:lpstr>
      <vt:lpstr>input_vvs_dr_flt_net_nodec_fqdn</vt:lpstr>
      <vt:lpstr>input_vvs_dr_flt_ops_nodea_fqdn</vt:lpstr>
      <vt:lpstr>input_vvs_dr_flt_ops_nodeb_fqdn</vt:lpstr>
      <vt:lpstr>input_vvs_dr_flt_ops_nodec_fqdn</vt:lpstr>
      <vt:lpstr>input_vvs_dr_mgmt_az1_mgmt_vm_pg</vt:lpstr>
      <vt:lpstr>input_vvs_dr_mgmt_cl01_cluster</vt:lpstr>
      <vt:lpstr>input_vvs_dr_mgmt_cl01_datastore</vt:lpstr>
      <vt:lpstr>input_vvs_dr_mgmt_vc_fqdn</vt:lpstr>
      <vt:lpstr>input_vvs_dr_ntp1_server</vt:lpstr>
      <vt:lpstr>input_vvs_dr_parent_dns_zone</vt:lpstr>
      <vt:lpstr>input_vvs_dr_sso_domain</vt:lpstr>
      <vt:lpstr>input_vvs_dr_vr_password</vt:lpstr>
      <vt:lpstr>input_vvs_dr_vr_username</vt:lpstr>
      <vt:lpstr>input_vvs_mgmt_dr_vlr_fqdn</vt:lpstr>
      <vt:lpstr>input_vvs_mgmt_dr_vlr_hostname</vt:lpstr>
      <vt:lpstr>input_witness_dns_zone</vt:lpstr>
      <vt:lpstr>input_wld_administrator_vsphere_local_password</vt:lpstr>
      <vt:lpstr>input_wld_avilb_cluster_name</vt:lpstr>
      <vt:lpstr>input_wld_avilb_cluster_version</vt:lpstr>
      <vt:lpstr>input_wld_avilb_fqdn</vt:lpstr>
      <vt:lpstr>input_wld_avilb_ip</vt:lpstr>
      <vt:lpstr>input_wld_avilb_mgra_ip</vt:lpstr>
      <vt:lpstr>input_wld_avilb_mgrb_ip</vt:lpstr>
      <vt:lpstr>input_wld_avilb_mgrc_ip</vt:lpstr>
      <vt:lpstr>input_wld_az1_dtgw_gateway_cidr</vt:lpstr>
      <vt:lpstr>input_wld_az1_dtgw_vlan</vt:lpstr>
      <vt:lpstr>input_wld_az1_edge_overlay_cidr</vt:lpstr>
      <vt:lpstr>input_wld_az1_edge_overlay_gateway_ip</vt:lpstr>
      <vt:lpstr>input_wld_az1_edge_overlay_mask</vt:lpstr>
      <vt:lpstr>input_wld_az1_edge_overlay_network_pool_name</vt:lpstr>
      <vt:lpstr>input_wld_az1_edge_overlay_pool_end_ip</vt:lpstr>
      <vt:lpstr>input_wld_az1_edge_overlay_pool_start_ip</vt:lpstr>
      <vt:lpstr>input_wld_az1_edge_overlay_vlan</vt:lpstr>
      <vt:lpstr>input_wld_az1_en1_edge_overlay_interface_ip_1_ip</vt:lpstr>
      <vt:lpstr>input_wld_az1_en1_edge_overlay_interface_ip_2_ip</vt:lpstr>
      <vt:lpstr>input_wld_az1_en1_eth0_uplink0</vt:lpstr>
      <vt:lpstr>input_wld_az1_en1_eth0_uplink1</vt:lpstr>
      <vt:lpstr>input_wld_az1_en1_eth1_uplink0</vt:lpstr>
      <vt:lpstr>input_wld_az1_en1_eth1_uplink1</vt:lpstr>
      <vt:lpstr>input_wld_az1_en1_fqdn</vt:lpstr>
      <vt:lpstr>input_wld_az1_en1_mgmt_cidr</vt:lpstr>
      <vt:lpstr>input_wld_az1_en1_uplink01_interface_cidr</vt:lpstr>
      <vt:lpstr>input_wld_az1_en1_uplink02_interface_cidr</vt:lpstr>
      <vt:lpstr>input_wld_az1_en2_edge_overlay_interface_ip_1_ip</vt:lpstr>
      <vt:lpstr>input_wld_az1_en2_edge_overlay_interface_ip_2_ip</vt:lpstr>
      <vt:lpstr>input_wld_az1_en2_eth0_uplink0</vt:lpstr>
      <vt:lpstr>input_wld_az1_en2_eth0_uplink1</vt:lpstr>
      <vt:lpstr>input_wld_az1_en2_eth1_uplink0</vt:lpstr>
      <vt:lpstr>input_wld_az1_en2_eth1_uplink1</vt:lpstr>
      <vt:lpstr>input_wld_az1_en2_fqdn</vt:lpstr>
      <vt:lpstr>input_wld_az1_en2_mgmt_cidr</vt:lpstr>
      <vt:lpstr>input_wld_az1_en2_uplink01_interface_cidr</vt:lpstr>
      <vt:lpstr>input_wld_az1_en2_uplink02_interface_cidr</vt:lpstr>
      <vt:lpstr>input_wld_az1_host_overlay_cidr</vt:lpstr>
      <vt:lpstr>input_wld_az1_host_overlay_gateway_ip</vt:lpstr>
      <vt:lpstr>input_wld_az1_host_overlay_mtu</vt:lpstr>
      <vt:lpstr>input_wld_az1_host_overlay_network_pool_description</vt:lpstr>
      <vt:lpstr>input_wld_az1_host_overlay_network_pool_name</vt:lpstr>
      <vt:lpstr>input_wld_az1_host_overlay_pool_end_ip</vt:lpstr>
      <vt:lpstr>input_wld_az1_host_overlay_pool_start_ip</vt:lpstr>
      <vt:lpstr>input_wld_az1_host_overlay_uplink_profile_name</vt:lpstr>
      <vt:lpstr>input_wld_az1_host_overlay_vlan</vt:lpstr>
      <vt:lpstr>input_wld_az1_host1_fqdn</vt:lpstr>
      <vt:lpstr>input_wld_az1_host1_mgmt_ip</vt:lpstr>
      <vt:lpstr>input_wld_az1_host1_vrms_ip</vt:lpstr>
      <vt:lpstr>input_wld_az1_host10_fqdn</vt:lpstr>
      <vt:lpstr>input_wld_az1_host10_mgmt_ip</vt:lpstr>
      <vt:lpstr>input_wld_az1_host10_vrms_ip</vt:lpstr>
      <vt:lpstr>input_wld_az1_host11_fqdn</vt:lpstr>
      <vt:lpstr>input_wld_az1_host11_mgmt_ip</vt:lpstr>
      <vt:lpstr>input_wld_az1_host11_vrms_ip</vt:lpstr>
      <vt:lpstr>input_wld_az1_host12_fqdn</vt:lpstr>
      <vt:lpstr>input_wld_az1_host12_mgmt_ip</vt:lpstr>
      <vt:lpstr>input_wld_az1_host12_vrms_ip</vt:lpstr>
      <vt:lpstr>input_wld_az1_host13_fqdn</vt:lpstr>
      <vt:lpstr>input_wld_az1_host13_mgmt_ip</vt:lpstr>
      <vt:lpstr>input_wld_az1_host13_vrms_ip</vt:lpstr>
      <vt:lpstr>input_wld_az1_host14_fqdn</vt:lpstr>
      <vt:lpstr>input_wld_az1_host14_mgmt_ip</vt:lpstr>
      <vt:lpstr>input_wld_az1_host14_vrms_ip</vt:lpstr>
      <vt:lpstr>input_wld_az1_host15_fqdn</vt:lpstr>
      <vt:lpstr>input_wld_az1_host15_mgmt_ip</vt:lpstr>
      <vt:lpstr>input_wld_az1_host15_vrms_ip</vt:lpstr>
      <vt:lpstr>input_wld_az1_host16_fqdn</vt:lpstr>
      <vt:lpstr>input_wld_az1_host16_mgmt_ip</vt:lpstr>
      <vt:lpstr>input_wld_az1_host16_vrms_ip</vt:lpstr>
      <vt:lpstr>input_wld_az1_host2_fqdn</vt:lpstr>
      <vt:lpstr>input_wld_az1_host2_mgmt_ip</vt:lpstr>
      <vt:lpstr>input_wld_az1_host2_vrms_ip</vt:lpstr>
      <vt:lpstr>input_wld_az1_host3_fqdn</vt:lpstr>
      <vt:lpstr>input_wld_az1_host3_mgmt_ip</vt:lpstr>
      <vt:lpstr>input_wld_az1_host3_vrms_ip</vt:lpstr>
      <vt:lpstr>input_wld_az1_host4_fqdn</vt:lpstr>
      <vt:lpstr>input_wld_az1_host4_mgmt_ip</vt:lpstr>
      <vt:lpstr>input_wld_az1_host4_vrms_ip</vt:lpstr>
      <vt:lpstr>input_wld_az1_host5_fqdn</vt:lpstr>
      <vt:lpstr>input_wld_az1_host5_mgmt_ip</vt:lpstr>
      <vt:lpstr>input_wld_az1_host5_vrms_ip</vt:lpstr>
      <vt:lpstr>input_wld_az1_host6_fqdn</vt:lpstr>
      <vt:lpstr>input_wld_az1_host6_mgmt_ip</vt:lpstr>
      <vt:lpstr>input_wld_az1_host6_vrms_ip</vt:lpstr>
      <vt:lpstr>input_wld_az1_host7_fqdn</vt:lpstr>
      <vt:lpstr>input_wld_az1_host7_mgmt_ip</vt:lpstr>
      <vt:lpstr>input_wld_az1_host7_vrms_ip</vt:lpstr>
      <vt:lpstr>input_wld_az1_host8_fqdn</vt:lpstr>
      <vt:lpstr>input_wld_az1_host8_mgmt_ip</vt:lpstr>
      <vt:lpstr>input_wld_az1_host8_vrms_ip</vt:lpstr>
      <vt:lpstr>input_wld_az1_host9_fqdn</vt:lpstr>
      <vt:lpstr>input_wld_az1_host9_mgmt_ip</vt:lpstr>
      <vt:lpstr>input_wld_az1_host9_vrms_ip</vt:lpstr>
      <vt:lpstr>input_wld_az1_mgmt_gateway_cidr</vt:lpstr>
      <vt:lpstr>input_wld_az1_mgmt_mtu</vt:lpstr>
      <vt:lpstr>input_wld_az1_mgmt_vlan</vt:lpstr>
      <vt:lpstr>input_wld_az1_mgmt_vm_gateway_cidr</vt:lpstr>
      <vt:lpstr>input_wld_az1_mgmt_vm_mtu</vt:lpstr>
      <vt:lpstr>input_wld_az1_mgmt_vm_vlan</vt:lpstr>
      <vt:lpstr>input_wld_az1_pool_name</vt:lpstr>
      <vt:lpstr>input_wld_az1_principal_storage_gateway_cidr</vt:lpstr>
      <vt:lpstr>input_wld_az1_principal_storage_mtu</vt:lpstr>
      <vt:lpstr>input_wld_az1_principal_storage_pool_end_ip</vt:lpstr>
      <vt:lpstr>input_wld_az1_principal_storage_pool_start_ip</vt:lpstr>
      <vt:lpstr>input_wld_az1_principal_storage_vlan</vt:lpstr>
      <vt:lpstr>input_wld_az1_rack1_host_overlay_network_profile_name</vt:lpstr>
      <vt:lpstr>input_wld_az1_rack2_edge_overlay_gateway_ip</vt:lpstr>
      <vt:lpstr>input_wld_az1_rack2_edge_overlay_mask</vt:lpstr>
      <vt:lpstr>input_wld_az1_rack2_edge_overlay_mtu</vt:lpstr>
      <vt:lpstr>input_wld_az1_rack2_edge_overlay_network</vt:lpstr>
      <vt:lpstr>input_wld_az1_rack2_edge_overlay_network_pool_name</vt:lpstr>
      <vt:lpstr>input_wld_az1_rack2_edge_overlay_pool_end_ip</vt:lpstr>
      <vt:lpstr>input_wld_az1_rack2_edge_overlay_pool_start_ip</vt:lpstr>
      <vt:lpstr>input_wld_az1_rack2_edge_overlay_vlan</vt:lpstr>
      <vt:lpstr>input_wld_az1_rack2_host_overlay_cidr</vt:lpstr>
      <vt:lpstr>input_wld_az1_rack2_host_overlay_gateway_ip</vt:lpstr>
      <vt:lpstr>input_wld_az1_rack2_host_overlay_mask</vt:lpstr>
      <vt:lpstr>input_wld_az1_rack2_host_overlay_mtu</vt:lpstr>
      <vt:lpstr>input_wld_az1_rack2_host_overlay_network</vt:lpstr>
      <vt:lpstr>input_wld_az1_rack2_host_overlay_network_pool_name</vt:lpstr>
      <vt:lpstr>input_wld_az1_rack2_host_overlay_network_profile_name</vt:lpstr>
      <vt:lpstr>input_wld_az1_rack2_host_overlay_pool_end_ip</vt:lpstr>
      <vt:lpstr>input_wld_az1_rack2_host_overlay_pool_start_ip</vt:lpstr>
      <vt:lpstr>input_wld_az1_rack2_host_overlay_uplink_profile_name</vt:lpstr>
      <vt:lpstr>input_wld_az1_rack2_host_overlay_vlan</vt:lpstr>
      <vt:lpstr>input_wld_az1_rack2_host1_fqdn</vt:lpstr>
      <vt:lpstr>input_wld_az1_rack2_host1_mgmt_ip</vt:lpstr>
      <vt:lpstr>input_wld_az1_rack2_host10_fqdn</vt:lpstr>
      <vt:lpstr>input_wld_az1_rack2_host10_mgmt_ip</vt:lpstr>
      <vt:lpstr>input_wld_az1_rack2_host11_fqdn</vt:lpstr>
      <vt:lpstr>input_wld_az1_rack2_host11_mgmt_ip</vt:lpstr>
      <vt:lpstr>input_wld_az1_rack2_host12_fqdn</vt:lpstr>
      <vt:lpstr>input_wld_az1_rack2_host12_mgmt_ip</vt:lpstr>
      <vt:lpstr>input_wld_az1_rack2_host13_fqdn</vt:lpstr>
      <vt:lpstr>input_wld_az1_rack2_host13_mgmt_ip</vt:lpstr>
      <vt:lpstr>input_wld_az1_rack2_host14_fqdn</vt:lpstr>
      <vt:lpstr>input_wld_az1_rack2_host14_mgmt_ip</vt:lpstr>
      <vt:lpstr>input_wld_az1_rack2_host15_fqdn</vt:lpstr>
      <vt:lpstr>input_wld_az1_rack2_host15_mgmt_ip</vt:lpstr>
      <vt:lpstr>input_wld_az1_rack2_host16_fqdn</vt:lpstr>
      <vt:lpstr>input_wld_az1_rack2_host16_mgmt_ip</vt:lpstr>
      <vt:lpstr>input_wld_az1_rack2_host2_fqdn</vt:lpstr>
      <vt:lpstr>input_wld_az1_rack2_host2_mgmt_ip</vt:lpstr>
      <vt:lpstr>input_wld_az1_rack2_host3_fqdn</vt:lpstr>
      <vt:lpstr>input_wld_az1_rack2_host3_mgmt_ip</vt:lpstr>
      <vt:lpstr>input_wld_az1_rack2_host4_fqdn</vt:lpstr>
      <vt:lpstr>input_wld_az1_rack2_host4_mgmt_ip</vt:lpstr>
      <vt:lpstr>input_wld_az1_rack2_host5_fqdn</vt:lpstr>
      <vt:lpstr>input_wld_az1_rack2_host5_mgmt_ip</vt:lpstr>
      <vt:lpstr>input_wld_az1_rack2_host6_fqdn</vt:lpstr>
      <vt:lpstr>input_wld_az1_rack2_host6_mgmt_ip</vt:lpstr>
      <vt:lpstr>input_wld_az1_rack2_host7_fqdn</vt:lpstr>
      <vt:lpstr>input_wld_az1_rack2_host7_mgmt_ip</vt:lpstr>
      <vt:lpstr>input_wld_az1_rack2_host8_fqdn</vt:lpstr>
      <vt:lpstr>input_wld_az1_rack2_host8_mgmt_ip</vt:lpstr>
      <vt:lpstr>input_wld_az1_rack2_host9_fqdn</vt:lpstr>
      <vt:lpstr>input_wld_az1_rack2_host9_mgmt_ip</vt:lpstr>
      <vt:lpstr>input_wld_az1_rack2_mgmt_cidr</vt:lpstr>
      <vt:lpstr>input_wld_az1_rack2_mgmt_gateway_ip</vt:lpstr>
      <vt:lpstr>input_wld_az1_rack2_mgmt_mtu</vt:lpstr>
      <vt:lpstr>input_wld_az1_rack2_mgmt_vlan</vt:lpstr>
      <vt:lpstr>input_wld_az1_rack2_mgmt_vm_cidr</vt:lpstr>
      <vt:lpstr>input_wld_az1_rack2_mgmt_vm_gateway_ip</vt:lpstr>
      <vt:lpstr>input_wld_az1_rack2_mgmt_vm_mtu</vt:lpstr>
      <vt:lpstr>input_wld_az1_rack2_mgmt_vm_vlan</vt:lpstr>
      <vt:lpstr>input_wld_az1_rack2_pool_name</vt:lpstr>
      <vt:lpstr>input_wld_az1_rack2_principal_storage_cidr</vt:lpstr>
      <vt:lpstr>input_wld_az1_rack2_principal_storage_gateway_ip</vt:lpstr>
      <vt:lpstr>input_wld_az1_rack2_principal_storage_mask</vt:lpstr>
      <vt:lpstr>input_wld_az1_rack2_principal_storage_mtu</vt:lpstr>
      <vt:lpstr>input_wld_az1_rack2_principal_storage_network</vt:lpstr>
      <vt:lpstr>input_wld_az1_rack2_principal_storage_pool_end_ip</vt:lpstr>
      <vt:lpstr>input_wld_az1_rack2_principal_storage_pool_start_ip</vt:lpstr>
      <vt:lpstr>input_wld_az1_rack2_principal_storage_vlan</vt:lpstr>
      <vt:lpstr>input_wld_az1_rack2_rtep_ip_pool_name</vt:lpstr>
      <vt:lpstr>input_wld_az1_rack2_secondary_storage_cidr</vt:lpstr>
      <vt:lpstr>input_wld_az1_rack2_secondary_storage_gateway_ip</vt:lpstr>
      <vt:lpstr>input_wld_az1_rack2_secondary_storage_mask</vt:lpstr>
      <vt:lpstr>input_wld_az1_rack2_secondary_storage_mtu</vt:lpstr>
      <vt:lpstr>input_wld_az1_rack2_secondary_storage_network</vt:lpstr>
      <vt:lpstr>input_wld_az1_rack2_secondary_storage_pool_end_ip</vt:lpstr>
      <vt:lpstr>input_wld_az1_rack2_secondary_storage_pool_start_ip</vt:lpstr>
      <vt:lpstr>input_wld_az1_rack2_secondary_storage_vlan</vt:lpstr>
      <vt:lpstr>input_wld_az1_rack2_tor1_peer_asn</vt:lpstr>
      <vt:lpstr>input_wld_az1_rack2_tor1_peer_bgp_password</vt:lpstr>
      <vt:lpstr>input_wld_az1_rack2_tor1_peer_ip</vt:lpstr>
      <vt:lpstr>input_wld_az1_rack2_tor2_peer_asn</vt:lpstr>
      <vt:lpstr>input_wld_az1_rack2_tor2_peer_bgp_password</vt:lpstr>
      <vt:lpstr>input_wld_az1_rack2_tor2_peer_ip</vt:lpstr>
      <vt:lpstr>input_wld_az1_rack2_uplink01_gateway_ip</vt:lpstr>
      <vt:lpstr>input_wld_az1_rack2_uplink01_mask</vt:lpstr>
      <vt:lpstr>input_wld_az1_rack2_uplink01_mtu</vt:lpstr>
      <vt:lpstr>input_wld_az1_rack2_uplink01_network</vt:lpstr>
      <vt:lpstr>input_wld_az1_rack2_uplink01_vlan</vt:lpstr>
      <vt:lpstr>input_wld_az1_rack2_uplink02_gateway_ip</vt:lpstr>
      <vt:lpstr>input_wld_az1_rack2_uplink02_mask</vt:lpstr>
      <vt:lpstr>input_wld_az1_rack2_uplink02_mtu</vt:lpstr>
      <vt:lpstr>input_wld_az1_rack2_uplink02_network</vt:lpstr>
      <vt:lpstr>input_wld_az1_rack2_uplink02_vlan</vt:lpstr>
      <vt:lpstr>input_wld_az1_rack2_vmotion_cidr</vt:lpstr>
      <vt:lpstr>input_wld_az1_rack2_vmotion_gateway_ip</vt:lpstr>
      <vt:lpstr>input_wld_az1_rack2_vmotion_mask</vt:lpstr>
      <vt:lpstr>input_wld_az1_rack2_vmotion_mtu</vt:lpstr>
      <vt:lpstr>input_wld_az1_rack2_vmotion_network</vt:lpstr>
      <vt:lpstr>input_wld_az1_rack2_vmotion_pool_end_ip</vt:lpstr>
      <vt:lpstr>input_wld_az1_rack2_vmotion_pool_start_ip</vt:lpstr>
      <vt:lpstr>input_wld_az1_rack2_vmotion_vlan</vt:lpstr>
      <vt:lpstr>input_wld_az1_rack2_vsan_fault_domain</vt:lpstr>
      <vt:lpstr>input_wld_az1_rack3_edge_overlay_gateway_ip</vt:lpstr>
      <vt:lpstr>input_wld_az1_rack3_edge_overlay_mask</vt:lpstr>
      <vt:lpstr>input_wld_az1_rack3_edge_overlay_mtu</vt:lpstr>
      <vt:lpstr>input_wld_az1_rack3_edge_overlay_network</vt:lpstr>
      <vt:lpstr>input_wld_az1_rack3_edge_overlay_network_pool_name</vt:lpstr>
      <vt:lpstr>input_wld_az1_rack3_edge_overlay_pool_end_ip</vt:lpstr>
      <vt:lpstr>input_wld_az1_rack3_edge_overlay_pool_start_ip</vt:lpstr>
      <vt:lpstr>input_wld_az1_rack3_edge_overlay_vlan</vt:lpstr>
      <vt:lpstr>input_wld_az1_rack3_host_overlay_cidr</vt:lpstr>
      <vt:lpstr>input_wld_az1_rack3_host_overlay_gateway_ip</vt:lpstr>
      <vt:lpstr>input_wld_az1_rack3_host_overlay_mask</vt:lpstr>
      <vt:lpstr>input_wld_az1_rack3_host_overlay_mtu</vt:lpstr>
      <vt:lpstr>input_wld_az1_rack3_host_overlay_network</vt:lpstr>
      <vt:lpstr>input_wld_az1_rack3_host_overlay_network_pool_name</vt:lpstr>
      <vt:lpstr>input_wld_az1_rack3_host_overlay_network_profile_name</vt:lpstr>
      <vt:lpstr>input_wld_az1_rack3_host_overlay_pool_end_ip</vt:lpstr>
      <vt:lpstr>input_wld_az1_rack3_host_overlay_pool_start_ip</vt:lpstr>
      <vt:lpstr>input_wld_az1_rack3_host_overlay_uplink_profile_name</vt:lpstr>
      <vt:lpstr>input_wld_az1_rack3_host_overlay_vlan</vt:lpstr>
      <vt:lpstr>input_wld_az1_rack3_host1_fqdn</vt:lpstr>
      <vt:lpstr>input_wld_az1_rack3_host1_mgmt_ip</vt:lpstr>
      <vt:lpstr>input_wld_az1_rack3_host10_fqdn</vt:lpstr>
      <vt:lpstr>input_wld_az1_rack3_host10_mgmt_ip</vt:lpstr>
      <vt:lpstr>input_wld_az1_rack3_host11_fqdn</vt:lpstr>
      <vt:lpstr>input_wld_az1_rack3_host11_mgmt_ip</vt:lpstr>
      <vt:lpstr>input_wld_az1_rack3_host12_fqdn</vt:lpstr>
      <vt:lpstr>input_wld_az1_rack3_host12_mgmt_ip</vt:lpstr>
      <vt:lpstr>input_wld_az1_rack3_host13_fqdn</vt:lpstr>
      <vt:lpstr>input_wld_az1_rack3_host13_mgmt_ip</vt:lpstr>
      <vt:lpstr>input_wld_az1_rack3_host14_fqdn</vt:lpstr>
      <vt:lpstr>input_wld_az1_rack3_host14_mgmt_ip</vt:lpstr>
      <vt:lpstr>input_wld_az1_rack3_host15_fqdn</vt:lpstr>
      <vt:lpstr>input_wld_az1_rack3_host15_mgmt_ip</vt:lpstr>
      <vt:lpstr>input_wld_az1_rack3_host16_fqdn</vt:lpstr>
      <vt:lpstr>input_wld_az1_rack3_host16_mgmt_ip</vt:lpstr>
      <vt:lpstr>input_wld_az1_rack3_host2_fqdn</vt:lpstr>
      <vt:lpstr>input_wld_az1_rack3_host2_mgmt_ip</vt:lpstr>
      <vt:lpstr>input_wld_az1_rack3_host3_fqdn</vt:lpstr>
      <vt:lpstr>input_wld_az1_rack3_host3_mgmt_ip</vt:lpstr>
      <vt:lpstr>input_wld_az1_rack3_host4_fqdn</vt:lpstr>
      <vt:lpstr>input_wld_az1_rack3_host4_mgmt_ip</vt:lpstr>
      <vt:lpstr>input_wld_az1_rack3_host5_fqdn</vt:lpstr>
      <vt:lpstr>input_wld_az1_rack3_host5_mgmt_ip</vt:lpstr>
      <vt:lpstr>input_wld_az1_rack3_host6_fqdn</vt:lpstr>
      <vt:lpstr>input_wld_az1_rack3_host6_mgmt_ip</vt:lpstr>
      <vt:lpstr>input_wld_az1_rack3_host7_fqdn</vt:lpstr>
      <vt:lpstr>input_wld_az1_rack3_host7_mgmt_ip</vt:lpstr>
      <vt:lpstr>input_wld_az1_rack3_host8_fqdn</vt:lpstr>
      <vt:lpstr>input_wld_az1_rack3_host8_mgmt_ip</vt:lpstr>
      <vt:lpstr>input_wld_az1_rack3_host9_fqdn</vt:lpstr>
      <vt:lpstr>input_wld_az1_rack3_host9_mgmt_ip</vt:lpstr>
      <vt:lpstr>input_wld_az1_rack3_mgmt_cidr</vt:lpstr>
      <vt:lpstr>input_wld_az1_rack3_mgmt_gateway_ip</vt:lpstr>
      <vt:lpstr>input_wld_az1_rack3_mgmt_mtu</vt:lpstr>
      <vt:lpstr>input_wld_az1_rack3_mgmt_vlan</vt:lpstr>
      <vt:lpstr>input_wld_az1_rack3_mgmt_vm_cidr</vt:lpstr>
      <vt:lpstr>input_wld_az1_rack3_mgmt_vm_gateway_ip</vt:lpstr>
      <vt:lpstr>input_wld_az1_rack3_mgmt_vm_mtu</vt:lpstr>
      <vt:lpstr>input_wld_az1_rack3_mgmt_vm_vlan</vt:lpstr>
      <vt:lpstr>input_wld_az1_rack3_pool_name</vt:lpstr>
      <vt:lpstr>input_wld_az1_rack3_principal_storage_cidr</vt:lpstr>
      <vt:lpstr>input_wld_az1_rack3_principal_storage_gateway_ip</vt:lpstr>
      <vt:lpstr>input_wld_az1_rack3_principal_storage_mask</vt:lpstr>
      <vt:lpstr>input_wld_az1_rack3_principal_storage_mtu</vt:lpstr>
      <vt:lpstr>input_wld_az1_rack3_principal_storage_network</vt:lpstr>
      <vt:lpstr>input_wld_az1_rack3_principal_storage_pool_end_ip</vt:lpstr>
      <vt:lpstr>input_wld_az1_rack3_principal_storage_pool_start_ip</vt:lpstr>
      <vt:lpstr>input_wld_az1_rack3_principal_storage_vlan</vt:lpstr>
      <vt:lpstr>input_wld_az1_rack3_rtep_ip_pool_name</vt:lpstr>
      <vt:lpstr>input_wld_az1_rack3_secondary_storage_cidr</vt:lpstr>
      <vt:lpstr>input_wld_az1_rack3_secondary_storage_gateway_ip</vt:lpstr>
      <vt:lpstr>input_wld_az1_rack3_secondary_storage_mask</vt:lpstr>
      <vt:lpstr>input_wld_az1_rack3_secondary_storage_mtu</vt:lpstr>
      <vt:lpstr>input_wld_az1_rack3_secondary_storage_network</vt:lpstr>
      <vt:lpstr>input_wld_az1_rack3_secondary_storage_pool_end_ip</vt:lpstr>
      <vt:lpstr>input_wld_az1_rack3_secondary_storage_pool_start_ip</vt:lpstr>
      <vt:lpstr>input_wld_az1_rack3_secondary_storage_vlan</vt:lpstr>
      <vt:lpstr>input_wld_az1_rack3_tor1_peer_asn</vt:lpstr>
      <vt:lpstr>input_wld_az1_rack3_tor1_peer_bgp_password</vt:lpstr>
      <vt:lpstr>input_wld_az1_rack3_tor1_peer_ip</vt:lpstr>
      <vt:lpstr>input_wld_az1_rack3_tor2_peer_asn</vt:lpstr>
      <vt:lpstr>input_wld_az1_rack3_tor2_peer_bgp_password</vt:lpstr>
      <vt:lpstr>input_wld_az1_rack3_tor2_peer_ip</vt:lpstr>
      <vt:lpstr>input_wld_az1_rack3_uplink01_gateway_ip</vt:lpstr>
      <vt:lpstr>input_wld_az1_rack3_uplink01_mask</vt:lpstr>
      <vt:lpstr>input_wld_az1_rack3_uplink01_mtu</vt:lpstr>
      <vt:lpstr>input_wld_az1_rack3_uplink01_network</vt:lpstr>
      <vt:lpstr>input_wld_az1_rack3_uplink01_vlan</vt:lpstr>
      <vt:lpstr>input_wld_az1_rack3_uplink02_gateway_ip</vt:lpstr>
      <vt:lpstr>input_wld_az1_rack3_uplink02_mask</vt:lpstr>
      <vt:lpstr>input_wld_az1_rack3_uplink02_mtu</vt:lpstr>
      <vt:lpstr>input_wld_az1_rack3_uplink02_network</vt:lpstr>
      <vt:lpstr>input_wld_az1_rack3_uplink02_vlan</vt:lpstr>
      <vt:lpstr>input_wld_az1_rack3_vmotion_cidr</vt:lpstr>
      <vt:lpstr>input_wld_az1_rack3_vmotion_gateway_ip</vt:lpstr>
      <vt:lpstr>input_wld_az1_rack3_vmotion_mask</vt:lpstr>
      <vt:lpstr>input_wld_az1_rack3_vmotion_mtu</vt:lpstr>
      <vt:lpstr>input_wld_az1_rack3_vmotion_network</vt:lpstr>
      <vt:lpstr>input_wld_az1_rack3_vmotion_pool_end_ip</vt:lpstr>
      <vt:lpstr>input_wld_az1_rack3_vmotion_pool_start_ip</vt:lpstr>
      <vt:lpstr>input_wld_az1_rack3_vmotion_vlan</vt:lpstr>
      <vt:lpstr>input_wld_az1_rack3_vsan_fault_domain</vt:lpstr>
      <vt:lpstr>input_wld_az1_rack4_edge_overlay_gateway_ip</vt:lpstr>
      <vt:lpstr>input_wld_az1_rack4_edge_overlay_mask</vt:lpstr>
      <vt:lpstr>input_wld_az1_rack4_edge_overlay_mtu</vt:lpstr>
      <vt:lpstr>input_wld_az1_rack4_edge_overlay_network</vt:lpstr>
      <vt:lpstr>input_wld_az1_rack4_edge_overlay_network_pool_name</vt:lpstr>
      <vt:lpstr>input_wld_az1_rack4_edge_overlay_pool_end_ip</vt:lpstr>
      <vt:lpstr>input_wld_az1_rack4_edge_overlay_pool_start_ip</vt:lpstr>
      <vt:lpstr>input_wld_az1_rack4_edge_overlay_vlan</vt:lpstr>
      <vt:lpstr>input_wld_az1_rack4_host_overlay_cidr</vt:lpstr>
      <vt:lpstr>input_wld_az1_rack4_host_overlay_gateway_ip</vt:lpstr>
      <vt:lpstr>input_wld_az1_rack4_host_overlay_mask</vt:lpstr>
      <vt:lpstr>input_wld_az1_rack4_host_overlay_mtu</vt:lpstr>
      <vt:lpstr>input_wld_az1_rack4_host_overlay_network</vt:lpstr>
      <vt:lpstr>input_wld_az1_rack4_host_overlay_network_pool_name</vt:lpstr>
      <vt:lpstr>input_wld_az1_rack4_host_overlay_network_profile_name</vt:lpstr>
      <vt:lpstr>input_wld_az1_rack4_host_overlay_pool_end_ip</vt:lpstr>
      <vt:lpstr>input_wld_az1_rack4_host_overlay_pool_start_ip</vt:lpstr>
      <vt:lpstr>input_wld_az1_rack4_host_overlay_uplink_profile_name</vt:lpstr>
      <vt:lpstr>input_wld_az1_rack4_host_overlay_vlan</vt:lpstr>
      <vt:lpstr>input_wld_az1_rack4_host1_fqdn</vt:lpstr>
      <vt:lpstr>input_wld_az1_rack4_host1_mgmt_ip</vt:lpstr>
      <vt:lpstr>input_wld_az1_rack4_host10_fqdn</vt:lpstr>
      <vt:lpstr>input_wld_az1_rack4_host10_mgmt_ip</vt:lpstr>
      <vt:lpstr>input_wld_az1_rack4_host11_fqdn</vt:lpstr>
      <vt:lpstr>input_wld_az1_rack4_host11_mgmt_ip</vt:lpstr>
      <vt:lpstr>input_wld_az1_rack4_host12_fqdn</vt:lpstr>
      <vt:lpstr>input_wld_az1_rack4_host12_mgmt_ip</vt:lpstr>
      <vt:lpstr>input_wld_az1_rack4_host13_fqdn</vt:lpstr>
      <vt:lpstr>input_wld_az1_rack4_host13_mgmt_ip</vt:lpstr>
      <vt:lpstr>input_wld_az1_rack4_host14_fqdn</vt:lpstr>
      <vt:lpstr>input_wld_az1_rack4_host14_mgmt_ip</vt:lpstr>
      <vt:lpstr>input_wld_az1_rack4_host15_fqdn</vt:lpstr>
      <vt:lpstr>input_wld_az1_rack4_host15_mgmt_ip</vt:lpstr>
      <vt:lpstr>input_wld_az1_rack4_host16_fqdn</vt:lpstr>
      <vt:lpstr>input_wld_az1_rack4_host16_mgmt_ip</vt:lpstr>
      <vt:lpstr>input_wld_az1_rack4_host2_fqdn</vt:lpstr>
      <vt:lpstr>input_wld_az1_rack4_host2_mgmt_ip</vt:lpstr>
      <vt:lpstr>input_wld_az1_rack4_host3_fqdn</vt:lpstr>
      <vt:lpstr>input_wld_az1_rack4_host3_mgmt_ip</vt:lpstr>
      <vt:lpstr>input_wld_az1_rack4_host4_fqdn</vt:lpstr>
      <vt:lpstr>input_wld_az1_rack4_host4_mgmt_ip</vt:lpstr>
      <vt:lpstr>input_wld_az1_rack4_host5_fqdn</vt:lpstr>
      <vt:lpstr>input_wld_az1_rack4_host5_mgmt_ip</vt:lpstr>
      <vt:lpstr>input_wld_az1_rack4_host6_fqdn</vt:lpstr>
      <vt:lpstr>input_wld_az1_rack4_host6_mgmt_ip</vt:lpstr>
      <vt:lpstr>input_wld_az1_rack4_host7_fqdn</vt:lpstr>
      <vt:lpstr>input_wld_az1_rack4_host7_mgmt_ip</vt:lpstr>
      <vt:lpstr>input_wld_az1_rack4_host8_fqdn</vt:lpstr>
      <vt:lpstr>input_wld_az1_rack4_host8_mgmt_ip</vt:lpstr>
      <vt:lpstr>input_wld_az1_rack4_host9_fqdn</vt:lpstr>
      <vt:lpstr>input_wld_az1_rack4_host9_mgmt_ip</vt:lpstr>
      <vt:lpstr>input_wld_az1_rack4_mgmt_cidr</vt:lpstr>
      <vt:lpstr>input_wld_az1_rack4_mgmt_gateway_ip</vt:lpstr>
      <vt:lpstr>input_wld_az1_rack4_mgmt_mtu</vt:lpstr>
      <vt:lpstr>input_wld_az1_rack4_mgmt_vlan</vt:lpstr>
      <vt:lpstr>input_wld_az1_rack4_mgmt_vm_cidr</vt:lpstr>
      <vt:lpstr>input_wld_az1_rack4_mgmt_vm_gateway_ip</vt:lpstr>
      <vt:lpstr>input_wld_az1_rack4_mgmt_vm_mtu</vt:lpstr>
      <vt:lpstr>input_wld_az1_rack4_mgmt_vm_vlan</vt:lpstr>
      <vt:lpstr>input_wld_az1_rack4_pool_name</vt:lpstr>
      <vt:lpstr>input_wld_az1_rack4_principal_storage_cidr</vt:lpstr>
      <vt:lpstr>input_wld_az1_rack4_principal_storage_gateway_ip</vt:lpstr>
      <vt:lpstr>input_wld_az1_rack4_principal_storage_mask</vt:lpstr>
      <vt:lpstr>input_wld_az1_rack4_principal_storage_mtu</vt:lpstr>
      <vt:lpstr>input_wld_az1_rack4_principal_storage_network</vt:lpstr>
      <vt:lpstr>input_wld_az1_rack4_principal_storage_pool_end_ip</vt:lpstr>
      <vt:lpstr>input_wld_az1_rack4_principal_storage_pool_start_ip</vt:lpstr>
      <vt:lpstr>input_wld_az1_rack4_principal_storage_vlan</vt:lpstr>
      <vt:lpstr>input_wld_az1_rack4_rtep_ip_pool_name</vt:lpstr>
      <vt:lpstr>input_wld_az1_rack4_secondary_storage_cidr</vt:lpstr>
      <vt:lpstr>input_wld_az1_rack4_secondary_storage_gateway_ip</vt:lpstr>
      <vt:lpstr>input_wld_az1_rack4_secondary_storage_mask</vt:lpstr>
      <vt:lpstr>input_wld_az1_rack4_secondary_storage_mtu</vt:lpstr>
      <vt:lpstr>input_wld_az1_rack4_secondary_storage_network</vt:lpstr>
      <vt:lpstr>input_wld_az1_rack4_secondary_storage_pool_end_ip</vt:lpstr>
      <vt:lpstr>input_wld_az1_rack4_secondary_storage_pool_start_ip</vt:lpstr>
      <vt:lpstr>input_wld_az1_rack4_secondary_storage_vlan</vt:lpstr>
      <vt:lpstr>input_wld_az1_rack4_tor1_peer_asn</vt:lpstr>
      <vt:lpstr>input_wld_az1_rack4_tor1_peer_bgp_password</vt:lpstr>
      <vt:lpstr>input_wld_az1_rack4_tor1_peer_ip</vt:lpstr>
      <vt:lpstr>input_wld_az1_rack4_tor2_peer_asn</vt:lpstr>
      <vt:lpstr>input_wld_az1_rack4_tor2_peer_bgp_password</vt:lpstr>
      <vt:lpstr>input_wld_az1_rack4_tor2_peer_ip</vt:lpstr>
      <vt:lpstr>input_wld_az1_rack4_uplink01_gateway_ip</vt:lpstr>
      <vt:lpstr>input_wld_az1_rack4_uplink01_mask</vt:lpstr>
      <vt:lpstr>input_wld_az1_rack4_uplink01_mtu</vt:lpstr>
      <vt:lpstr>input_wld_az1_rack4_uplink01_network</vt:lpstr>
      <vt:lpstr>input_wld_az1_rack4_uplink01_vlan</vt:lpstr>
      <vt:lpstr>input_wld_az1_rack4_uplink02_gateway_ip</vt:lpstr>
      <vt:lpstr>input_wld_az1_rack4_uplink02_mask</vt:lpstr>
      <vt:lpstr>input_wld_az1_rack4_uplink02_mtu</vt:lpstr>
      <vt:lpstr>input_wld_az1_rack4_uplink02_network</vt:lpstr>
      <vt:lpstr>input_wld_az1_rack4_uplink02_vlan</vt:lpstr>
      <vt:lpstr>input_wld_az1_rack4_vmotion_cidr</vt:lpstr>
      <vt:lpstr>input_wld_az1_rack4_vmotion_gateway_ip</vt:lpstr>
      <vt:lpstr>input_wld_az1_rack4_vmotion_mask</vt:lpstr>
      <vt:lpstr>input_wld_az1_rack4_vmotion_mtu</vt:lpstr>
      <vt:lpstr>input_wld_az1_rack4_vmotion_network</vt:lpstr>
      <vt:lpstr>input_wld_az1_rack4_vmotion_pool_end_ip</vt:lpstr>
      <vt:lpstr>input_wld_az1_rack4_vmotion_pool_start_ip</vt:lpstr>
      <vt:lpstr>input_wld_az1_rack4_vmotion_vlan</vt:lpstr>
      <vt:lpstr>input_wld_az1_rack4_vsan_fault_domain</vt:lpstr>
      <vt:lpstr>input_wld_az1_rack5_edge_overlay_gateway_ip</vt:lpstr>
      <vt:lpstr>input_wld_az1_rack5_edge_overlay_mask</vt:lpstr>
      <vt:lpstr>input_wld_az1_rack5_edge_overlay_mtu</vt:lpstr>
      <vt:lpstr>input_wld_az1_rack5_edge_overlay_network</vt:lpstr>
      <vt:lpstr>input_wld_az1_rack5_edge_overlay_network_pool_name</vt:lpstr>
      <vt:lpstr>input_wld_az1_rack5_edge_overlay_pool_end_ip</vt:lpstr>
      <vt:lpstr>input_wld_az1_rack5_edge_overlay_pool_start_ip</vt:lpstr>
      <vt:lpstr>input_wld_az1_rack5_edge_overlay_vlan</vt:lpstr>
      <vt:lpstr>input_wld_az1_rack5_host_overlay_cidr</vt:lpstr>
      <vt:lpstr>input_wld_az1_rack5_host_overlay_gateway_ip</vt:lpstr>
      <vt:lpstr>input_wld_az1_rack5_host_overlay_mask</vt:lpstr>
      <vt:lpstr>input_wld_az1_rack5_host_overlay_mtu</vt:lpstr>
      <vt:lpstr>input_wld_az1_rack5_host_overlay_network</vt:lpstr>
      <vt:lpstr>input_wld_az1_rack5_host_overlay_network_pool_name</vt:lpstr>
      <vt:lpstr>input_wld_az1_rack5_host_overlay_network_profile_name</vt:lpstr>
      <vt:lpstr>input_wld_az1_rack5_host_overlay_pool_end_ip</vt:lpstr>
      <vt:lpstr>input_wld_az1_rack5_host_overlay_pool_start_ip</vt:lpstr>
      <vt:lpstr>input_wld_az1_rack5_host_overlay_uplink_profile_name</vt:lpstr>
      <vt:lpstr>input_wld_az1_rack5_host_overlay_vlan</vt:lpstr>
      <vt:lpstr>input_wld_az1_rack5_host1_fqdn</vt:lpstr>
      <vt:lpstr>input_wld_az1_rack5_host1_mgmt_ip</vt:lpstr>
      <vt:lpstr>input_wld_az1_rack5_host10_fqdn</vt:lpstr>
      <vt:lpstr>input_wld_az1_rack5_host10_mgmt_ip</vt:lpstr>
      <vt:lpstr>input_wld_az1_rack5_host11_fqdn</vt:lpstr>
      <vt:lpstr>input_wld_az1_rack5_host11_mgmt_ip</vt:lpstr>
      <vt:lpstr>input_wld_az1_rack5_host12_fqdn</vt:lpstr>
      <vt:lpstr>input_wld_az1_rack5_host12_mgmt_ip</vt:lpstr>
      <vt:lpstr>input_wld_az1_rack5_host13_fqdn</vt:lpstr>
      <vt:lpstr>input_wld_az1_rack5_host13_mgmt_ip</vt:lpstr>
      <vt:lpstr>input_wld_az1_rack5_host14_fqdn</vt:lpstr>
      <vt:lpstr>input_wld_az1_rack5_host14_mgmt_ip</vt:lpstr>
      <vt:lpstr>input_wld_az1_rack5_host15_fqdn</vt:lpstr>
      <vt:lpstr>input_wld_az1_rack5_host15_mgmt_ip</vt:lpstr>
      <vt:lpstr>input_wld_az1_rack5_host16_fqdn</vt:lpstr>
      <vt:lpstr>input_wld_az1_rack5_host16_mgmt_ip</vt:lpstr>
      <vt:lpstr>input_wld_az1_rack5_host2_fqdn</vt:lpstr>
      <vt:lpstr>input_wld_az1_rack5_host2_mgmt_ip</vt:lpstr>
      <vt:lpstr>input_wld_az1_rack5_host3_fqdn</vt:lpstr>
      <vt:lpstr>input_wld_az1_rack5_host3_mgmt_ip</vt:lpstr>
      <vt:lpstr>input_wld_az1_rack5_host4_fqdn</vt:lpstr>
      <vt:lpstr>input_wld_az1_rack5_host4_mgmt_ip</vt:lpstr>
      <vt:lpstr>input_wld_az1_rack5_host5_fqdn</vt:lpstr>
      <vt:lpstr>input_wld_az1_rack5_host5_mgmt_ip</vt:lpstr>
      <vt:lpstr>input_wld_az1_rack5_host6_fqdn</vt:lpstr>
      <vt:lpstr>input_wld_az1_rack5_host6_mgmt_ip</vt:lpstr>
      <vt:lpstr>input_wld_az1_rack5_host7_fqdn</vt:lpstr>
      <vt:lpstr>input_wld_az1_rack5_host7_mgmt_ip</vt:lpstr>
      <vt:lpstr>input_wld_az1_rack5_host8_fqdn</vt:lpstr>
      <vt:lpstr>input_wld_az1_rack5_host8_mgmt_ip</vt:lpstr>
      <vt:lpstr>input_wld_az1_rack5_host9_fqdn</vt:lpstr>
      <vt:lpstr>input_wld_az1_rack5_host9_mgmt_ip</vt:lpstr>
      <vt:lpstr>input_wld_az1_rack5_mgmt_cidr</vt:lpstr>
      <vt:lpstr>input_wld_az1_rack5_mgmt_gateway_ip</vt:lpstr>
      <vt:lpstr>input_wld_az1_rack5_mgmt_mtu</vt:lpstr>
      <vt:lpstr>input_wld_az1_rack5_mgmt_vlan</vt:lpstr>
      <vt:lpstr>input_wld_az1_rack5_mgmt_vm_cidr</vt:lpstr>
      <vt:lpstr>input_wld_az1_rack5_mgmt_vm_gateway_ip</vt:lpstr>
      <vt:lpstr>input_wld_az1_rack5_mgmt_vm_mtu</vt:lpstr>
      <vt:lpstr>input_wld_az1_rack5_mgmt_vm_vlan</vt:lpstr>
      <vt:lpstr>input_wld_az1_rack5_pool_name</vt:lpstr>
      <vt:lpstr>input_wld_az1_rack5_principal_storage_cidr</vt:lpstr>
      <vt:lpstr>input_wld_az1_rack5_principal_storage_gateway_ip</vt:lpstr>
      <vt:lpstr>input_wld_az1_rack5_principal_storage_mask</vt:lpstr>
      <vt:lpstr>input_wld_az1_rack5_principal_storage_mtu</vt:lpstr>
      <vt:lpstr>input_wld_az1_rack5_principal_storage_network</vt:lpstr>
      <vt:lpstr>input_wld_az1_rack5_principal_storage_pool_end_ip</vt:lpstr>
      <vt:lpstr>input_wld_az1_rack5_principal_storage_pool_start_ip</vt:lpstr>
      <vt:lpstr>input_wld_az1_rack5_principal_storage_vlan</vt:lpstr>
      <vt:lpstr>input_wld_az1_rack5_rtep_ip_pool_name</vt:lpstr>
      <vt:lpstr>input_wld_az1_rack5_secondary_storage_cidr</vt:lpstr>
      <vt:lpstr>input_wld_az1_rack5_secondary_storage_gateway_ip</vt:lpstr>
      <vt:lpstr>input_wld_az1_rack5_secondary_storage_mask</vt:lpstr>
      <vt:lpstr>input_wld_az1_rack5_secondary_storage_mtu</vt:lpstr>
      <vt:lpstr>input_wld_az1_rack5_secondary_storage_network</vt:lpstr>
      <vt:lpstr>input_wld_az1_rack5_secondary_storage_pool_end_ip</vt:lpstr>
      <vt:lpstr>input_wld_az1_rack5_secondary_storage_pool_start_ip</vt:lpstr>
      <vt:lpstr>input_wld_az1_rack5_secondary_storage_vlan</vt:lpstr>
      <vt:lpstr>input_wld_az1_rack5_tor1_peer_asn</vt:lpstr>
      <vt:lpstr>input_wld_az1_rack5_tor1_peer_bgp_password</vt:lpstr>
      <vt:lpstr>input_wld_az1_rack5_tor1_peer_ip</vt:lpstr>
      <vt:lpstr>input_wld_az1_rack5_tor2_peer_asn</vt:lpstr>
      <vt:lpstr>input_wld_az1_rack5_tor2_peer_bgp_password</vt:lpstr>
      <vt:lpstr>input_wld_az1_rack5_tor2_peer_ip</vt:lpstr>
      <vt:lpstr>input_wld_az1_rack5_uplink01_gateway_ip</vt:lpstr>
      <vt:lpstr>input_wld_az1_rack5_uplink01_mask</vt:lpstr>
      <vt:lpstr>input_wld_az1_rack5_uplink01_mtu</vt:lpstr>
      <vt:lpstr>input_wld_az1_rack5_uplink01_network</vt:lpstr>
      <vt:lpstr>input_wld_az1_rack5_uplink01_vlan</vt:lpstr>
      <vt:lpstr>input_wld_az1_rack5_uplink02_gateway_ip</vt:lpstr>
      <vt:lpstr>input_wld_az1_rack5_uplink02_mask</vt:lpstr>
      <vt:lpstr>input_wld_az1_rack5_uplink02_mtu</vt:lpstr>
      <vt:lpstr>input_wld_az1_rack5_uplink02_network</vt:lpstr>
      <vt:lpstr>input_wld_az1_rack5_uplink02_vlan</vt:lpstr>
      <vt:lpstr>input_wld_az1_rack5_vmotion_cidr</vt:lpstr>
      <vt:lpstr>input_wld_az1_rack5_vmotion_gateway_ip</vt:lpstr>
      <vt:lpstr>input_wld_az1_rack5_vmotion_mask</vt:lpstr>
      <vt:lpstr>input_wld_az1_rack5_vmotion_mtu</vt:lpstr>
      <vt:lpstr>input_wld_az1_rack5_vmotion_network</vt:lpstr>
      <vt:lpstr>input_wld_az1_rack5_vmotion_pool_end_ip</vt:lpstr>
      <vt:lpstr>input_wld_az1_rack5_vmotion_pool_start_ip</vt:lpstr>
      <vt:lpstr>input_wld_az1_rack5_vmotion_vlan</vt:lpstr>
      <vt:lpstr>input_wld_az1_rack5_vsan_fault_domain</vt:lpstr>
      <vt:lpstr>input_wld_az1_rack6_edge_overlay_gateway_ip</vt:lpstr>
      <vt:lpstr>input_wld_az1_rack6_edge_overlay_mask</vt:lpstr>
      <vt:lpstr>input_wld_az1_rack6_edge_overlay_mtu</vt:lpstr>
      <vt:lpstr>input_wld_az1_rack6_edge_overlay_network</vt:lpstr>
      <vt:lpstr>input_wld_az1_rack6_edge_overlay_network_pool_name</vt:lpstr>
      <vt:lpstr>input_wld_az1_rack6_edge_overlay_pool_end_ip</vt:lpstr>
      <vt:lpstr>input_wld_az1_rack6_edge_overlay_pool_start_ip</vt:lpstr>
      <vt:lpstr>input_wld_az1_rack6_edge_overlay_vlan</vt:lpstr>
      <vt:lpstr>input_wld_az1_rack6_host_overlay_cidr</vt:lpstr>
      <vt:lpstr>input_wld_az1_rack6_host_overlay_gateway_ip</vt:lpstr>
      <vt:lpstr>input_wld_az1_rack6_host_overlay_mask</vt:lpstr>
      <vt:lpstr>input_wld_az1_rack6_host_overlay_mtu</vt:lpstr>
      <vt:lpstr>input_wld_az1_rack6_host_overlay_network</vt:lpstr>
      <vt:lpstr>input_wld_az1_rack6_host_overlay_network_pool_name</vt:lpstr>
      <vt:lpstr>input_wld_az1_rack6_host_overlay_network_profile_name</vt:lpstr>
      <vt:lpstr>input_wld_az1_rack6_host_overlay_pool_end_ip</vt:lpstr>
      <vt:lpstr>input_wld_az1_rack6_host_overlay_pool_start_ip</vt:lpstr>
      <vt:lpstr>input_wld_az1_rack6_host_overlay_uplink_profile_name</vt:lpstr>
      <vt:lpstr>input_wld_az1_rack6_host_overlay_vlan</vt:lpstr>
      <vt:lpstr>input_wld_az1_rack6_host1_fqdn</vt:lpstr>
      <vt:lpstr>input_wld_az1_rack6_host1_mgmt_ip</vt:lpstr>
      <vt:lpstr>input_wld_az1_rack6_host10_fqdn</vt:lpstr>
      <vt:lpstr>input_wld_az1_rack6_host10_mgmt_ip</vt:lpstr>
      <vt:lpstr>input_wld_az1_rack6_host11_fqdn</vt:lpstr>
      <vt:lpstr>input_wld_az1_rack6_host11_mgmt_ip</vt:lpstr>
      <vt:lpstr>input_wld_az1_rack6_host12_fqdn</vt:lpstr>
      <vt:lpstr>input_wld_az1_rack6_host12_mgmt_ip</vt:lpstr>
      <vt:lpstr>input_wld_az1_rack6_host13_fqdn</vt:lpstr>
      <vt:lpstr>input_wld_az1_rack6_host13_mgmt_ip</vt:lpstr>
      <vt:lpstr>input_wld_az1_rack6_host14_fqdn</vt:lpstr>
      <vt:lpstr>input_wld_az1_rack6_host14_mgmt_ip</vt:lpstr>
      <vt:lpstr>input_wld_az1_rack6_host15_fqdn</vt:lpstr>
      <vt:lpstr>input_wld_az1_rack6_host15_mgmt_ip</vt:lpstr>
      <vt:lpstr>input_wld_az1_rack6_host16_fqdn</vt:lpstr>
      <vt:lpstr>input_wld_az1_rack6_host16_mgmt_ip</vt:lpstr>
      <vt:lpstr>input_wld_az1_rack6_host2_fqdn</vt:lpstr>
      <vt:lpstr>input_wld_az1_rack6_host2_mgmt_ip</vt:lpstr>
      <vt:lpstr>input_wld_az1_rack6_host3_fqdn</vt:lpstr>
      <vt:lpstr>input_wld_az1_rack6_host3_mgmt_ip</vt:lpstr>
      <vt:lpstr>input_wld_az1_rack6_host4_fqdn</vt:lpstr>
      <vt:lpstr>input_wld_az1_rack6_host4_mgmt_ip</vt:lpstr>
      <vt:lpstr>input_wld_az1_rack6_host5_fqdn</vt:lpstr>
      <vt:lpstr>input_wld_az1_rack6_host5_mgmt_ip</vt:lpstr>
      <vt:lpstr>input_wld_az1_rack6_host6_fqdn</vt:lpstr>
      <vt:lpstr>input_wld_az1_rack6_host6_mgmt_ip</vt:lpstr>
      <vt:lpstr>input_wld_az1_rack6_host7_fqdn</vt:lpstr>
      <vt:lpstr>input_wld_az1_rack6_host7_mgmt_ip</vt:lpstr>
      <vt:lpstr>input_wld_az1_rack6_host8_fqdn</vt:lpstr>
      <vt:lpstr>input_wld_az1_rack6_host8_mgmt_ip</vt:lpstr>
      <vt:lpstr>input_wld_az1_rack6_host9_fqdn</vt:lpstr>
      <vt:lpstr>input_wld_az1_rack6_host9_mgmt_ip</vt:lpstr>
      <vt:lpstr>input_wld_az1_rack6_mgmt_cidr</vt:lpstr>
      <vt:lpstr>input_wld_az1_rack6_mgmt_gateway_ip</vt:lpstr>
      <vt:lpstr>input_wld_az1_rack6_mgmt_mtu</vt:lpstr>
      <vt:lpstr>input_wld_az1_rack6_mgmt_vlan</vt:lpstr>
      <vt:lpstr>input_wld_az1_rack6_mgmt_vm_cidr</vt:lpstr>
      <vt:lpstr>input_wld_az1_rack6_mgmt_vm_gateway_ip</vt:lpstr>
      <vt:lpstr>input_wld_az1_rack6_mgmt_vm_mtu</vt:lpstr>
      <vt:lpstr>input_wld_az1_rack6_mgmt_vm_vlan</vt:lpstr>
      <vt:lpstr>input_wld_az1_rack6_pool_name</vt:lpstr>
      <vt:lpstr>input_wld_az1_rack6_principal_storage_cidr</vt:lpstr>
      <vt:lpstr>input_wld_az1_rack6_principal_storage_gateway_ip</vt:lpstr>
      <vt:lpstr>input_wld_az1_rack6_principal_storage_mask</vt:lpstr>
      <vt:lpstr>input_wld_az1_rack6_principal_storage_mtu</vt:lpstr>
      <vt:lpstr>input_wld_az1_rack6_principal_storage_network</vt:lpstr>
      <vt:lpstr>input_wld_az1_rack6_principal_storage_pool_end_ip</vt:lpstr>
      <vt:lpstr>input_wld_az1_rack6_principal_storage_pool_start_ip</vt:lpstr>
      <vt:lpstr>input_wld_az1_rack6_principal_storage_vlan</vt:lpstr>
      <vt:lpstr>input_wld_az1_rack6_rtep_ip_pool_name</vt:lpstr>
      <vt:lpstr>input_wld_az1_rack6_secondary_storage_cidr</vt:lpstr>
      <vt:lpstr>input_wld_az1_rack6_secondary_storage_gateway_ip</vt:lpstr>
      <vt:lpstr>input_wld_az1_rack6_secondary_storage_mask</vt:lpstr>
      <vt:lpstr>input_wld_az1_rack6_secondary_storage_mtu</vt:lpstr>
      <vt:lpstr>input_wld_az1_rack6_secondary_storage_network</vt:lpstr>
      <vt:lpstr>input_wld_az1_rack6_secondary_storage_pool_end_ip</vt:lpstr>
      <vt:lpstr>input_wld_az1_rack6_secondary_storage_pool_start_ip</vt:lpstr>
      <vt:lpstr>input_wld_az1_rack6_secondary_storage_vlan</vt:lpstr>
      <vt:lpstr>input_wld_az1_rack6_tor1_peer_asn</vt:lpstr>
      <vt:lpstr>input_wld_az1_rack6_tor1_peer_bgp_password</vt:lpstr>
      <vt:lpstr>input_wld_az1_rack6_tor1_peer_ip</vt:lpstr>
      <vt:lpstr>input_wld_az1_rack6_tor2_peer_asn</vt:lpstr>
      <vt:lpstr>input_wld_az1_rack6_tor2_peer_bgp_password</vt:lpstr>
      <vt:lpstr>input_wld_az1_rack6_tor2_peer_ip</vt:lpstr>
      <vt:lpstr>input_wld_az1_rack6_uplink01_gateway_ip</vt:lpstr>
      <vt:lpstr>input_wld_az1_rack6_uplink01_mask</vt:lpstr>
      <vt:lpstr>input_wld_az1_rack6_uplink01_mtu</vt:lpstr>
      <vt:lpstr>input_wld_az1_rack6_uplink01_network</vt:lpstr>
      <vt:lpstr>input_wld_az1_rack6_uplink01_vlan</vt:lpstr>
      <vt:lpstr>input_wld_az1_rack6_uplink02_gateway_ip</vt:lpstr>
      <vt:lpstr>input_wld_az1_rack6_uplink02_mask</vt:lpstr>
      <vt:lpstr>input_wld_az1_rack6_uplink02_mtu</vt:lpstr>
      <vt:lpstr>input_wld_az1_rack6_uplink02_network</vt:lpstr>
      <vt:lpstr>input_wld_az1_rack6_uplink02_vlan</vt:lpstr>
      <vt:lpstr>input_wld_az1_rack6_vmotion_cidr</vt:lpstr>
      <vt:lpstr>input_wld_az1_rack6_vmotion_gateway_ip</vt:lpstr>
      <vt:lpstr>input_wld_az1_rack6_vmotion_mask</vt:lpstr>
      <vt:lpstr>input_wld_az1_rack6_vmotion_mtu</vt:lpstr>
      <vt:lpstr>input_wld_az1_rack6_vmotion_network</vt:lpstr>
      <vt:lpstr>input_wld_az1_rack6_vmotion_pool_end_ip</vt:lpstr>
      <vt:lpstr>input_wld_az1_rack6_vmotion_pool_start_ip</vt:lpstr>
      <vt:lpstr>input_wld_az1_rack6_vmotion_vlan</vt:lpstr>
      <vt:lpstr>input_wld_az1_rack6_vsan_fault_domain</vt:lpstr>
      <vt:lpstr>input_wld_az1_rack7_edge_overlay_gateway_ip</vt:lpstr>
      <vt:lpstr>input_wld_az1_rack7_edge_overlay_mask</vt:lpstr>
      <vt:lpstr>input_wld_az1_rack7_edge_overlay_mtu</vt:lpstr>
      <vt:lpstr>input_wld_az1_rack7_edge_overlay_network</vt:lpstr>
      <vt:lpstr>input_wld_az1_rack7_edge_overlay_network_pool_name</vt:lpstr>
      <vt:lpstr>input_wld_az1_rack7_edge_overlay_pool_end_ip</vt:lpstr>
      <vt:lpstr>input_wld_az1_rack7_edge_overlay_pool_start_ip</vt:lpstr>
      <vt:lpstr>input_wld_az1_rack7_edge_overlay_vlan</vt:lpstr>
      <vt:lpstr>input_wld_az1_rack7_host_overlay_cidr</vt:lpstr>
      <vt:lpstr>input_wld_az1_rack7_host_overlay_gateway_ip</vt:lpstr>
      <vt:lpstr>input_wld_az1_rack7_host_overlay_mask</vt:lpstr>
      <vt:lpstr>input_wld_az1_rack7_host_overlay_mtu</vt:lpstr>
      <vt:lpstr>input_wld_az1_rack7_host_overlay_network</vt:lpstr>
      <vt:lpstr>input_wld_az1_rack7_host_overlay_network_pool_name</vt:lpstr>
      <vt:lpstr>input_wld_az1_rack7_host_overlay_network_profile_name</vt:lpstr>
      <vt:lpstr>input_wld_az1_rack7_host_overlay_pool_end_ip</vt:lpstr>
      <vt:lpstr>input_wld_az1_rack7_host_overlay_pool_start_ip</vt:lpstr>
      <vt:lpstr>input_wld_az1_rack7_host_overlay_uplink_profile_name</vt:lpstr>
      <vt:lpstr>input_wld_az1_rack7_host_overlay_vlan</vt:lpstr>
      <vt:lpstr>input_wld_az1_rack7_host1_fqdn</vt:lpstr>
      <vt:lpstr>input_wld_az1_rack7_host1_mgmt_ip</vt:lpstr>
      <vt:lpstr>input_wld_az1_rack7_host10_fqdn</vt:lpstr>
      <vt:lpstr>input_wld_az1_rack7_host10_mgmt_ip</vt:lpstr>
      <vt:lpstr>input_wld_az1_rack7_host11_fqdn</vt:lpstr>
      <vt:lpstr>input_wld_az1_rack7_host11_mgmt_ip</vt:lpstr>
      <vt:lpstr>input_wld_az1_rack7_host12_fqdn</vt:lpstr>
      <vt:lpstr>input_wld_az1_rack7_host12_mgmt_ip</vt:lpstr>
      <vt:lpstr>input_wld_az1_rack7_host13_fqdn</vt:lpstr>
      <vt:lpstr>input_wld_az1_rack7_host13_mgmt_ip</vt:lpstr>
      <vt:lpstr>input_wld_az1_rack7_host14_fqdn</vt:lpstr>
      <vt:lpstr>input_wld_az1_rack7_host14_mgmt_ip</vt:lpstr>
      <vt:lpstr>input_wld_az1_rack7_host15_fqdn</vt:lpstr>
      <vt:lpstr>input_wld_az1_rack7_host15_mgmt_ip</vt:lpstr>
      <vt:lpstr>input_wld_az1_rack7_host16_fqdn</vt:lpstr>
      <vt:lpstr>input_wld_az1_rack7_host16_mgmt_ip</vt:lpstr>
      <vt:lpstr>input_wld_az1_rack7_host2_fqdn</vt:lpstr>
      <vt:lpstr>input_wld_az1_rack7_host2_mgmt_ip</vt:lpstr>
      <vt:lpstr>input_wld_az1_rack7_host3_fqdn</vt:lpstr>
      <vt:lpstr>input_wld_az1_rack7_host3_mgmt_ip</vt:lpstr>
      <vt:lpstr>input_wld_az1_rack7_host4_fqdn</vt:lpstr>
      <vt:lpstr>input_wld_az1_rack7_host4_mgmt_ip</vt:lpstr>
      <vt:lpstr>input_wld_az1_rack7_host5_fqdn</vt:lpstr>
      <vt:lpstr>input_wld_az1_rack7_host5_mgmt_ip</vt:lpstr>
      <vt:lpstr>input_wld_az1_rack7_host6_fqdn</vt:lpstr>
      <vt:lpstr>input_wld_az1_rack7_host6_mgmt_ip</vt:lpstr>
      <vt:lpstr>input_wld_az1_rack7_host7_fqdn</vt:lpstr>
      <vt:lpstr>input_wld_az1_rack7_host7_mgmt_ip</vt:lpstr>
      <vt:lpstr>input_wld_az1_rack7_host8_fqdn</vt:lpstr>
      <vt:lpstr>input_wld_az1_rack7_host8_mgmt_ip</vt:lpstr>
      <vt:lpstr>input_wld_az1_rack7_host9_fqdn</vt:lpstr>
      <vt:lpstr>input_wld_az1_rack7_host9_mgmt_ip</vt:lpstr>
      <vt:lpstr>input_wld_az1_rack7_mgmt_cidr</vt:lpstr>
      <vt:lpstr>input_wld_az1_rack7_mgmt_gateway_ip</vt:lpstr>
      <vt:lpstr>input_wld_az1_rack7_mgmt_mtu</vt:lpstr>
      <vt:lpstr>input_wld_az1_rack7_mgmt_vlan</vt:lpstr>
      <vt:lpstr>input_wld_az1_rack7_mgmt_vm_cidr</vt:lpstr>
      <vt:lpstr>input_wld_az1_rack7_mgmt_vm_gateway_ip</vt:lpstr>
      <vt:lpstr>input_wld_az1_rack7_mgmt_vm_mtu</vt:lpstr>
      <vt:lpstr>input_wld_az1_rack7_mgmt_vm_vlan</vt:lpstr>
      <vt:lpstr>input_wld_az1_rack7_pool_name</vt:lpstr>
      <vt:lpstr>input_wld_az1_rack7_principal_storage_cidr</vt:lpstr>
      <vt:lpstr>input_wld_az1_rack7_principal_storage_gateway_ip</vt:lpstr>
      <vt:lpstr>input_wld_az1_rack7_principal_storage_mask</vt:lpstr>
      <vt:lpstr>input_wld_az1_rack7_principal_storage_mtu</vt:lpstr>
      <vt:lpstr>input_wld_az1_rack7_principal_storage_network</vt:lpstr>
      <vt:lpstr>input_wld_az1_rack7_principal_storage_pool_end_ip</vt:lpstr>
      <vt:lpstr>input_wld_az1_rack7_principal_storage_pool_start_ip</vt:lpstr>
      <vt:lpstr>input_wld_az1_rack7_principal_storage_vlan</vt:lpstr>
      <vt:lpstr>input_wld_az1_rack7_rtep_ip_pool_name</vt:lpstr>
      <vt:lpstr>input_wld_az1_rack7_secondary_storage_cidr</vt:lpstr>
      <vt:lpstr>input_wld_az1_rack7_secondary_storage_gateway_ip</vt:lpstr>
      <vt:lpstr>input_wld_az1_rack7_secondary_storage_mask</vt:lpstr>
      <vt:lpstr>input_wld_az1_rack7_secondary_storage_mtu</vt:lpstr>
      <vt:lpstr>input_wld_az1_rack7_secondary_storage_network</vt:lpstr>
      <vt:lpstr>input_wld_az1_rack7_secondary_storage_pool_end_ip</vt:lpstr>
      <vt:lpstr>input_wld_az1_rack7_secondary_storage_pool_start_ip</vt:lpstr>
      <vt:lpstr>input_wld_az1_rack7_secondary_storage_vlan</vt:lpstr>
      <vt:lpstr>input_wld_az1_rack7_tor1_peer_asn</vt:lpstr>
      <vt:lpstr>input_wld_az1_rack7_tor1_peer_bgp_password</vt:lpstr>
      <vt:lpstr>input_wld_az1_rack7_tor1_peer_ip</vt:lpstr>
      <vt:lpstr>input_wld_az1_rack7_tor2_peer_asn</vt:lpstr>
      <vt:lpstr>input_wld_az1_rack7_tor2_peer_bgp_password</vt:lpstr>
      <vt:lpstr>input_wld_az1_rack7_tor2_peer_ip</vt:lpstr>
      <vt:lpstr>input_wld_az1_rack7_uplink01_gateway_ip</vt:lpstr>
      <vt:lpstr>input_wld_az1_rack7_uplink01_mask</vt:lpstr>
      <vt:lpstr>input_wld_az1_rack7_uplink01_mtu</vt:lpstr>
      <vt:lpstr>input_wld_az1_rack7_uplink01_network</vt:lpstr>
      <vt:lpstr>input_wld_az1_rack7_uplink01_vlan</vt:lpstr>
      <vt:lpstr>input_wld_az1_rack7_uplink02_gateway_ip</vt:lpstr>
      <vt:lpstr>input_wld_az1_rack7_uplink02_mask</vt:lpstr>
      <vt:lpstr>input_wld_az1_rack7_uplink02_mtu</vt:lpstr>
      <vt:lpstr>input_wld_az1_rack7_uplink02_network</vt:lpstr>
      <vt:lpstr>input_wld_az1_rack7_uplink02_vlan</vt:lpstr>
      <vt:lpstr>input_wld_az1_rack7_vmotion_cidr</vt:lpstr>
      <vt:lpstr>input_wld_az1_rack7_vmotion_gateway_ip</vt:lpstr>
      <vt:lpstr>input_wld_az1_rack7_vmotion_mask</vt:lpstr>
      <vt:lpstr>input_wld_az1_rack7_vmotion_mtu</vt:lpstr>
      <vt:lpstr>input_wld_az1_rack7_vmotion_network</vt:lpstr>
      <vt:lpstr>input_wld_az1_rack7_vmotion_pool_end_ip</vt:lpstr>
      <vt:lpstr>input_wld_az1_rack7_vmotion_pool_start_ip</vt:lpstr>
      <vt:lpstr>input_wld_az1_rack7_vmotion_vlan</vt:lpstr>
      <vt:lpstr>input_wld_az1_rack7_vsan_fault_domain</vt:lpstr>
      <vt:lpstr>input_wld_az1_rack8_edge_overlay_gateway_ip</vt:lpstr>
      <vt:lpstr>input_wld_az1_rack8_edge_overlay_mask</vt:lpstr>
      <vt:lpstr>input_wld_az1_rack8_edge_overlay_mtu</vt:lpstr>
      <vt:lpstr>input_wld_az1_rack8_edge_overlay_network</vt:lpstr>
      <vt:lpstr>input_wld_az1_rack8_edge_overlay_network_pool_name</vt:lpstr>
      <vt:lpstr>input_wld_az1_rack8_edge_overlay_pool_end_ip</vt:lpstr>
      <vt:lpstr>input_wld_az1_rack8_edge_overlay_pool_start_ip</vt:lpstr>
      <vt:lpstr>input_wld_az1_rack8_edge_overlay_vlan</vt:lpstr>
      <vt:lpstr>input_wld_az1_rack8_host_overlay_cidr</vt:lpstr>
      <vt:lpstr>input_wld_az1_rack8_host_overlay_gateway_ip</vt:lpstr>
      <vt:lpstr>input_wld_az1_rack8_host_overlay_mask</vt:lpstr>
      <vt:lpstr>input_wld_az1_rack8_host_overlay_mtu</vt:lpstr>
      <vt:lpstr>input_wld_az1_rack8_host_overlay_network</vt:lpstr>
      <vt:lpstr>input_wld_az1_rack8_host_overlay_network_pool_name</vt:lpstr>
      <vt:lpstr>input_wld_az1_rack8_host_overlay_network_profile_name</vt:lpstr>
      <vt:lpstr>input_wld_az1_rack8_host_overlay_pool_end_ip</vt:lpstr>
      <vt:lpstr>input_wld_az1_rack8_host_overlay_pool_start_ip</vt:lpstr>
      <vt:lpstr>input_wld_az1_rack8_host_overlay_uplink_profile_name</vt:lpstr>
      <vt:lpstr>input_wld_az1_rack8_host_overlay_vlan</vt:lpstr>
      <vt:lpstr>input_wld_az1_rack8_host1_fqdn</vt:lpstr>
      <vt:lpstr>input_wld_az1_rack8_host1_mgmt_ip</vt:lpstr>
      <vt:lpstr>input_wld_az1_rack8_host10_fqdn</vt:lpstr>
      <vt:lpstr>input_wld_az1_rack8_host10_mgmt_ip</vt:lpstr>
      <vt:lpstr>input_wld_az1_rack8_host11_fqdn</vt:lpstr>
      <vt:lpstr>input_wld_az1_rack8_host11_mgmt_ip</vt:lpstr>
      <vt:lpstr>input_wld_az1_rack8_host12_fqdn</vt:lpstr>
      <vt:lpstr>input_wld_az1_rack8_host12_mgmt_ip</vt:lpstr>
      <vt:lpstr>input_wld_az1_rack8_host13_fqdn</vt:lpstr>
      <vt:lpstr>input_wld_az1_rack8_host13_mgmt_ip</vt:lpstr>
      <vt:lpstr>input_wld_az1_rack8_host14_fqdn</vt:lpstr>
      <vt:lpstr>input_wld_az1_rack8_host14_mgmt_ip</vt:lpstr>
      <vt:lpstr>input_wld_az1_rack8_host15_fqdn</vt:lpstr>
      <vt:lpstr>input_wld_az1_rack8_host15_mgmt_ip</vt:lpstr>
      <vt:lpstr>input_wld_az1_rack8_host16_fqdn</vt:lpstr>
      <vt:lpstr>input_wld_az1_rack8_host16_mgmt_ip</vt:lpstr>
      <vt:lpstr>input_wld_az1_rack8_host2_fqdn</vt:lpstr>
      <vt:lpstr>input_wld_az1_rack8_host2_mgmt_ip</vt:lpstr>
      <vt:lpstr>input_wld_az1_rack8_host3_fqdn</vt:lpstr>
      <vt:lpstr>input_wld_az1_rack8_host3_mgmt_ip</vt:lpstr>
      <vt:lpstr>input_wld_az1_rack8_host4_fqdn</vt:lpstr>
      <vt:lpstr>input_wld_az1_rack8_host4_mgmt_ip</vt:lpstr>
      <vt:lpstr>input_wld_az1_rack8_host5_fqdn</vt:lpstr>
      <vt:lpstr>input_wld_az1_rack8_host5_mgmt_ip</vt:lpstr>
      <vt:lpstr>input_wld_az1_rack8_host6_fqdn</vt:lpstr>
      <vt:lpstr>input_wld_az1_rack8_host6_mgmt_ip</vt:lpstr>
      <vt:lpstr>input_wld_az1_rack8_host7_fqdn</vt:lpstr>
      <vt:lpstr>input_wld_az1_rack8_host7_mgmt_ip</vt:lpstr>
      <vt:lpstr>input_wld_az1_rack8_host8_fqdn</vt:lpstr>
      <vt:lpstr>input_wld_az1_rack8_host8_mgmt_ip</vt:lpstr>
      <vt:lpstr>input_wld_az1_rack8_host9_fqdn</vt:lpstr>
      <vt:lpstr>input_wld_az1_rack8_host9_mgmt_ip</vt:lpstr>
      <vt:lpstr>input_wld_az1_rack8_mgmt_cidr</vt:lpstr>
      <vt:lpstr>input_wld_az1_rack8_mgmt_gateway_ip</vt:lpstr>
      <vt:lpstr>input_wld_az1_rack8_mgmt_mtu</vt:lpstr>
      <vt:lpstr>input_wld_az1_rack8_mgmt_vlan</vt:lpstr>
      <vt:lpstr>input_wld_az1_rack8_mgmt_vm_cidr</vt:lpstr>
      <vt:lpstr>input_wld_az1_rack8_mgmt_vm_gateway_ip</vt:lpstr>
      <vt:lpstr>input_wld_az1_rack8_mgmt_vm_mtu</vt:lpstr>
      <vt:lpstr>input_wld_az1_rack8_mgmt_vm_vlan</vt:lpstr>
      <vt:lpstr>input_wld_az1_rack8_pool_name</vt:lpstr>
      <vt:lpstr>input_wld_az1_rack8_principal_storage_cidr</vt:lpstr>
      <vt:lpstr>input_wld_az1_rack8_principal_storage_gateway_ip</vt:lpstr>
      <vt:lpstr>input_wld_az1_rack8_principal_storage_mask</vt:lpstr>
      <vt:lpstr>input_wld_az1_rack8_principal_storage_mtu</vt:lpstr>
      <vt:lpstr>input_wld_az1_rack8_principal_storage_network</vt:lpstr>
      <vt:lpstr>input_wld_az1_rack8_principal_storage_pool_end_ip</vt:lpstr>
      <vt:lpstr>input_wld_az1_rack8_principal_storage_pool_start_ip</vt:lpstr>
      <vt:lpstr>input_wld_az1_rack8_principal_storage_vlan</vt:lpstr>
      <vt:lpstr>input_wld_az1_rack8_rtep_ip_pool_name</vt:lpstr>
      <vt:lpstr>input_wld_az1_rack8_secondary_storage_cidr</vt:lpstr>
      <vt:lpstr>input_wld_az1_rack8_secondary_storage_gateway_ip</vt:lpstr>
      <vt:lpstr>input_wld_az1_rack8_secondary_storage_mask</vt:lpstr>
      <vt:lpstr>input_wld_az1_rack8_secondary_storage_mtu</vt:lpstr>
      <vt:lpstr>input_wld_az1_rack8_secondary_storage_network</vt:lpstr>
      <vt:lpstr>input_wld_az1_rack8_secondary_storage_pool_end_ip</vt:lpstr>
      <vt:lpstr>input_wld_az1_rack8_secondary_storage_pool_start_ip</vt:lpstr>
      <vt:lpstr>input_wld_az1_rack8_secondary_storage_vlan</vt:lpstr>
      <vt:lpstr>input_wld_az1_rack8_tor1_peer_asn</vt:lpstr>
      <vt:lpstr>input_wld_az1_rack8_tor1_peer_bgp_password</vt:lpstr>
      <vt:lpstr>input_wld_az1_rack8_tor1_peer_ip</vt:lpstr>
      <vt:lpstr>input_wld_az1_rack8_tor2_peer_asn</vt:lpstr>
      <vt:lpstr>input_wld_az1_rack8_tor2_peer_bgp_password</vt:lpstr>
      <vt:lpstr>input_wld_az1_rack8_tor2_peer_ip</vt:lpstr>
      <vt:lpstr>input_wld_az1_rack8_uplink01_gateway_ip</vt:lpstr>
      <vt:lpstr>input_wld_az1_rack8_uplink01_mask</vt:lpstr>
      <vt:lpstr>input_wld_az1_rack8_uplink01_mtu</vt:lpstr>
      <vt:lpstr>input_wld_az1_rack8_uplink01_network</vt:lpstr>
      <vt:lpstr>input_wld_az1_rack8_uplink01_vlan</vt:lpstr>
      <vt:lpstr>input_wld_az1_rack8_uplink02_gateway_ip</vt:lpstr>
      <vt:lpstr>input_wld_az1_rack8_uplink02_mask</vt:lpstr>
      <vt:lpstr>input_wld_az1_rack8_uplink02_mtu</vt:lpstr>
      <vt:lpstr>input_wld_az1_rack8_uplink02_network</vt:lpstr>
      <vt:lpstr>input_wld_az1_rack8_uplink02_vlan</vt:lpstr>
      <vt:lpstr>input_wld_az1_rack8_vmotion_cidr</vt:lpstr>
      <vt:lpstr>input_wld_az1_rack8_vmotion_gateway_ip</vt:lpstr>
      <vt:lpstr>input_wld_az1_rack8_vmotion_mask</vt:lpstr>
      <vt:lpstr>input_wld_az1_rack8_vmotion_mtu</vt:lpstr>
      <vt:lpstr>input_wld_az1_rack8_vmotion_network</vt:lpstr>
      <vt:lpstr>input_wld_az1_rack8_vmotion_pool_end_ip</vt:lpstr>
      <vt:lpstr>input_wld_az1_rack8_vmotion_pool_start_ip</vt:lpstr>
      <vt:lpstr>input_wld_az1_rack8_vmotion_vlan</vt:lpstr>
      <vt:lpstr>input_wld_az1_rack8_vsan_fault_domain</vt:lpstr>
      <vt:lpstr>input_wld_az1_rtep_ip_pool_name</vt:lpstr>
      <vt:lpstr>input_wld_az1_rtep_overlay_cidr</vt:lpstr>
      <vt:lpstr>input_wld_az1_rtep_overlay_gateway_ip</vt:lpstr>
      <vt:lpstr>input_wld_az1_rtep_overlay_vlan</vt:lpstr>
      <vt:lpstr>input_wld_az1_secondary_storage_gateway_cidr</vt:lpstr>
      <vt:lpstr>input_wld_az1_secondary_storage_mtu</vt:lpstr>
      <vt:lpstr>input_wld_az1_secondary_storage_pool_end_ip</vt:lpstr>
      <vt:lpstr>input_wld_az1_secondary_storage_pool_start_ip</vt:lpstr>
      <vt:lpstr>input_wld_az1_secondary_storage_vlan</vt:lpstr>
      <vt:lpstr>input_wld_az1_storage_cluster_gateway_cidr</vt:lpstr>
      <vt:lpstr>input_wld_az1_storage_cluster_mtu</vt:lpstr>
      <vt:lpstr>input_wld_az1_storage_cluster_pool_end_ip</vt:lpstr>
      <vt:lpstr>input_wld_az1_storage_cluster_pool_start_ip</vt:lpstr>
      <vt:lpstr>input_wld_az1_storage_cluster_vlan</vt:lpstr>
      <vt:lpstr>input_wld_az1_tor1_peer_asn</vt:lpstr>
      <vt:lpstr>input_wld_az1_tor1_peer_bgp_password</vt:lpstr>
      <vt:lpstr>input_wld_az1_tor1_peer_ip</vt:lpstr>
      <vt:lpstr>input_wld_az1_tor2_peer_asn</vt:lpstr>
      <vt:lpstr>input_wld_az1_tor2_peer_bgp_password</vt:lpstr>
      <vt:lpstr>input_wld_az1_tor2_peer_ip</vt:lpstr>
      <vt:lpstr>input_wld_az1_uplink01_cidr</vt:lpstr>
      <vt:lpstr>input_wld_az1_uplink01_gateway_ip</vt:lpstr>
      <vt:lpstr>input_wld_az1_uplink01_mtu</vt:lpstr>
      <vt:lpstr>input_wld_az1_uplink01_vlan</vt:lpstr>
      <vt:lpstr>input_wld_az1_uplink02_cidr</vt:lpstr>
      <vt:lpstr>input_wld_az1_uplink02_gateway_ip</vt:lpstr>
      <vt:lpstr>input_wld_az1_uplink02_mtu</vt:lpstr>
      <vt:lpstr>input_wld_az1_uplink02_vlan</vt:lpstr>
      <vt:lpstr>input_wld_az1_vmotion_gateway_cidr</vt:lpstr>
      <vt:lpstr>input_wld_az1_vmotion_mtu</vt:lpstr>
      <vt:lpstr>input_wld_az1_vmotion_pool_end_ip</vt:lpstr>
      <vt:lpstr>input_wld_az1_vmotion_pool_start_ip</vt:lpstr>
      <vt:lpstr>input_wld_az1_vmotion_vlan</vt:lpstr>
      <vt:lpstr>input_wld_az1_vrms_cidr</vt:lpstr>
      <vt:lpstr>input_wld_az1_vrms_gateway_ip</vt:lpstr>
      <vt:lpstr>input_wld_az1_vrms_mtu</vt:lpstr>
      <vt:lpstr>input_wld_az1_vrms_vlan</vt:lpstr>
      <vt:lpstr>input_wld_az2_host_overlay_cidr</vt:lpstr>
      <vt:lpstr>input_wld_az2_host_overlay_gateway_ip</vt:lpstr>
      <vt:lpstr>input_wld_az2_host_overlay_mtu</vt:lpstr>
      <vt:lpstr>input_wld_az2_host_overlay_network_pool_name</vt:lpstr>
      <vt:lpstr>input_wld_az2_host_overlay_network_profile_name</vt:lpstr>
      <vt:lpstr>input_wld_az2_host_overlay_pool_end_ip</vt:lpstr>
      <vt:lpstr>input_wld_az2_host_overlay_pool_start_ip</vt:lpstr>
      <vt:lpstr>input_wld_az2_host_overlay_uplink_profile_name</vt:lpstr>
      <vt:lpstr>input_wld_az2_host_overlay_vlan</vt:lpstr>
      <vt:lpstr>input_wld_az2_host1_fqdn</vt:lpstr>
      <vt:lpstr>input_wld_az2_host1_mgmt_ip</vt:lpstr>
      <vt:lpstr>input_wld_az2_host1_sddc_id</vt:lpstr>
      <vt:lpstr>input_wld_az2_host1_vrms_ip</vt:lpstr>
      <vt:lpstr>input_wld_az2_host10_fqdn</vt:lpstr>
      <vt:lpstr>input_wld_az2_host10_mgmt_ip</vt:lpstr>
      <vt:lpstr>input_wld_az2_host10_vrms_ip</vt:lpstr>
      <vt:lpstr>input_wld_az2_host11_fqdn</vt:lpstr>
      <vt:lpstr>input_wld_az2_host11_mgmt_ip</vt:lpstr>
      <vt:lpstr>input_wld_az2_host11_vrms_ip</vt:lpstr>
      <vt:lpstr>input_wld_az2_host12_fqdn</vt:lpstr>
      <vt:lpstr>input_wld_az2_host12_mgmt_ip</vt:lpstr>
      <vt:lpstr>input_wld_az2_host12_vrms_ip</vt:lpstr>
      <vt:lpstr>input_wld_az2_host13_fqdn</vt:lpstr>
      <vt:lpstr>input_wld_az2_host13_mgmt_ip</vt:lpstr>
      <vt:lpstr>input_wld_az2_host13_vrms_ip</vt:lpstr>
      <vt:lpstr>input_wld_az2_host14_fqdn</vt:lpstr>
      <vt:lpstr>input_wld_az2_host14_mgmt_ip</vt:lpstr>
      <vt:lpstr>input_wld_az2_host14_vrms_ip</vt:lpstr>
      <vt:lpstr>input_wld_az2_host15_fqdn</vt:lpstr>
      <vt:lpstr>input_wld_az2_host15_mgmt_ip</vt:lpstr>
      <vt:lpstr>input_wld_az2_host15_vrms_ip</vt:lpstr>
      <vt:lpstr>input_wld_az2_host16_fqdn</vt:lpstr>
      <vt:lpstr>input_wld_az2_host16_mgmt_ip</vt:lpstr>
      <vt:lpstr>input_wld_az2_host16_vrms_ip</vt:lpstr>
      <vt:lpstr>input_wld_az2_host2_fqdn</vt:lpstr>
      <vt:lpstr>input_wld_az2_host2_mgmt_ip</vt:lpstr>
      <vt:lpstr>input_wld_az2_host2_sddc_id</vt:lpstr>
      <vt:lpstr>input_wld_az2_host2_vrms_ip</vt:lpstr>
      <vt:lpstr>input_wld_az2_host3_fqdn</vt:lpstr>
      <vt:lpstr>input_wld_az2_host3_mgmt_ip</vt:lpstr>
      <vt:lpstr>input_wld_az2_host3_sddc_id</vt:lpstr>
      <vt:lpstr>input_wld_az2_host3_vrms_ip</vt:lpstr>
      <vt:lpstr>input_wld_az2_host4_fqdn</vt:lpstr>
      <vt:lpstr>input_wld_az2_host4_mgmt_ip</vt:lpstr>
      <vt:lpstr>input_wld_az2_host4_sddc_id</vt:lpstr>
      <vt:lpstr>input_wld_az2_host4_vrms_ip</vt:lpstr>
      <vt:lpstr>input_wld_az2_host5_fqdn</vt:lpstr>
      <vt:lpstr>input_wld_az2_host5_mgmt_ip</vt:lpstr>
      <vt:lpstr>input_wld_az2_host5_vrms_ip</vt:lpstr>
      <vt:lpstr>input_wld_az2_host6_fqdn</vt:lpstr>
      <vt:lpstr>input_wld_az2_host6_mgmt_ip</vt:lpstr>
      <vt:lpstr>input_wld_az2_host6_vrms_ip</vt:lpstr>
      <vt:lpstr>input_wld_az2_host7_fqdn</vt:lpstr>
      <vt:lpstr>input_wld_az2_host7_mgmt_ip</vt:lpstr>
      <vt:lpstr>input_wld_az2_host7_vrms_ip</vt:lpstr>
      <vt:lpstr>input_wld_az2_host8_fqdn</vt:lpstr>
      <vt:lpstr>input_wld_az2_host8_mgmt_ip</vt:lpstr>
      <vt:lpstr>input_wld_az2_host8_vrms_ip</vt:lpstr>
      <vt:lpstr>input_wld_az2_host9_fqdn</vt:lpstr>
      <vt:lpstr>input_wld_az2_host9_mgmt_ip</vt:lpstr>
      <vt:lpstr>input_wld_az2_host9_vrms_ip</vt:lpstr>
      <vt:lpstr>input_wld_az2_mgmt_cidr</vt:lpstr>
      <vt:lpstr>input_wld_az2_mgmt_gateway_ip</vt:lpstr>
      <vt:lpstr>input_wld_az2_mgmt_mtu</vt:lpstr>
      <vt:lpstr>input_wld_az2_mgmt_vlan</vt:lpstr>
      <vt:lpstr>input_wld_az2_pool_name</vt:lpstr>
      <vt:lpstr>input_wld_az2_principal_storage_gateway_ip</vt:lpstr>
      <vt:lpstr>input_wld_az2_principal_storage_mask</vt:lpstr>
      <vt:lpstr>input_wld_az2_principal_storage_mtu</vt:lpstr>
      <vt:lpstr>input_wld_az2_principal_storage_network</vt:lpstr>
      <vt:lpstr>input_wld_az2_principal_storage_pool_end_ip</vt:lpstr>
      <vt:lpstr>input_wld_az2_principal_storage_pool_start_ip</vt:lpstr>
      <vt:lpstr>input_wld_az2_principal_storage_vlan</vt:lpstr>
      <vt:lpstr>input_wld_az2_secondary_storage_gateway_ip</vt:lpstr>
      <vt:lpstr>input_wld_az2_secondary_storage_mask</vt:lpstr>
      <vt:lpstr>input_wld_az2_secondary_storage_mtu</vt:lpstr>
      <vt:lpstr>input_wld_az2_secondary_storage_network</vt:lpstr>
      <vt:lpstr>input_wld_az2_secondary_storage_pool_end_ip</vt:lpstr>
      <vt:lpstr>input_wld_az2_secondary_storage_pool_start_ip</vt:lpstr>
      <vt:lpstr>input_wld_az2_secondary_storage_vlan</vt:lpstr>
      <vt:lpstr>input_wld_az2_storage_cluster_gateway_ip</vt:lpstr>
      <vt:lpstr>input_wld_az2_storage_cluster_mask</vt:lpstr>
      <vt:lpstr>input_wld_az2_storage_cluster_mtu</vt:lpstr>
      <vt:lpstr>input_wld_az2_storage_cluster_network</vt:lpstr>
      <vt:lpstr>input_wld_az2_storage_cluster_pool_end_ip</vt:lpstr>
      <vt:lpstr>input_wld_az2_storage_cluster_pool_start_ip</vt:lpstr>
      <vt:lpstr>input_wld_az2_storage_cluster_vlan</vt:lpstr>
      <vt:lpstr>input_wld_az2_tor1_peer_asn</vt:lpstr>
      <vt:lpstr>input_wld_az2_tor1_peer_bgp_password</vt:lpstr>
      <vt:lpstr>input_wld_az2_tor1_peer_ip</vt:lpstr>
      <vt:lpstr>input_wld_az2_tor2_peer_asn</vt:lpstr>
      <vt:lpstr>input_wld_az2_tor2_peer_bgp_password</vt:lpstr>
      <vt:lpstr>input_wld_az2_tor2_peer_ip</vt:lpstr>
      <vt:lpstr>input_wld_az2_vmotion_gateway_ip</vt:lpstr>
      <vt:lpstr>input_wld_az2_vmotion_mask</vt:lpstr>
      <vt:lpstr>input_wld_az2_vmotion_mtu</vt:lpstr>
      <vt:lpstr>input_wld_az2_vmotion_network</vt:lpstr>
      <vt:lpstr>input_wld_az2_vmotion_pool_end_ip</vt:lpstr>
      <vt:lpstr>input_wld_az2_vmotion_pool_start_ip</vt:lpstr>
      <vt:lpstr>input_wld_az2_vmotion_vlan</vt:lpstr>
      <vt:lpstr>input_wld_bf_nsxt_admin_password</vt:lpstr>
      <vt:lpstr>input_wld_bf_nsxt_audit_password</vt:lpstr>
      <vt:lpstr>input_wld_bf_nsxt_mgra_fqdn</vt:lpstr>
      <vt:lpstr>input_wld_bf_nsxt_mgrb_fqdn</vt:lpstr>
      <vt:lpstr>input_wld_bf_nsxt_mgrc_fqdn</vt:lpstr>
      <vt:lpstr>input_wld_bf_nsxt_root_password</vt:lpstr>
      <vt:lpstr>input_wld_bf_nsxt_vip_fqdn</vt:lpstr>
      <vt:lpstr>input_wld_bf_sddc_domain</vt:lpstr>
      <vt:lpstr>input_wld_bf_vc_fqdn</vt:lpstr>
      <vt:lpstr>input_wld_bf_vc_root_password</vt:lpstr>
      <vt:lpstr>input_wld_bf_vc_sso_password</vt:lpstr>
      <vt:lpstr>input_wld_bf_vc_sso_username</vt:lpstr>
      <vt:lpstr>input_wld_cl01_az1_mgmt_pg</vt:lpstr>
      <vt:lpstr>input_wld_cl01_az1_mgmt_vm_pg</vt:lpstr>
      <vt:lpstr>input_wld_cl01_az1_nsx_uplink_count</vt:lpstr>
      <vt:lpstr>input_wld_cl01_az1_principal_storage_pg</vt:lpstr>
      <vt:lpstr>input_wld_cl01_az1_uplink01_pg</vt:lpstr>
      <vt:lpstr>input_wld_cl01_az1_uplink02_pg</vt:lpstr>
      <vt:lpstr>input_wld_cl01_az1_vmotion_pg</vt:lpstr>
      <vt:lpstr>input_wld_cl01_az1_vsan_storage_client_pg</vt:lpstr>
      <vt:lpstr>input_wld_cl01_cluster</vt:lpstr>
      <vt:lpstr>input_wld_cl01_cluster_sddc_id</vt:lpstr>
      <vt:lpstr>input_wld_cl01_cluster_zn_name</vt:lpstr>
      <vt:lpstr>input_wld_cl01_evc_mode</vt:lpstr>
      <vt:lpstr>input_wld_cl01_image_name</vt:lpstr>
      <vt:lpstr>input_wld_cl01_nfs_datastore_name</vt:lpstr>
      <vt:lpstr>input_wld_cl01_nfs_server_address</vt:lpstr>
      <vt:lpstr>input_wld_cl01_nfs_share_path</vt:lpstr>
      <vt:lpstr>input_wld_cl01_supervisor_control_plane_ip_range</vt:lpstr>
      <vt:lpstr>input_wld_cl01_supervisor_dns</vt:lpstr>
      <vt:lpstr>input_wld_cl01_supervisor_name</vt:lpstr>
      <vt:lpstr>input_wld_cl01_supervisor_nsx_project</vt:lpstr>
      <vt:lpstr>input_wld_cl01_supervisor_ntp</vt:lpstr>
      <vt:lpstr>input_wld_cl01_supervisor_private_transit_gateway_cidr</vt:lpstr>
      <vt:lpstr>input_wld_cl01_supervisor_service_cidr</vt:lpstr>
      <vt:lpstr>input_wld_cl01_supervisor_vpc_profile</vt:lpstr>
      <vt:lpstr>input_wld_cl01_vds01_lag_name</vt:lpstr>
      <vt:lpstr>input_wld_cl01_vds01_mtu</vt:lpstr>
      <vt:lpstr>input_wld_cl01_vds01_name</vt:lpstr>
      <vt:lpstr>input_wld_cl01_vds01_pnics</vt:lpstr>
      <vt:lpstr>input_wld_cl01_vds01_uplink_count</vt:lpstr>
      <vt:lpstr>input_wld_cl01_vds02_lag_name</vt:lpstr>
      <vt:lpstr>input_wld_cl01_vds02_mtu</vt:lpstr>
      <vt:lpstr>input_wld_cl01_vds02_name</vt:lpstr>
      <vt:lpstr>input_wld_cl01_vds02_pnics</vt:lpstr>
      <vt:lpstr>input_wld_cl01_vds02_uplink_count</vt:lpstr>
      <vt:lpstr>input_wld_cl01_vds03_lag_name</vt:lpstr>
      <vt:lpstr>input_wld_cl01_vds03_mtu</vt:lpstr>
      <vt:lpstr>input_wld_cl01_vds03_name</vt:lpstr>
      <vt:lpstr>input_wld_cl01_vds03_pnics</vt:lpstr>
      <vt:lpstr>input_wld_cl01_vds03_uplink_count</vt:lpstr>
      <vt:lpstr>input_wld_cl01_vmfs_datastore_name</vt:lpstr>
      <vt:lpstr>input_wld_cl01_vsan_datastore</vt:lpstr>
      <vt:lpstr>input_wld_cl01_vsan_dit_rekey_custom_interval</vt:lpstr>
      <vt:lpstr>input_wld_cl01_vsan_dit_rekey_default_interval</vt:lpstr>
      <vt:lpstr>input_wld_datacenter</vt:lpstr>
      <vt:lpstr>input_wld_day2_vnaa_fqdn</vt:lpstr>
      <vt:lpstr>input_wld_day2_vnab_fqdn</vt:lpstr>
      <vt:lpstr>input_wld_ec_mtu</vt:lpstr>
      <vt:lpstr>input_wld_ec_name</vt:lpstr>
      <vt:lpstr>input_wld_ec_rp_name</vt:lpstr>
      <vt:lpstr>input_wld_ec01_en01_host_group_affinity_rule_name</vt:lpstr>
      <vt:lpstr>input_wld_ec01_en02_host_group_affinity_rule_name</vt:lpstr>
      <vt:lpstr>input_wld_en_asn</vt:lpstr>
      <vt:lpstr>input_wld_esx_root_password</vt:lpstr>
      <vt:lpstr>input_wld_esx_root_username</vt:lpstr>
      <vt:lpstr>input_wld_existing_active_nsx_gm</vt:lpstr>
      <vt:lpstr>input_wld_existing_cross_instance_t0_name</vt:lpstr>
      <vt:lpstr>input_wld_host_overlay_transportzone</vt:lpstr>
      <vt:lpstr>input_wld_nsx_vlan_transport_zone_name</vt:lpstr>
      <vt:lpstr>input_wld_nsxt_en_admin_password</vt:lpstr>
      <vt:lpstr>input_wld_nsxt_en_root_password</vt:lpstr>
      <vt:lpstr>input_wld_nsxt_federation_global_manager_name</vt:lpstr>
      <vt:lpstr>input_wld_nsxt_federation_location_name</vt:lpstr>
      <vt:lpstr>input_wld_nsxt_global_mgr_anti_affinity_rule_name</vt:lpstr>
      <vt:lpstr>input_wld_nsxt_global_mgr_certificate_id</vt:lpstr>
      <vt:lpstr>input_wld_nsxt_global_mgr_cluster_id</vt:lpstr>
      <vt:lpstr>input_wld_nsxt_global_mgr_vmca_signed_thumbprint</vt:lpstr>
      <vt:lpstr>input_wld_nsxt_global_mgra_fqdn</vt:lpstr>
      <vt:lpstr>input_wld_nsxt_global_mgra_hostname</vt:lpstr>
      <vt:lpstr>input_wld_nsxt_global_mgra_ip</vt:lpstr>
      <vt:lpstr>input_wld_nsxt_global_mgrb_fqdn</vt:lpstr>
      <vt:lpstr>input_wld_nsxt_global_mgrb_hostname</vt:lpstr>
      <vt:lpstr>input_wld_nsxt_global_mgrb_ip</vt:lpstr>
      <vt:lpstr>input_wld_nsxt_global_mgrc_fqdn</vt:lpstr>
      <vt:lpstr>input_wld_nsxt_global_mgrc_hostname</vt:lpstr>
      <vt:lpstr>input_wld_nsxt_global_mgrc_ip</vt:lpstr>
      <vt:lpstr>input_wld_nsxt_gm_admin_password</vt:lpstr>
      <vt:lpstr>input_wld_nsxt_gm_audit_password</vt:lpstr>
      <vt:lpstr>input_wld_nsxt_gm_fingerprint</vt:lpstr>
      <vt:lpstr>input_wld_nsxt_gm_root_password</vt:lpstr>
      <vt:lpstr>input_wld_nsxt_gm_vip_fqdn</vt:lpstr>
      <vt:lpstr>input_wld_nsxt_gm_vip_ip</vt:lpstr>
      <vt:lpstr>input_wld_nsxt_lm_admin_password</vt:lpstr>
      <vt:lpstr>input_wld_nsxt_lm_audit_password</vt:lpstr>
      <vt:lpstr>input_wld_nsxt_lm_fingerprint</vt:lpstr>
      <vt:lpstr>input_wld_nsxt_mgra_fqdn</vt:lpstr>
      <vt:lpstr>input_wld_nsxt_mgra_ip</vt:lpstr>
      <vt:lpstr>input_wld_nsxt_mgrb_fqdn</vt:lpstr>
      <vt:lpstr>input_wld_nsxt_mgrb_ip</vt:lpstr>
      <vt:lpstr>input_wld_nsxt_mgrc_fqdn</vt:lpstr>
      <vt:lpstr>input_wld_nsxt_mgrc_ip</vt:lpstr>
      <vt:lpstr>input_wld_nsxt_vip_fqdn</vt:lpstr>
      <vt:lpstr>input_wld_nsxt_vip_ip</vt:lpstr>
      <vt:lpstr>input_wld_nsxt_xreg_t1_name</vt:lpstr>
      <vt:lpstr>input_wld_rack2_en_asn</vt:lpstr>
      <vt:lpstr>input_wld_rack3_en_asn</vt:lpstr>
      <vt:lpstr>input_wld_rack4_en_asn</vt:lpstr>
      <vt:lpstr>input_wld_rack5_en_asn</vt:lpstr>
      <vt:lpstr>input_wld_rack6_en_asn</vt:lpstr>
      <vt:lpstr>input_wld_rack7_en_asn</vt:lpstr>
      <vt:lpstr>input_wld_rack8_en_asn</vt:lpstr>
      <vt:lpstr>input_wld_rtep_overlay_pool_end_ip</vt:lpstr>
      <vt:lpstr>input_wld_rtep_overlay_pool_start_ip</vt:lpstr>
      <vt:lpstr>input_wld_rwr_az1_vrms_gateway_ip</vt:lpstr>
      <vt:lpstr>input_wld_rwr_az1_vrms_gateway_mask</vt:lpstr>
      <vt:lpstr>input_wld_rwr_cl02_cluster</vt:lpstr>
      <vt:lpstr>input_wld_rwr_cl02_vds01</vt:lpstr>
      <vt:lpstr>input_wld_rwr_recovery_site_az1_vrms_cidr</vt:lpstr>
      <vt:lpstr>input_wld_rwr_recovery_site_vc_fqdn</vt:lpstr>
      <vt:lpstr>input_wld_rwr_recoverysite_fd</vt:lpstr>
      <vt:lpstr>input_wld_rwr_vc_fqdn</vt:lpstr>
      <vt:lpstr>input_wld_rwr_vcfops_vlsr_username</vt:lpstr>
      <vt:lpstr>input_wld_rwr_vcfops_vr_username</vt:lpstr>
      <vt:lpstr>input_wld_sddc_domain</vt:lpstr>
      <vt:lpstr>input_wld_srm_admin_email</vt:lpstr>
      <vt:lpstr>input_wld_srm_admin_password</vt:lpstr>
      <vt:lpstr>input_wld_srm_database_password</vt:lpstr>
      <vt:lpstr>input_wld_srm_hostname</vt:lpstr>
      <vt:lpstr>input_wld_srm_ip</vt:lpstr>
      <vt:lpstr>input_wld_srm_p12_password</vt:lpstr>
      <vt:lpstr>input_wld_srm_recovery_vcenter_fqdn</vt:lpstr>
      <vt:lpstr>input_wld_srm_recovery_vcenter_password</vt:lpstr>
      <vt:lpstr>input_wld_srm_recovery_vcenter_username</vt:lpstr>
      <vt:lpstr>input_wld_srm_root_password</vt:lpstr>
      <vt:lpstr>input_wld_srm_site_name</vt:lpstr>
      <vt:lpstr>input_wld_srm_sso_domain_membership</vt:lpstr>
      <vt:lpstr>input_wld_srm_vm_folder</vt:lpstr>
      <vt:lpstr>input_wld_srm_vm_size</vt:lpstr>
      <vt:lpstr>input_wld_sso_domain_name</vt:lpstr>
      <vt:lpstr>input_wld_supvr_api_server_fqdn</vt:lpstr>
      <vt:lpstr>input_wld_supvr_cp_storage_policy</vt:lpstr>
      <vt:lpstr>input_wld_supvr_ed_storage_policy</vt:lpstr>
      <vt:lpstr>input_wld_supvr_ic_storage_policy</vt:lpstr>
      <vt:lpstr>input_wld_supvr_ip_address_range</vt:lpstr>
      <vt:lpstr>input_wld_supvr_mgmt_dns_server</vt:lpstr>
      <vt:lpstr>input_wld_supvr_mgmt_dns_zones</vt:lpstr>
      <vt:lpstr>input_wld_supvr_mgmt_ntp_server</vt:lpstr>
      <vt:lpstr>input_wld_supvr_name</vt:lpstr>
      <vt:lpstr>input_wld_supvr_nsx_project</vt:lpstr>
      <vt:lpstr>input_wld_supvr_vpc_connectivity_profile</vt:lpstr>
      <vt:lpstr>input_wld_supvr_vpc_ext_ip_blocks_name</vt:lpstr>
      <vt:lpstr>input_wld_supvr_vpc_priv_cidr</vt:lpstr>
      <vt:lpstr>input_wld_supvr_vpc_priv_ip_blocks_name</vt:lpstr>
      <vt:lpstr>input_wld_supvr_vpc_service_cidr</vt:lpstr>
      <vt:lpstr>input_wld_supvr_wld_dns_server</vt:lpstr>
      <vt:lpstr>input_wld_supvr_wld_ntp_server</vt:lpstr>
      <vt:lpstr>input_wld_supvr_zone_name</vt:lpstr>
      <vt:lpstr>input_wld_tier0_name</vt:lpstr>
      <vt:lpstr>input_wld_vc_fqdn</vt:lpstr>
      <vt:lpstr>input_wld_vc_ip</vt:lpstr>
      <vt:lpstr>input_wld_vcenter_root_password</vt:lpstr>
      <vt:lpstr>input_wld_vlr_hostname</vt:lpstr>
      <vt:lpstr>input_wld_vlr_replication_user</vt:lpstr>
      <vt:lpstr>input_wld_vna_rp_name</vt:lpstr>
      <vt:lpstr>input_wld_vnaa_cidr</vt:lpstr>
      <vt:lpstr>input_wld_vnaa_fqdn</vt:lpstr>
      <vt:lpstr>input_wld_vnaa_ip</vt:lpstr>
      <vt:lpstr>input_wld_vnab_cidr</vt:lpstr>
      <vt:lpstr>input_wld_vnab_fqdn</vt:lpstr>
      <vt:lpstr>input_wld_vnab_ip</vt:lpstr>
      <vt:lpstr>input_wld_vpc_ext_ip_blocks_cidr</vt:lpstr>
      <vt:lpstr>input_wld_vpc_ext_ip_blocks_excluded_ips</vt:lpstr>
      <vt:lpstr>input_wld_vpc_ext_ip_blocks_name</vt:lpstr>
      <vt:lpstr>input_wld_vpc_ext_ip_blocks_reserved</vt:lpstr>
      <vt:lpstr>input_wld_vpc_ext_ip_blocks_visability</vt:lpstr>
      <vt:lpstr>input_wld_vpc_priv_ip_blocks_excluded_ips</vt:lpstr>
      <vt:lpstr>input_wld_vpc_priv_ip_blocks_name</vt:lpstr>
      <vt:lpstr>input_wld_vpc_priv_ip_blocks_reserved</vt:lpstr>
      <vt:lpstr>input_wld_vpc_priv_ip_blocks_visability</vt:lpstr>
      <vt:lpstr>input_wld_vpc_transit_gateway_ip_blocks_cidr</vt:lpstr>
      <vt:lpstr>input_wld_vpc_vna_cluster_name</vt:lpstr>
      <vt:lpstr>input_wld_vrms_admin_email</vt:lpstr>
      <vt:lpstr>input_wld_vrms_admin_password</vt:lpstr>
      <vt:lpstr>input_wld_vrms_hostname</vt:lpstr>
      <vt:lpstr>input_wld_vrms_mgmt_ip</vt:lpstr>
      <vt:lpstr>input_wld_vrms_p12_password</vt:lpstr>
      <vt:lpstr>input_wld_vrms_pg</vt:lpstr>
      <vt:lpstr>input_wld_vrms_recovery_replication_cidr</vt:lpstr>
      <vt:lpstr>input_wld_vrms_root_password</vt:lpstr>
      <vt:lpstr>input_wld_vrms_site_name</vt:lpstr>
      <vt:lpstr>input_wld_vrms_vm_folder</vt:lpstr>
      <vt:lpstr>input_wld_vrms_vrms_ip</vt:lpstr>
      <vt:lpstr>input_wld_witness_cluster</vt:lpstr>
      <vt:lpstr>input_wld_witness_dns1_ip</vt:lpstr>
      <vt:lpstr>input_wld_witness_dns2_ip</vt:lpstr>
      <vt:lpstr>input_wld_witness_fqdn</vt:lpstr>
      <vt:lpstr>input_wld_witness_hostname</vt:lpstr>
      <vt:lpstr>input_wld_witness_ip</vt:lpstr>
      <vt:lpstr>input_wld_witness_mgmt_pg</vt:lpstr>
      <vt:lpstr>input_wld_witness_ntp1_server</vt:lpstr>
      <vt:lpstr>input_wld_witness_ntp2_server</vt:lpstr>
      <vt:lpstr>input_wld_witness_root_password</vt:lpstr>
      <vt:lpstr>input_wld_witness_vm_folder</vt:lpstr>
      <vt:lpstr>input_wld_witness_vsan_datastore</vt:lpstr>
      <vt:lpstr>input_wld_witness_zone_vc_fqdn</vt:lpstr>
      <vt:lpstr>input_wld_witness_zone_vc_ip</vt:lpstr>
      <vt:lpstr>input_wld_witnessaz_mgmt_cidr</vt:lpstr>
      <vt:lpstr>input_wld_witnessaz_mgmt_gateway_ip</vt:lpstr>
      <vt:lpstr>input_wld_witnessaz_mgmt_mtu</vt:lpstr>
      <vt:lpstr>input_wld_witnessaz_mgmt_vlan</vt:lpstr>
      <vt:lpstr>input_xreg_vra_admin_password</vt:lpstr>
      <vt:lpstr>input_xreg_vra_virtual_fqdn</vt:lpstr>
      <vt:lpstr>input_xreg_vra_virtual_ip</vt:lpstr>
      <vt:lpstr>input_xreg_vrops_admin_password</vt:lpstr>
      <vt:lpstr>input_xreg_vrops_collector_fqdn</vt:lpstr>
      <vt:lpstr>input_xreg_vrops_collector_ip</vt:lpstr>
      <vt:lpstr>input_xreg_vrops_collector_root_password</vt:lpstr>
      <vt:lpstr>input_xreg_vrops_nodea_fqdn</vt:lpstr>
      <vt:lpstr>input_xreg_vrops_nodea_ip</vt:lpstr>
      <vt:lpstr>input_xreg_vrops_nodeb_fqdn</vt:lpstr>
      <vt:lpstr>input_xreg_vrops_nodeb_ip</vt:lpstr>
      <vt:lpstr>input_xreg_vrops_nodec_fqdn</vt:lpstr>
      <vt:lpstr>input_xreg_vrops_nodec_ip</vt:lpstr>
      <vt:lpstr>input_xreg_vrops_root_password</vt:lpstr>
      <vt:lpstr>input_xreg_vrops_srm_sso_password</vt:lpstr>
      <vt:lpstr>input_xreg_vrops_srm_sso_username</vt:lpstr>
      <vt:lpstr>input_xreg_vrops_virtual_fqdn</vt:lpstr>
      <vt:lpstr>input_xreg_vrops_virtual_ip</vt:lpstr>
      <vt:lpstr>input_xreg_vrops_vrms_sso_password</vt:lpstr>
      <vt:lpstr>input_xreg_vrops_vrms_sso_username</vt:lpstr>
      <vt:lpstr>input_xregion_dns1_ip</vt:lpstr>
      <vt:lpstr>input_xregion_dns2_ip</vt:lpstr>
      <vt:lpstr>input_xregion_ntp1_server</vt:lpstr>
      <vt:lpstr>input_xregion_ntp2_server</vt:lpstr>
      <vt:lpstr>k8s_cluster_endpoint_fqdn</vt:lpstr>
      <vt:lpstr>k8s_harbor_fqdn</vt:lpstr>
      <vt:lpstr>k8s_harbor_hostname</vt:lpstr>
      <vt:lpstr>k8s_harbor_ip</vt:lpstr>
      <vt:lpstr>k8s_ip_prefixlist</vt:lpstr>
      <vt:lpstr>k8s_ip_routemap</vt:lpstr>
      <vt:lpstr>k8s_kubectl_path</vt:lpstr>
      <vt:lpstr>k8s_mgmt_pool_start_ip</vt:lpstr>
      <vt:lpstr>k8s_mgmt_seg</vt:lpstr>
      <vt:lpstr>k8s_namepsace</vt:lpstr>
      <vt:lpstr>k8s_segment_gateway_ip</vt:lpstr>
      <vt:lpstr>k8s_segment_pg</vt:lpstr>
      <vt:lpstr>k8s_tanzu_k8s_cluster_pod_pool_cidr</vt:lpstr>
      <vt:lpstr>k8s_tanzu_k8s_cluster_service_pool_cidr</vt:lpstr>
      <vt:lpstr>k8s_vcenter_category</vt:lpstr>
      <vt:lpstr>k8s_vcenter_content_library</vt:lpstr>
      <vt:lpstr>k8s_vcenter_storage_policy</vt:lpstr>
      <vt:lpstr>k8s_vcenter_tag</vt:lpstr>
      <vt:lpstr>k8s_vm_class</vt:lpstr>
      <vt:lpstr>lag_load_balancing</vt:lpstr>
      <vt:lpstr>mgmt_avi_loadbalancer_chosen</vt:lpstr>
      <vt:lpstr>mgmt_avi_loadbalancer_result</vt:lpstr>
      <vt:lpstr>mgmt_avilb_cluster_name</vt:lpstr>
      <vt:lpstr>mgmt_avilb_cluster_version</vt:lpstr>
      <vt:lpstr>mgmt_avilb_fqdn</vt:lpstr>
      <vt:lpstr>mgmt_avilb_hostname</vt:lpstr>
      <vt:lpstr>mgmt_avilb_ip</vt:lpstr>
      <vt:lpstr>mgmt_avilb_mgra_ip</vt:lpstr>
      <vt:lpstr>mgmt_avilb_mgrb_ip</vt:lpstr>
      <vt:lpstr>mgmt_avilb_mgrc_ip</vt:lpstr>
      <vt:lpstr>mgmt_az1_dtgw_gateway_cidr</vt:lpstr>
      <vt:lpstr>mgmt_az1_ec01_password_creation_chosen</vt:lpstr>
      <vt:lpstr>mgmt_az1_edge_overlay_cidr</vt:lpstr>
      <vt:lpstr>mgmt_az1_edge_overlay_gateway_ip</vt:lpstr>
      <vt:lpstr>mgmt_az1_edge_overlay_mask</vt:lpstr>
      <vt:lpstr>mgmt_az1_edge_overlay_mtu</vt:lpstr>
      <vt:lpstr>mgmt_az1_edge_overlay_network</vt:lpstr>
      <vt:lpstr>mgmt_az1_edge_overlay_network_pool_name</vt:lpstr>
      <vt:lpstr>mgmt_az1_edge_overlay_pg</vt:lpstr>
      <vt:lpstr>mgmt_az1_edge_overlay_pool_end_ip</vt:lpstr>
      <vt:lpstr>mgmt_az1_edge_overlay_pool_start_ip</vt:lpstr>
      <vt:lpstr>mgmt_az1_edge_overlay_vlan</vt:lpstr>
      <vt:lpstr>mgmt_az1_en1_edge_overlay_interface_ip_1_ip</vt:lpstr>
      <vt:lpstr>mgmt_az1_en1_edge_overlay_interface_ip_2_ip</vt:lpstr>
      <vt:lpstr>mgmt_az1_en1_edge_overlay_network_ip_allocation_chosen</vt:lpstr>
      <vt:lpstr>mgmt_az1_en1_eth0_uplink0</vt:lpstr>
      <vt:lpstr>mgmt_az1_en1_eth0_uplink1</vt:lpstr>
      <vt:lpstr>mgmt_az1_en1_eth1_uplink0</vt:lpstr>
      <vt:lpstr>mgmt_az1_en1_eth1_uplink1</vt:lpstr>
      <vt:lpstr>mgmt_az1_en1_fqdn</vt:lpstr>
      <vt:lpstr>mgmt_az1_en1_hostname</vt:lpstr>
      <vt:lpstr>mgmt_az1_en1_ip_allocation_chosen</vt:lpstr>
      <vt:lpstr>mgmt_az1_en1_mgmt_cidr</vt:lpstr>
      <vt:lpstr>mgmt_az1_en1_mgmt_ip</vt:lpstr>
      <vt:lpstr>mgmt_az1_en1_uplink_ip_assignment_chosen</vt:lpstr>
      <vt:lpstr>mgmt_az1_en1_uplink01_interface_cidr</vt:lpstr>
      <vt:lpstr>mgmt_az1_en1_uplink02_interface_cidr</vt:lpstr>
      <vt:lpstr>mgmt_az1_en2_edge_overlay_interface_ip_1_ip</vt:lpstr>
      <vt:lpstr>mgmt_az1_en2_edge_overlay_interface_ip_2_ip</vt:lpstr>
      <vt:lpstr>mgmt_az1_en2_eth0_uplink0</vt:lpstr>
      <vt:lpstr>mgmt_az1_en2_eth0_uplink1</vt:lpstr>
      <vt:lpstr>mgmt_az1_en2_eth1_uplink0</vt:lpstr>
      <vt:lpstr>mgmt_az1_en2_eth1_uplink1</vt:lpstr>
      <vt:lpstr>mgmt_az1_en2_fqdn</vt:lpstr>
      <vt:lpstr>mgmt_az1_en2_hostname</vt:lpstr>
      <vt:lpstr>mgmt_az1_en2_mgmt_cidr</vt:lpstr>
      <vt:lpstr>mgmt_az1_en2_mgmt_ip</vt:lpstr>
      <vt:lpstr>mgmt_az1_en2_uplink01_interface_cidr</vt:lpstr>
      <vt:lpstr>mgmt_az1_en2_uplink02_interface_cidr</vt:lpstr>
      <vt:lpstr>mgmt_az1_host_fqdns</vt:lpstr>
      <vt:lpstr>mgmt_az1_host_hostnames</vt:lpstr>
      <vt:lpstr>mgmt_az1_host_mgmt_ips</vt:lpstr>
      <vt:lpstr>mgmt_az1_host_overlay_cidr</vt:lpstr>
      <vt:lpstr>mgmt_az1_host_overlay_gateway_cidr</vt:lpstr>
      <vt:lpstr>mgmt_az1_host_overlay_gateway_ip</vt:lpstr>
      <vt:lpstr>mgmt_az1_host_overlay_mask</vt:lpstr>
      <vt:lpstr>mgmt_az1_host_overlay_mtu</vt:lpstr>
      <vt:lpstr>mgmt_az1_host_overlay_network</vt:lpstr>
      <vt:lpstr>mgmt_az1_host_overlay_network_pool_description</vt:lpstr>
      <vt:lpstr>mgmt_az1_host_overlay_network_pool_name</vt:lpstr>
      <vt:lpstr>mgmt_az1_host_overlay_network_profile_name</vt:lpstr>
      <vt:lpstr>mgmt_az1_host_overlay_pg</vt:lpstr>
      <vt:lpstr>mgmt_az1_host_overlay_pool_end_ip</vt:lpstr>
      <vt:lpstr>mgmt_az1_host_overlay_pool_start_ip</vt:lpstr>
      <vt:lpstr>mgmt_az1_host_overlay_transport_zone</vt:lpstr>
      <vt:lpstr>mgmt_az1_host_overlay_vlan</vt:lpstr>
      <vt:lpstr>mgmt_az1_host1_fqdn</vt:lpstr>
      <vt:lpstr>mgmt_az1_host1_hostname</vt:lpstr>
      <vt:lpstr>mgmt_az1_host1_mgmt_ip</vt:lpstr>
      <vt:lpstr>mgmt_az1_host1_vrms_ip</vt:lpstr>
      <vt:lpstr>mgmt_az1_host10_fqdn</vt:lpstr>
      <vt:lpstr>mgmt_az1_host10_hostname</vt:lpstr>
      <vt:lpstr>mgmt_az1_host10_mgmt_ip</vt:lpstr>
      <vt:lpstr>mgmt_az1_host10_vrms_ip</vt:lpstr>
      <vt:lpstr>mgmt_az1_host11_fqdn</vt:lpstr>
      <vt:lpstr>mgmt_az1_host11_hostname</vt:lpstr>
      <vt:lpstr>mgmt_az1_host11_mgmt_ip</vt:lpstr>
      <vt:lpstr>mgmt_az1_host11_vrms_ip</vt:lpstr>
      <vt:lpstr>mgmt_az1_host12_fqdn</vt:lpstr>
      <vt:lpstr>mgmt_az1_host12_hostname</vt:lpstr>
      <vt:lpstr>mgmt_az1_host12_mgmt_ip</vt:lpstr>
      <vt:lpstr>mgmt_az1_host12_vrms_ip</vt:lpstr>
      <vt:lpstr>mgmt_az1_host13_fqdn</vt:lpstr>
      <vt:lpstr>mgmt_az1_host13_hostname</vt:lpstr>
      <vt:lpstr>mgmt_az1_host13_mgmt_ip</vt:lpstr>
      <vt:lpstr>mgmt_az1_host13_vrms_ip</vt:lpstr>
      <vt:lpstr>mgmt_az1_host14_fqdn</vt:lpstr>
      <vt:lpstr>mgmt_az1_host14_hostname</vt:lpstr>
      <vt:lpstr>mgmt_az1_host14_mgmt_ip</vt:lpstr>
      <vt:lpstr>mgmt_az1_host14_vrms_ip</vt:lpstr>
      <vt:lpstr>mgmt_az1_host15_fqdn</vt:lpstr>
      <vt:lpstr>mgmt_az1_host15_hostname</vt:lpstr>
      <vt:lpstr>mgmt_az1_host15_mgmt_ip</vt:lpstr>
      <vt:lpstr>mgmt_az1_host15_vrms_ip</vt:lpstr>
      <vt:lpstr>mgmt_az1_host16_fqdn</vt:lpstr>
      <vt:lpstr>mgmt_az1_host16_hostname</vt:lpstr>
      <vt:lpstr>mgmt_az1_host16_mgmt_ip</vt:lpstr>
      <vt:lpstr>mgmt_az1_host16_vrms_ip</vt:lpstr>
      <vt:lpstr>mgmt_az1_host2_fqdn</vt:lpstr>
      <vt:lpstr>mgmt_az1_host2_hostname</vt:lpstr>
      <vt:lpstr>mgmt_az1_host2_mgmt_ip</vt:lpstr>
      <vt:lpstr>mgmt_az1_host2_vrms_ip</vt:lpstr>
      <vt:lpstr>mgmt_az1_host3_fqdn</vt:lpstr>
      <vt:lpstr>mgmt_az1_host3_hostname</vt:lpstr>
      <vt:lpstr>mgmt_az1_host3_mgmt_ip</vt:lpstr>
      <vt:lpstr>mgmt_az1_host3_vrms_ip</vt:lpstr>
      <vt:lpstr>mgmt_az1_host4_fqdn</vt:lpstr>
      <vt:lpstr>mgmt_az1_host4_hostname</vt:lpstr>
      <vt:lpstr>mgmt_az1_host4_mgmt_ip</vt:lpstr>
      <vt:lpstr>mgmt_az1_host4_vrms_ip</vt:lpstr>
      <vt:lpstr>mgmt_az1_host5_fqdn</vt:lpstr>
      <vt:lpstr>mgmt_az1_host5_hostname</vt:lpstr>
      <vt:lpstr>mgmt_az1_host5_mgmt_ip</vt:lpstr>
      <vt:lpstr>mgmt_az1_host5_vrms_ip</vt:lpstr>
      <vt:lpstr>mgmt_az1_host6_fqdn</vt:lpstr>
      <vt:lpstr>mgmt_az1_host6_hostname</vt:lpstr>
      <vt:lpstr>mgmt_az1_host6_mgmt_ip</vt:lpstr>
      <vt:lpstr>mgmt_az1_host6_vrms_ip</vt:lpstr>
      <vt:lpstr>mgmt_az1_host7_fqdn</vt:lpstr>
      <vt:lpstr>mgmt_az1_host7_hostname</vt:lpstr>
      <vt:lpstr>mgmt_az1_host7_mgmt_ip</vt:lpstr>
      <vt:lpstr>mgmt_az1_host7_vrms_ip</vt:lpstr>
      <vt:lpstr>mgmt_az1_host8_fqdn</vt:lpstr>
      <vt:lpstr>mgmt_az1_host8_hostname</vt:lpstr>
      <vt:lpstr>mgmt_az1_host8_mgmt_ip</vt:lpstr>
      <vt:lpstr>mgmt_az1_host8_vrms_ip</vt:lpstr>
      <vt:lpstr>mgmt_az1_host9_fqdn</vt:lpstr>
      <vt:lpstr>mgmt_az1_host9_hostname</vt:lpstr>
      <vt:lpstr>mgmt_az1_host9_mgmt_ip</vt:lpstr>
      <vt:lpstr>mgmt_az1_host9_vrms_ip</vt:lpstr>
      <vt:lpstr>mgmt_az1_mgmt_cidr</vt:lpstr>
      <vt:lpstr>mgmt_az1_mgmt_gateway_cidr</vt:lpstr>
      <vt:lpstr>mgmt_az1_mgmt_gateway_ip</vt:lpstr>
      <vt:lpstr>mgmt_az1_mgmt_mask</vt:lpstr>
      <vt:lpstr>mgmt_az1_mgmt_mtu</vt:lpstr>
      <vt:lpstr>mgmt_az1_mgmt_network</vt:lpstr>
      <vt:lpstr>mgmt_az1_mgmt_vlan</vt:lpstr>
      <vt:lpstr>mgmt_az1_mgmt_vm_cidr</vt:lpstr>
      <vt:lpstr>mgmt_az1_mgmt_vm_gateway_cidr</vt:lpstr>
      <vt:lpstr>mgmt_az1_mgmt_vm_gateway_ip</vt:lpstr>
      <vt:lpstr>mgmt_az1_mgmt_vm_mask</vt:lpstr>
      <vt:lpstr>mgmt_az1_mgmt_vm_mtu</vt:lpstr>
      <vt:lpstr>mgmt_az1_mgmt_vm_network</vt:lpstr>
      <vt:lpstr>mgmt_az1_mgmt_vm_vlan</vt:lpstr>
      <vt:lpstr>mgmt_az1_pool_name</vt:lpstr>
      <vt:lpstr>mgmt_az1_rtep_ip_pool_name</vt:lpstr>
      <vt:lpstr>mgmt_az1_rtep_overlay_cidr</vt:lpstr>
      <vt:lpstr>mgmt_az1_rtep_overlay_gateway_ip</vt:lpstr>
      <vt:lpstr>mgmt_az1_rtep_overlay_mtu</vt:lpstr>
      <vt:lpstr>mgmt_az1_rtep_overlay_network</vt:lpstr>
      <vt:lpstr>mgmt_az1_rtep_overlay_pg</vt:lpstr>
      <vt:lpstr>mgmt_az1_rtep_overlay_vlan</vt:lpstr>
      <vt:lpstr>mgmt_az1_secondary_storage_cidr</vt:lpstr>
      <vt:lpstr>mgmt_az1_secondary_storage_gateway_cidr</vt:lpstr>
      <vt:lpstr>mgmt_az1_secondary_storage_gateway_ip</vt:lpstr>
      <vt:lpstr>mgmt_az1_secondary_storage_mask</vt:lpstr>
      <vt:lpstr>mgmt_az1_secondary_storage_mtu</vt:lpstr>
      <vt:lpstr>mgmt_az1_secondary_storage_network</vt:lpstr>
      <vt:lpstr>mgmt_az1_secondary_storage_pool_end_ip</vt:lpstr>
      <vt:lpstr>mgmt_az1_secondary_storage_pool_start_ip</vt:lpstr>
      <vt:lpstr>mgmt_az1_secondary_storage_vlan</vt:lpstr>
      <vt:lpstr>mgmt_az1_tor1_peer_asn</vt:lpstr>
      <vt:lpstr>mgmt_az1_tor1_peer_bgp_password</vt:lpstr>
      <vt:lpstr>mgmt_az1_tor1_peer_ip</vt:lpstr>
      <vt:lpstr>mgmt_az1_tor2_peer_asn</vt:lpstr>
      <vt:lpstr>mgmt_az1_tor2_peer_bgp_password</vt:lpstr>
      <vt:lpstr>mgmt_az1_tor2_peer_ip</vt:lpstr>
      <vt:lpstr>mgmt_az1_uplink01_cidr</vt:lpstr>
      <vt:lpstr>mgmt_az1_uplink01_gateway_ip</vt:lpstr>
      <vt:lpstr>mgmt_az1_uplink01_mask</vt:lpstr>
      <vt:lpstr>mgmt_az1_uplink01_mtu</vt:lpstr>
      <vt:lpstr>mgmt_az1_uplink01_network</vt:lpstr>
      <vt:lpstr>mgmt_az1_uplink01_vlan</vt:lpstr>
      <vt:lpstr>mgmt_az1_uplink02_cidr</vt:lpstr>
      <vt:lpstr>mgmt_az1_uplink02_gateway_ip</vt:lpstr>
      <vt:lpstr>mgmt_az1_uplink02_mask</vt:lpstr>
      <vt:lpstr>mgmt_az1_uplink02_mtu</vt:lpstr>
      <vt:lpstr>mgmt_az1_uplink02_network</vt:lpstr>
      <vt:lpstr>mgmt_az1_uplink02_vlan</vt:lpstr>
      <vt:lpstr>mgmt_az1_vcf_mgmt_cidr</vt:lpstr>
      <vt:lpstr>mgmt_az1_vcf_mgmt_gateway_cidr</vt:lpstr>
      <vt:lpstr>mgmt_az1_vcf_mgmt_gateway_ip</vt:lpstr>
      <vt:lpstr>mgmt_az1_vcf_mgmt_mask</vt:lpstr>
      <vt:lpstr>mgmt_az1_vcf_mgmt_mtu</vt:lpstr>
      <vt:lpstr>mgmt_az1_vcf_mgmt_network</vt:lpstr>
      <vt:lpstr>mgmt_az1_vcf_mgmt_vlan</vt:lpstr>
      <vt:lpstr>mgmt_az1_vm_cidr</vt:lpstr>
      <vt:lpstr>mgmt_az1_vm_gateway_ip</vt:lpstr>
      <vt:lpstr>mgmt_az1_vm_mtu</vt:lpstr>
      <vt:lpstr>mgmt_az1_vm_vlan</vt:lpstr>
      <vt:lpstr>mgmt_az1_vmotion_cidr</vt:lpstr>
      <vt:lpstr>mgmt_az1_vmotion_gateway_cidr</vt:lpstr>
      <vt:lpstr>mgmt_az1_vmotion_gateway_ip</vt:lpstr>
      <vt:lpstr>mgmt_az1_vmotion_ip_scheme_chosen</vt:lpstr>
      <vt:lpstr>mgmt_az1_vmotion_mask</vt:lpstr>
      <vt:lpstr>mgmt_az1_vmotion_mtu</vt:lpstr>
      <vt:lpstr>mgmt_az1_vmotion_network</vt:lpstr>
      <vt:lpstr>mgmt_az1_vmotion_pool_end_ip</vt:lpstr>
      <vt:lpstr>mgmt_az1_vmotion_pool_start_ip</vt:lpstr>
      <vt:lpstr>mgmt_az1_vmotion_vlan</vt:lpstr>
      <vt:lpstr>mgmt_az1_vrms_cidr</vt:lpstr>
      <vt:lpstr>mgmt_az1_vrms_gateway_ip</vt:lpstr>
      <vt:lpstr>mgmt_az1_vrms_mtu</vt:lpstr>
      <vt:lpstr>mgmt_az1_vrms_network</vt:lpstr>
      <vt:lpstr>mgmt_az1_vrms_vlan</vt:lpstr>
      <vt:lpstr>mgmt_az1_vsan_cidr</vt:lpstr>
      <vt:lpstr>mgmt_az1_vsan_gateway_cidr</vt:lpstr>
      <vt:lpstr>mgmt_az1_vsan_gateway_ip</vt:lpstr>
      <vt:lpstr>mgmt_az1_vsan_ip_scheme_chosen</vt:lpstr>
      <vt:lpstr>mgmt_az1_vsan_mask</vt:lpstr>
      <vt:lpstr>mgmt_az1_vsan_mtu</vt:lpstr>
      <vt:lpstr>mgmt_az1_vsan_network</vt:lpstr>
      <vt:lpstr>mgmt_az1_vsan_pool_end_ip</vt:lpstr>
      <vt:lpstr>mgmt_az1_vsan_pool_start_ip</vt:lpstr>
      <vt:lpstr>mgmt_az1_vsan_vlan</vt:lpstr>
      <vt:lpstr>mgmt_az2_edge_overlay_cidr</vt:lpstr>
      <vt:lpstr>mgmt_az2_edge_overlay_gateway_ip</vt:lpstr>
      <vt:lpstr>mgmt_az2_edge_overlay_mask</vt:lpstr>
      <vt:lpstr>mgmt_az2_edge_overlay_mtu</vt:lpstr>
      <vt:lpstr>mgmt_az2_edge_overlay_network</vt:lpstr>
      <vt:lpstr>mgmt_az2_edge_overlay_pg</vt:lpstr>
      <vt:lpstr>mgmt_az2_edge_overlay_vlan</vt:lpstr>
      <vt:lpstr>mgmt_az2_host_fqdns</vt:lpstr>
      <vt:lpstr>mgmt_az2_host_hostnames</vt:lpstr>
      <vt:lpstr>mgmt_az2_host_mgmt_ips</vt:lpstr>
      <vt:lpstr>mgmt_az2_host_overlay_cidr</vt:lpstr>
      <vt:lpstr>mgmt_az2_host_overlay_gateway_ip</vt:lpstr>
      <vt:lpstr>mgmt_az2_host_overlay_mask</vt:lpstr>
      <vt:lpstr>mgmt_az2_host_overlay_mtu</vt:lpstr>
      <vt:lpstr>mgmt_az2_host_overlay_network</vt:lpstr>
      <vt:lpstr>mgmt_az2_host_overlay_network_pool_name</vt:lpstr>
      <vt:lpstr>mgmt_az2_host_overlay_network_profile_name</vt:lpstr>
      <vt:lpstr>mgmt_az2_host_overlay_new_pool_chosen</vt:lpstr>
      <vt:lpstr>mgmt_az2_host_overlay_pg</vt:lpstr>
      <vt:lpstr>mgmt_az2_host_overlay_pool_end_ip</vt:lpstr>
      <vt:lpstr>mgmt_az2_host_overlay_pool_name</vt:lpstr>
      <vt:lpstr>mgmt_az2_host_overlay_pool_start_ip</vt:lpstr>
      <vt:lpstr>mgmt_az2_host_overlay_uplink_profile_name</vt:lpstr>
      <vt:lpstr>mgmt_az2_host_overlay_vlan</vt:lpstr>
      <vt:lpstr>mgmt_az2_host_vrms_ips</vt:lpstr>
      <vt:lpstr>mgmt_az2_host1_fqdn</vt:lpstr>
      <vt:lpstr>mgmt_az2_host1_hostname</vt:lpstr>
      <vt:lpstr>mgmt_az2_host1_mgmt_ip</vt:lpstr>
      <vt:lpstr>mgmt_az2_host1_sddc_id</vt:lpstr>
      <vt:lpstr>mgmt_az2_host1_vrms_ip</vt:lpstr>
      <vt:lpstr>mgmt_az2_host10_fqdn</vt:lpstr>
      <vt:lpstr>mgmt_az2_host10_hostname</vt:lpstr>
      <vt:lpstr>mgmt_az2_host10_mgmt_ip</vt:lpstr>
      <vt:lpstr>mgmt_az2_host10_vrms_ip</vt:lpstr>
      <vt:lpstr>mgmt_az2_host11_fqdn</vt:lpstr>
      <vt:lpstr>mgmt_az2_host11_hostname</vt:lpstr>
      <vt:lpstr>mgmt_az2_host11_mgmt_ip</vt:lpstr>
      <vt:lpstr>mgmt_az2_host11_vrms_ip</vt:lpstr>
      <vt:lpstr>mgmt_az2_host12_fqdn</vt:lpstr>
      <vt:lpstr>mgmt_az2_host12_hostname</vt:lpstr>
      <vt:lpstr>mgmt_az2_host12_mgmt_ip</vt:lpstr>
      <vt:lpstr>mgmt_az2_host12_vrms_ip</vt:lpstr>
      <vt:lpstr>mgmt_az2_host13_fqdn</vt:lpstr>
      <vt:lpstr>mgmt_az2_host13_hostname</vt:lpstr>
      <vt:lpstr>mgmt_az2_host13_mgmt_ip</vt:lpstr>
      <vt:lpstr>mgmt_az2_host13_vrms_ip</vt:lpstr>
      <vt:lpstr>mgmt_az2_host14_fqdn</vt:lpstr>
      <vt:lpstr>mgmt_az2_host14_hostname</vt:lpstr>
      <vt:lpstr>mgmt_az2_host14_mgmt_ip</vt:lpstr>
      <vt:lpstr>mgmt_az2_host14_vrms_ip</vt:lpstr>
      <vt:lpstr>mgmt_az2_host15_fqdn</vt:lpstr>
      <vt:lpstr>mgmt_az2_host15_hostname</vt:lpstr>
      <vt:lpstr>mgmt_az2_host15_mgmt_ip</vt:lpstr>
      <vt:lpstr>mgmt_az2_host15_vrms_ip</vt:lpstr>
      <vt:lpstr>mgmt_az2_host16_fqdn</vt:lpstr>
      <vt:lpstr>mgmt_az2_host16_hostname</vt:lpstr>
      <vt:lpstr>mgmt_az2_host16_mgmt_ip</vt:lpstr>
      <vt:lpstr>mgmt_az2_host16_vrms_ip</vt:lpstr>
      <vt:lpstr>mgmt_az2_host2_fqdn</vt:lpstr>
      <vt:lpstr>mgmt_az2_host2_hostname</vt:lpstr>
      <vt:lpstr>mgmt_az2_host2_mgmt_ip</vt:lpstr>
      <vt:lpstr>mgmt_az2_host2_sddc_id</vt:lpstr>
      <vt:lpstr>mgmt_az2_host2_vrms_ip</vt:lpstr>
      <vt:lpstr>mgmt_az2_host3_fqdn</vt:lpstr>
      <vt:lpstr>mgmt_az2_host3_hostname</vt:lpstr>
      <vt:lpstr>mgmt_az2_host3_mgmt_ip</vt:lpstr>
      <vt:lpstr>mgmt_az2_host3_sddc_id</vt:lpstr>
      <vt:lpstr>mgmt_az2_host3_vrms_ip</vt:lpstr>
      <vt:lpstr>mgmt_az2_host4_fqdn</vt:lpstr>
      <vt:lpstr>mgmt_az2_host4_hostname</vt:lpstr>
      <vt:lpstr>mgmt_az2_host4_mgmt_ip</vt:lpstr>
      <vt:lpstr>mgmt_az2_host4_sddc_id</vt:lpstr>
      <vt:lpstr>mgmt_az2_host4_vrms_ip</vt:lpstr>
      <vt:lpstr>mgmt_az2_host5_fqdn</vt:lpstr>
      <vt:lpstr>mgmt_az2_host5_hostname</vt:lpstr>
      <vt:lpstr>mgmt_az2_host5_mgmt_ip</vt:lpstr>
      <vt:lpstr>mgmt_az2_host5_vrms_ip</vt:lpstr>
      <vt:lpstr>mgmt_az2_host6_fqdn</vt:lpstr>
      <vt:lpstr>mgmt_az2_host6_hostname</vt:lpstr>
      <vt:lpstr>mgmt_az2_host6_mgmt_ip</vt:lpstr>
      <vt:lpstr>mgmt_az2_host6_vrms_ip</vt:lpstr>
      <vt:lpstr>mgmt_az2_host7_fqdn</vt:lpstr>
      <vt:lpstr>mgmt_az2_host7_hostname</vt:lpstr>
      <vt:lpstr>mgmt_az2_host7_mgmt_ip</vt:lpstr>
      <vt:lpstr>mgmt_az2_host7_vrms_ip</vt:lpstr>
      <vt:lpstr>mgmt_az2_host8_fqdn</vt:lpstr>
      <vt:lpstr>mgmt_az2_host8_hostname</vt:lpstr>
      <vt:lpstr>mgmt_az2_host8_mgmt_ip</vt:lpstr>
      <vt:lpstr>mgmt_az2_host8_vrms_ip</vt:lpstr>
      <vt:lpstr>mgmt_az2_host9_fqdn</vt:lpstr>
      <vt:lpstr>mgmt_az2_host9_hostname</vt:lpstr>
      <vt:lpstr>mgmt_az2_host9_mgmt_ip</vt:lpstr>
      <vt:lpstr>mgmt_az2_host9_vrms_ip</vt:lpstr>
      <vt:lpstr>mgmt_az2_mgmt_cidr</vt:lpstr>
      <vt:lpstr>mgmt_az2_mgmt_gateway_ip</vt:lpstr>
      <vt:lpstr>mgmt_az2_mgmt_mask</vt:lpstr>
      <vt:lpstr>mgmt_az2_mgmt_mtu</vt:lpstr>
      <vt:lpstr>mgmt_az2_mgmt_network</vt:lpstr>
      <vt:lpstr>mgmt_az2_mgmt_vlan</vt:lpstr>
      <vt:lpstr>mgmt_az2_mgmt_vm_cidr</vt:lpstr>
      <vt:lpstr>mgmt_az2_mgmt_vm_gateway_ip</vt:lpstr>
      <vt:lpstr>mgmt_az2_mgmt_vm_mtu</vt:lpstr>
      <vt:lpstr>mgmt_az2_mgmt_vm_vlan</vt:lpstr>
      <vt:lpstr>mgmt_az2_pool_name</vt:lpstr>
      <vt:lpstr>mgmt_az2_reuse_vcf_networkpool_chosen</vt:lpstr>
      <vt:lpstr>mgmt_az2_rtep_overlay_cidr</vt:lpstr>
      <vt:lpstr>mgmt_az2_rtep_overlay_gateway_ip</vt:lpstr>
      <vt:lpstr>mgmt_az2_rtep_overlay_mask</vt:lpstr>
      <vt:lpstr>mgmt_az2_rtep_overlay_mtu</vt:lpstr>
      <vt:lpstr>mgmt_az2_rtep_overlay_network</vt:lpstr>
      <vt:lpstr>mgmt_az2_rtep_overlay_pg</vt:lpstr>
      <vt:lpstr>mgmt_az2_rtep_overlay_vlan</vt:lpstr>
      <vt:lpstr>mgmt_az2_secondary_storage_cidr</vt:lpstr>
      <vt:lpstr>mgmt_az2_secondary_storage_gateway_ip</vt:lpstr>
      <vt:lpstr>mgmt_az2_secondary_storage_mask</vt:lpstr>
      <vt:lpstr>mgmt_az2_secondary_storage_mtu</vt:lpstr>
      <vt:lpstr>mgmt_az2_secondary_storage_network</vt:lpstr>
      <vt:lpstr>mgmt_az2_secondary_storage_pool_end_ip</vt:lpstr>
      <vt:lpstr>mgmt_az2_secondary_storage_pool_start_ip</vt:lpstr>
      <vt:lpstr>mgmt_az2_secondary_storage_vlan</vt:lpstr>
      <vt:lpstr>mgmt_az2_tor1_peer_asn</vt:lpstr>
      <vt:lpstr>mgmt_az2_tor1_peer_bgp_password</vt:lpstr>
      <vt:lpstr>mgmt_az2_tor1_peer_ip</vt:lpstr>
      <vt:lpstr>mgmt_az2_tor2_peer_asn</vt:lpstr>
      <vt:lpstr>mgmt_az2_tor2_peer_bgp_password</vt:lpstr>
      <vt:lpstr>mgmt_az2_tor2_peer_ip</vt:lpstr>
      <vt:lpstr>mgmt_az2_uplink01_cidr</vt:lpstr>
      <vt:lpstr>mgmt_az2_uplink01_gateway_ip</vt:lpstr>
      <vt:lpstr>mgmt_az2_uplink01_mask</vt:lpstr>
      <vt:lpstr>mgmt_az2_uplink01_mtu</vt:lpstr>
      <vt:lpstr>mgmt_az2_uplink01_network</vt:lpstr>
      <vt:lpstr>mgmt_az2_uplink01_vlan</vt:lpstr>
      <vt:lpstr>mgmt_az2_uplink02_cidr</vt:lpstr>
      <vt:lpstr>mgmt_az2_uplink02_gateway_ip</vt:lpstr>
      <vt:lpstr>mgmt_az2_uplink02_mask</vt:lpstr>
      <vt:lpstr>mgmt_az2_uplink02_mtu</vt:lpstr>
      <vt:lpstr>mgmt_az2_uplink02_network</vt:lpstr>
      <vt:lpstr>mgmt_az2_uplink02_vlan</vt:lpstr>
      <vt:lpstr>mgmt_az2_vm_cidr</vt:lpstr>
      <vt:lpstr>mgmt_az2_vm_gateway_ip</vt:lpstr>
      <vt:lpstr>mgmt_az2_vm_mtu</vt:lpstr>
      <vt:lpstr>mgmt_az2_vm_vlan</vt:lpstr>
      <vt:lpstr>mgmt_az2_vmotion_cidr</vt:lpstr>
      <vt:lpstr>mgmt_az2_vmotion_gateway_ip</vt:lpstr>
      <vt:lpstr>mgmt_az2_vmotion_mask</vt:lpstr>
      <vt:lpstr>mgmt_az2_vmotion_mtu</vt:lpstr>
      <vt:lpstr>mgmt_az2_vmotion_network</vt:lpstr>
      <vt:lpstr>mgmt_az2_vmotion_pool_end_ip</vt:lpstr>
      <vt:lpstr>mgmt_az2_vmotion_pool_start_ip</vt:lpstr>
      <vt:lpstr>mgmt_az2_vmotion_vlan</vt:lpstr>
      <vt:lpstr>mgmt_az2_vrms_cidr</vt:lpstr>
      <vt:lpstr>mgmt_az2_vrms_gateway_ip</vt:lpstr>
      <vt:lpstr>mgmt_az2_vrms_mask</vt:lpstr>
      <vt:lpstr>mgmt_az2_vrms_mtu</vt:lpstr>
      <vt:lpstr>mgmt_az2_vrms_network</vt:lpstr>
      <vt:lpstr>mgmt_az2_vrms_vlan</vt:lpstr>
      <vt:lpstr>mgmt_az2_vsan_cidr</vt:lpstr>
      <vt:lpstr>mgmt_az2_vsan_gateway_ip</vt:lpstr>
      <vt:lpstr>mgmt_az2_vsan_mask</vt:lpstr>
      <vt:lpstr>mgmt_az2_vsan_mtu</vt:lpstr>
      <vt:lpstr>mgmt_az2_vsan_network</vt:lpstr>
      <vt:lpstr>mgmt_az2_vsan_pool_end_ip</vt:lpstr>
      <vt:lpstr>mgmt_az2_vsan_pool_start_ip</vt:lpstr>
      <vt:lpstr>mgmt_az2_vsan_vlan</vt:lpstr>
      <vt:lpstr>mgmt_ceip_status_chosen</vt:lpstr>
      <vt:lpstr>mgmt_cl01_az1_flt_lbt_chosen</vt:lpstr>
      <vt:lpstr>mgmt_cl01_az1_flt_uplink1_chosen</vt:lpstr>
      <vt:lpstr>mgmt_cl01_az1_flt_uplink2_chosen</vt:lpstr>
      <vt:lpstr>mgmt_cl01_az1_mgmt_lbt_chosen</vt:lpstr>
      <vt:lpstr>mgmt_cl01_az1_mgmt_pg</vt:lpstr>
      <vt:lpstr>mgmt_cl01_az1_mgmt_uplink1_chosen</vt:lpstr>
      <vt:lpstr>mgmt_cl01_az1_mgmt_uplink2_chosen</vt:lpstr>
      <vt:lpstr>mgmt_cl01_az1_mgmt_vm_lbt_chosen</vt:lpstr>
      <vt:lpstr>mgmt_cl01_az1_mgmt_vm_pg</vt:lpstr>
      <vt:lpstr>mgmt_cl01_az1_mgmt_vm_uplink1_chosen</vt:lpstr>
      <vt:lpstr>mgmt_cl01_az1_mgmt_vm_uplink2_chosen</vt:lpstr>
      <vt:lpstr>mgmt_cl01_az1_nfs_lbt_chosen</vt:lpstr>
      <vt:lpstr>mgmt_cl01_az1_nfs_pg</vt:lpstr>
      <vt:lpstr>mgmt_cl01_az1_nfs_uplink1_chosen</vt:lpstr>
      <vt:lpstr>mgmt_cl01_az1_nfs_uplink2_chosen</vt:lpstr>
      <vt:lpstr>mgmt_cl01_az1_nsx_lbt_chosen</vt:lpstr>
      <vt:lpstr>mgmt_cl01_az1_nsx_uplink1_chosen</vt:lpstr>
      <vt:lpstr>mgmt_cl01_az1_nsx_uplink2_chosen</vt:lpstr>
      <vt:lpstr>mgmt_cl01_az1_uplink01_pg</vt:lpstr>
      <vt:lpstr>mgmt_cl01_az1_uplink02_pg</vt:lpstr>
      <vt:lpstr>mgmt_cl01_az1_vcf_mgmt_pg</vt:lpstr>
      <vt:lpstr>mgmt_cl01_az1_vmotion_lbt_chosen</vt:lpstr>
      <vt:lpstr>mgmt_cl01_az1_vmotion_pg</vt:lpstr>
      <vt:lpstr>mgmt_cl01_az1_vmotion_uplink1_chosen</vt:lpstr>
      <vt:lpstr>mgmt_cl01_az1_vmotion_uplink2_chosen</vt:lpstr>
      <vt:lpstr>mgmt_cl01_az1_vsan_lbt_chosen</vt:lpstr>
      <vt:lpstr>mgmt_cl01_az1_vsan_pg</vt:lpstr>
      <vt:lpstr>mgmt_cl01_az1_vsan_uplink1_chosen</vt:lpstr>
      <vt:lpstr>mgmt_cl01_az1_vsan_uplink2_chosen</vt:lpstr>
      <vt:lpstr>mgmt_cl01_az2_mgmt_pg</vt:lpstr>
      <vt:lpstr>mgmt_cl01_az2_mgmt_vm_pg</vt:lpstr>
      <vt:lpstr>mgmt_cl01_az2_uplink01_pg</vt:lpstr>
      <vt:lpstr>mgmt_cl01_az2_uplink02_pg</vt:lpstr>
      <vt:lpstr>mgmt_cl01_az2_vmotion_pg</vt:lpstr>
      <vt:lpstr>mgmt_cl01_az2_vsan_pg</vt:lpstr>
      <vt:lpstr>mgmt_cl01_cluster</vt:lpstr>
      <vt:lpstr>mgmt_cl01_cluster_sddc_id</vt:lpstr>
      <vt:lpstr>mgmt_cl01_nfs_server_bound_to_vmknic_chosen</vt:lpstr>
      <vt:lpstr>mgmt_cl01_nfs_server_ip</vt:lpstr>
      <vt:lpstr>mgmt_cl01_nfs_share</vt:lpstr>
      <vt:lpstr>mgmt_cl01_vds_profile_chosen</vt:lpstr>
      <vt:lpstr>mgmt_cl01_vds01_lacp_mode_chosen</vt:lpstr>
      <vt:lpstr>mgmt_cl01_vds01_lacp_timeout_chosen</vt:lpstr>
      <vt:lpstr>mgmt_cl01_vds01_lag_lbt_chosen</vt:lpstr>
      <vt:lpstr>mgmt_cl01_vds01_lag_name</vt:lpstr>
      <vt:lpstr>mgmt_cl01_vds01_link_type_chosen</vt:lpstr>
      <vt:lpstr>mgmt_cl01_vds01_mtu</vt:lpstr>
      <vt:lpstr>mgmt_cl01_vds01_name</vt:lpstr>
      <vt:lpstr>mgmt_cl01_vds01_pnics</vt:lpstr>
      <vt:lpstr>mgmt_cl01_vds01_uplink_count</vt:lpstr>
      <vt:lpstr>mgmt_cl01_vds01_uplink1</vt:lpstr>
      <vt:lpstr>mgmt_cl01_vds01_uplink2</vt:lpstr>
      <vt:lpstr>mgmt_cl01_vds02_lacp_mode_chosen</vt:lpstr>
      <vt:lpstr>mgmt_cl01_vds02_lacp_timeout_chosen</vt:lpstr>
      <vt:lpstr>mgmt_cl01_vds02_lag_lbt_chosen</vt:lpstr>
      <vt:lpstr>mgmt_cl01_vds02_lag_name</vt:lpstr>
      <vt:lpstr>mgmt_cl01_vds02_link_type_chosen</vt:lpstr>
      <vt:lpstr>mgmt_cl01_vds02_mtu</vt:lpstr>
      <vt:lpstr>mgmt_cl01_vds02_name</vt:lpstr>
      <vt:lpstr>mgmt_cl01_vds02_pnics</vt:lpstr>
      <vt:lpstr>mgmt_cl01_vds02_uplink_count</vt:lpstr>
      <vt:lpstr>mgmt_cl01_vds02_uplink1</vt:lpstr>
      <vt:lpstr>mgmt_cl01_vds02_uplink2</vt:lpstr>
      <vt:lpstr>mgmt_cl01_vds03_lacp_mode_chosen</vt:lpstr>
      <vt:lpstr>mgmt_cl01_vds03_lacp_timeout_chosen</vt:lpstr>
      <vt:lpstr>mgmt_cl01_vds03_lag_lbt_chosen</vt:lpstr>
      <vt:lpstr>mgmt_cl01_vds03_lag_name</vt:lpstr>
      <vt:lpstr>mgmt_cl01_vds03_link_type_chosen</vt:lpstr>
      <vt:lpstr>mgmt_cl01_vds03_mtu</vt:lpstr>
      <vt:lpstr>mgmt_cl01_vds03_name</vt:lpstr>
      <vt:lpstr>mgmt_cl01_vds03_pnics</vt:lpstr>
      <vt:lpstr>mgmt_cl01_vds03_uplink_count</vt:lpstr>
      <vt:lpstr>mgmt_cl01_vds03_uplink1</vt:lpstr>
      <vt:lpstr>mgmt_cl01_vds03_uplink2</vt:lpstr>
      <vt:lpstr>mgmt_cl01_vsan_data_in_transit_chosen</vt:lpstr>
      <vt:lpstr>mgmt_cl01_vsan_datastore</vt:lpstr>
      <vt:lpstr>mgmt_cl01_vsan_dedupe_compression_chosen</vt:lpstr>
      <vt:lpstr>mgmt_cl01_vsan_ftt_chosen</vt:lpstr>
      <vt:lpstr>mgmt_consolidated_result</vt:lpstr>
      <vt:lpstr>mgmt_datacenter</vt:lpstr>
      <vt:lpstr>mgmt_domain_chosen</vt:lpstr>
      <vt:lpstr>mgmt_domain_deployment_type_chosen</vt:lpstr>
      <vt:lpstr>mgmt_domain_deployment_type_result</vt:lpstr>
      <vt:lpstr>mgmt_domain_existing_nsx_manager_chosen</vt:lpstr>
      <vt:lpstr>mgmt_domain_existing_vcenter_chosen</vt:lpstr>
      <vt:lpstr>mgmt_domain_existing_vcf_operations_chosen</vt:lpstr>
      <vt:lpstr>mgmt_domain_ops_automation_later_chosen</vt:lpstr>
      <vt:lpstr>mgmt_domain_password_creation_chosen</vt:lpstr>
      <vt:lpstr>mgmt_domain_result</vt:lpstr>
      <vt:lpstr>mgmt_domain_vcf_automation_later_chosen</vt:lpstr>
      <vt:lpstr>mgmt_domain_vcf_operations_ha_mode_chosen</vt:lpstr>
      <vt:lpstr>mgmt_domain_vcf_operations_size_chosen</vt:lpstr>
      <vt:lpstr>mgmt_dpg_reuse_chosen</vt:lpstr>
      <vt:lpstr>mgmt_dpg_reuse_result</vt:lpstr>
      <vt:lpstr>mgmt_dual_stack_networking_chosen</vt:lpstr>
      <vt:lpstr>mgmt_ec_api_chosen</vt:lpstr>
      <vt:lpstr>mgmt_ec_formfactor_chosen</vt:lpstr>
      <vt:lpstr>mgmt_ec_gateway_type</vt:lpstr>
      <vt:lpstr>mgmt_ec_ip_assignment_chosen</vt:lpstr>
      <vt:lpstr>mgmt_ec_mtu</vt:lpstr>
      <vt:lpstr>mgmt_ec_name</vt:lpstr>
      <vt:lpstr>mgmt_ec_rp_name</vt:lpstr>
      <vt:lpstr>mgmt_ec01_en01_host_group_affinity_rule_name</vt:lpstr>
      <vt:lpstr>mgmt_ec01_en02_host_group_affinity_rule_name</vt:lpstr>
      <vt:lpstr>mgmt_ec01_host_group_affinity_rule_chosen</vt:lpstr>
      <vt:lpstr>mgmt_ec01_use_host_overlay_chosen</vt:lpstr>
      <vt:lpstr>mgmt_edge_vm_folder</vt:lpstr>
      <vt:lpstr>mgmt_en_asn</vt:lpstr>
      <vt:lpstr>mgmt_en01_bfd_chosen</vt:lpstr>
      <vt:lpstr>mgmt_en02_bfd_chosen</vt:lpstr>
      <vt:lpstr>mgmt_existing_active_nsx_gm</vt:lpstr>
      <vt:lpstr>mgmt_existing_cross_instance_t0_name</vt:lpstr>
      <vt:lpstr>mgmt_flt_fm_reuse_password_chosen</vt:lpstr>
      <vt:lpstr>mgmt_gateway_routing_type_chosen</vt:lpstr>
      <vt:lpstr>mgmt_host_overlay_addressing_chosen</vt:lpstr>
      <vt:lpstr>mgmt_internet_proxy_address</vt:lpstr>
      <vt:lpstr>mgmt_internet_proxy_auth_chosen</vt:lpstr>
      <vt:lpstr>mgmt_internet_proxy_chosen</vt:lpstr>
      <vt:lpstr>mgmt_internet_proxy_email</vt:lpstr>
      <vt:lpstr>mgmt_internet_proxy_password</vt:lpstr>
      <vt:lpstr>mgmt_internet_proxy_port</vt:lpstr>
      <vt:lpstr>mgmt_internet_proxy_type_chosen</vt:lpstr>
      <vt:lpstr>mgmt_mgmt_vm_folder</vt:lpstr>
      <vt:lpstr>mgmt_nsx_default_operation_mode_chosen</vt:lpstr>
      <vt:lpstr>mgmt_nsx_operation_mode_chosen</vt:lpstr>
      <vt:lpstr>mgmt_nsx_overlay_network_chosen</vt:lpstr>
      <vt:lpstr>mgmt_nsx_overlay_transit_gateway_chosen</vt:lpstr>
      <vt:lpstr>mgmt_nsx_vm_folder</vt:lpstr>
      <vt:lpstr>mgmt_nsxt_appliance_size_chosen</vt:lpstr>
      <vt:lpstr>mgmt_nsxt_appliance_size_result</vt:lpstr>
      <vt:lpstr>mgmt_nsxt_en_admin_password</vt:lpstr>
      <vt:lpstr>mgmt_nsxt_en_root_password</vt:lpstr>
      <vt:lpstr>mgmt_nsxt_enable_edge_sync_chosen</vt:lpstr>
      <vt:lpstr>mgmt_nsxt_federation_chosen</vt:lpstr>
      <vt:lpstr>mgmt_nsxt_federation_global_manager_name</vt:lpstr>
      <vt:lpstr>mgmt_nsxt_federation_location_name</vt:lpstr>
      <vt:lpstr>mgmt_nsxt_federation_result</vt:lpstr>
      <vt:lpstr>mgmt_nsxt_global_mgr_anti_affinity_rule_name</vt:lpstr>
      <vt:lpstr>mgmt_nsxt_global_mgr_certificate_id</vt:lpstr>
      <vt:lpstr>mgmt_nsxt_global_mgr_cluster_id</vt:lpstr>
      <vt:lpstr>mgmt_nsxt_global_mgr_vmca_signed_thumbprint</vt:lpstr>
      <vt:lpstr>mgmt_nsxt_global_mgra_fqdn</vt:lpstr>
      <vt:lpstr>mgmt_nsxt_global_mgra_hostname</vt:lpstr>
      <vt:lpstr>mgmt_nsxt_global_mgra_ip</vt:lpstr>
      <vt:lpstr>mgmt_nsxt_global_mgrb_fqdn</vt:lpstr>
      <vt:lpstr>mgmt_nsxt_global_mgrb_hostname</vt:lpstr>
      <vt:lpstr>mgmt_nsxt_global_mgrb_ip</vt:lpstr>
      <vt:lpstr>mgmt_nsxt_global_mgrc_fqdn</vt:lpstr>
      <vt:lpstr>mgmt_nsxt_global_mgrc_hostname</vt:lpstr>
      <vt:lpstr>mgmt_nsxt_global_mgrc_ip</vt:lpstr>
      <vt:lpstr>mgmt_nsxt_gm_fingerprint</vt:lpstr>
      <vt:lpstr>mgmt_nsxt_gm_hostname</vt:lpstr>
      <vt:lpstr>mgmt_nsxt_gm_vip_fqdn</vt:lpstr>
      <vt:lpstr>mgmt_nsxt_gm_vip_ip</vt:lpstr>
      <vt:lpstr>mgmt_nsxt_hostname</vt:lpstr>
      <vt:lpstr>mgmt_nsxt_lm_fingerprint</vt:lpstr>
      <vt:lpstr>mgmt_nsxt_mgr_formfactor</vt:lpstr>
      <vt:lpstr>mgmt_nsxt_mgra_fqdn</vt:lpstr>
      <vt:lpstr>mgmt_nsxt_mgra_hostname</vt:lpstr>
      <vt:lpstr>mgmt_nsxt_mgra_ip</vt:lpstr>
      <vt:lpstr>mgmt_nsxt_mgrb_fqdn</vt:lpstr>
      <vt:lpstr>mgmt_nsxt_mgrb_hostname</vt:lpstr>
      <vt:lpstr>mgmt_nsxt_mgrb_ip</vt:lpstr>
      <vt:lpstr>mgmt_nsxt_mgrc_fqdn</vt:lpstr>
      <vt:lpstr>mgmt_nsxt_mgrc_hostname</vt:lpstr>
      <vt:lpstr>mgmt_nsxt_mgrc_ip</vt:lpstr>
      <vt:lpstr>mgmt_nsxt_vip_fqdn</vt:lpstr>
      <vt:lpstr>mgmt_nsxt_vip_ip</vt:lpstr>
      <vt:lpstr>mgmt_nsxt_xreg_t1_name</vt:lpstr>
      <vt:lpstr>mgmt_offline_depot_chosen</vt:lpstr>
      <vt:lpstr>mgmt_offline_depot_fqdn</vt:lpstr>
      <vt:lpstr>mgmt_offline_depot_port</vt:lpstr>
      <vt:lpstr>mgmt_principal_storage_chosen</vt:lpstr>
      <vt:lpstr>mgmt_recovery_lb_creation_method</vt:lpstr>
      <vt:lpstr>mgmt_rtep_overlay_pool_end_ip</vt:lpstr>
      <vt:lpstr>mgmt_rtep_overlay_pool_start_ip</vt:lpstr>
      <vt:lpstr>mgmt_rwr_recovery_site_az1_mgmt_cidr</vt:lpstr>
      <vt:lpstr>mgmt_rwr_vc_fqdn</vt:lpstr>
      <vt:lpstr>mgmt_sddc_domain</vt:lpstr>
      <vt:lpstr>mgmt_set_appliance_size_chosen</vt:lpstr>
      <vt:lpstr>mgmt_signed_certs_chosen</vt:lpstr>
      <vt:lpstr>mgmt_signed_certs_result</vt:lpstr>
      <vt:lpstr>mgmt_srm_admin_email</vt:lpstr>
      <vt:lpstr>mgmt_srm_admin_password</vt:lpstr>
      <vt:lpstr>mgmt_srm_database_password</vt:lpstr>
      <vt:lpstr>mgmt_srm_days</vt:lpstr>
      <vt:lpstr>mgmt_srm_fqdn</vt:lpstr>
      <vt:lpstr>mgmt_srm_instances_per_day</vt:lpstr>
      <vt:lpstr>mgmt_srm_ip</vt:lpstr>
      <vt:lpstr>mgmt_srm_logs_rp</vt:lpstr>
      <vt:lpstr>mgmt_srm_net_rp</vt:lpstr>
      <vt:lpstr>mgmt_srm_p12_password</vt:lpstr>
      <vt:lpstr>mgmt_srm_recovery_cluster</vt:lpstr>
      <vt:lpstr>mgmt_srm_recovery_datastore</vt:lpstr>
      <vt:lpstr>mgmt_srm_recovery_gateway</vt:lpstr>
      <vt:lpstr>mgmt_srm_recovery_mask</vt:lpstr>
      <vt:lpstr>mgmt_srm_recovery_nsx_ec_name</vt:lpstr>
      <vt:lpstr>mgmt_srm_recovery_nsx_location</vt:lpstr>
      <vt:lpstr>mgmt_srm_recovery_pg</vt:lpstr>
      <vt:lpstr>mgmt_srm_recovery_sddc_manager_domain</vt:lpstr>
      <vt:lpstr>mgmt_srm_recovery_sddc_manager_fqdn</vt:lpstr>
      <vt:lpstr>mgmt_srm_recovery_sddc_manager_password</vt:lpstr>
      <vt:lpstr>mgmt_srm_recovery_sddc_manager_username</vt:lpstr>
      <vt:lpstr>mgmt_srm_recovery_t1_si_ip</vt:lpstr>
      <vt:lpstr>mgmt_srm_recovery_vcenter_fqdn</vt:lpstr>
      <vt:lpstr>mgmt_srm_recovery_vcenter_password</vt:lpstr>
      <vt:lpstr>mgmt_srm_recovery_vcenter_username</vt:lpstr>
      <vt:lpstr>mgmt_srm_root_password</vt:lpstr>
      <vt:lpstr>mgmt_srm_rpo</vt:lpstr>
      <vt:lpstr>mgmt_srm_site_name</vt:lpstr>
      <vt:lpstr>mgmt_srm_sso_domain_membership</vt:lpstr>
      <vt:lpstr>mgmt_srm_vm_folder</vt:lpstr>
      <vt:lpstr>mgmt_srm_vm_size</vt:lpstr>
      <vt:lpstr>mgmt_srm_vra_pg</vt:lpstr>
      <vt:lpstr>mgmt_srm_vra_rp</vt:lpstr>
      <vt:lpstr>mgmt_srm_vrops_pg</vt:lpstr>
      <vt:lpstr>mgmt_srm_vrops_rp</vt:lpstr>
      <vt:lpstr>mgmt_srm_vrslcm_wsa_pg</vt:lpstr>
      <vt:lpstr>mgmt_srm_vrslcm_wsa_rp</vt:lpstr>
      <vt:lpstr>mgmt_sso_domain</vt:lpstr>
      <vt:lpstr>mgmt_sso_domain_username</vt:lpstr>
      <vt:lpstr>mgmt_stretched_cluster_chosen</vt:lpstr>
      <vt:lpstr>mgmt_stretched_cluster_result</vt:lpstr>
      <vt:lpstr>mgmt_supervisor_chosen</vt:lpstr>
      <vt:lpstr>mgmt_supervisor_result</vt:lpstr>
      <vt:lpstr>mgmt_supvr_api_server_fqdn</vt:lpstr>
      <vt:lpstr>mgmt_supvr_cp_storage_policy</vt:lpstr>
      <vt:lpstr>mgmt_supvr_ctrl_plane_ha_chosen</vt:lpstr>
      <vt:lpstr>mgmt_supvr_ctrl_plane_size_chosen</vt:lpstr>
      <vt:lpstr>mgmt_supvr_ed_storage_policy</vt:lpstr>
      <vt:lpstr>mgmt_supvr_ic_storage_policy</vt:lpstr>
      <vt:lpstr>mgmt_supvr_ip_address_range</vt:lpstr>
      <vt:lpstr>mgmt_supvr_ip_mode_chosen</vt:lpstr>
      <vt:lpstr>mgmt_supvr_location_chosen</vt:lpstr>
      <vt:lpstr>mgmt_supvr_mgmt_dns_server</vt:lpstr>
      <vt:lpstr>mgmt_supvr_mgmt_dns_zones</vt:lpstr>
      <vt:lpstr>mgmt_supvr_mgmt_ntp_server</vt:lpstr>
      <vt:lpstr>mgmt_supvr_name</vt:lpstr>
      <vt:lpstr>mgmt_supvr_networking_stack_chosen</vt:lpstr>
      <vt:lpstr>mgmt_supvr_nsx_project</vt:lpstr>
      <vt:lpstr>mgmt_supvr_vpc_connectivity_profile</vt:lpstr>
      <vt:lpstr>mgmt_supvr_vpc_ext_ip_blocks_name</vt:lpstr>
      <vt:lpstr>mgmt_supvr_vpc_priv_cidr</vt:lpstr>
      <vt:lpstr>mgmt_supvr_vpc_priv_ip_blocks_name</vt:lpstr>
      <vt:lpstr>mgmt_supvr_vpc_service_cidr</vt:lpstr>
      <vt:lpstr>mgmt_supvr_wld_dns_server</vt:lpstr>
      <vt:lpstr>mgmt_supvr_wld_ntp_server</vt:lpstr>
      <vt:lpstr>mgmt_supvr_zone_name</vt:lpstr>
      <vt:lpstr>mgmt_tier0_ha_chosen</vt:lpstr>
      <vt:lpstr>mgmt_tier0_name</vt:lpstr>
      <vt:lpstr>mgmt_tier1_name</vt:lpstr>
      <vt:lpstr>mgmt_vc_fqdn</vt:lpstr>
      <vt:lpstr>mgmt_vc_hostname</vt:lpstr>
      <vt:lpstr>mgmt_vc_ip</vt:lpstr>
      <vt:lpstr>mgmt_vc_size</vt:lpstr>
      <vt:lpstr>mgmt_vc_storage_size</vt:lpstr>
      <vt:lpstr>mgmt_vcenter_appliance_size_chosen</vt:lpstr>
      <vt:lpstr>mgmt_vcenter_appliance_size_result</vt:lpstr>
      <vt:lpstr>mgmt_vcenter_storage_size_chosen</vt:lpstr>
      <vt:lpstr>mgmt_vcenter_storage_size_result</vt:lpstr>
      <vt:lpstr>mgmt_vcf_auto_size_result</vt:lpstr>
      <vt:lpstr>mgmt_vcf_installer_location_chosen</vt:lpstr>
      <vt:lpstr>mgmt_vcf_management_network_chosen</vt:lpstr>
      <vt:lpstr>mgmt_vcfms_size_result</vt:lpstr>
      <vt:lpstr>mgmt_vcfops_appliance_size_chosen</vt:lpstr>
      <vt:lpstr>mgmt_vcfops_appliance_size_result</vt:lpstr>
      <vt:lpstr>mgmt_vcfops_collector_size_chosen</vt:lpstr>
      <vt:lpstr>mgmt_vcfops_collector_size_result</vt:lpstr>
      <vt:lpstr>mgmt_vna_ip_assignment_address_type_chosen</vt:lpstr>
      <vt:lpstr>mgmt_vna_ip_assignment_chosen</vt:lpstr>
      <vt:lpstr>mgmt_vna_rp_name</vt:lpstr>
      <vt:lpstr>mgmt_vnaa_cidr</vt:lpstr>
      <vt:lpstr>mgmt_vnaa_fqdn</vt:lpstr>
      <vt:lpstr>mgmt_vnab_cidr</vt:lpstr>
      <vt:lpstr>mgmt_vnab_fqdn</vt:lpstr>
      <vt:lpstr>mgmt_vns_chosen</vt:lpstr>
      <vt:lpstr>mgmt_vns_result</vt:lpstr>
      <vt:lpstr>mgmt_vpc_ext_ip_blocks_cidr</vt:lpstr>
      <vt:lpstr>mgmt_vpc_ext_ip_blocks_excluded_ips</vt:lpstr>
      <vt:lpstr>mgmt_vpc_ext_ip_blocks_name</vt:lpstr>
      <vt:lpstr>mgmt_vpc_ext_ip_blocks_reserved</vt:lpstr>
      <vt:lpstr>mgmt_vpc_ext_ip_blocks_visability</vt:lpstr>
      <vt:lpstr>mgmt_vpc_priv_ip_blocks_excluded_ips</vt:lpstr>
      <vt:lpstr>mgmt_vpc_priv_ip_blocks_name</vt:lpstr>
      <vt:lpstr>mgmt_vpc_priv_ip_blocks_reserved</vt:lpstr>
      <vt:lpstr>mgmt_vpc_priv_ip_blocks_visability</vt:lpstr>
      <vt:lpstr>mgmt_vpc_transit_gateway_ip_blocks_cidr</vt:lpstr>
      <vt:lpstr>mgmt_vpc_vna_cluster_name</vt:lpstr>
      <vt:lpstr>mgmt_vpc_vna_cluster_size_chosen</vt:lpstr>
      <vt:lpstr>mgmt_vrms_admin_email</vt:lpstr>
      <vt:lpstr>mgmt_vrms_admin_password</vt:lpstr>
      <vt:lpstr>mgmt_vrms_hostname</vt:lpstr>
      <vt:lpstr>mgmt_vrms_mgmt_ip</vt:lpstr>
      <vt:lpstr>mgmt_vrms_p12_password</vt:lpstr>
      <vt:lpstr>mgmt_vrms_pg</vt:lpstr>
      <vt:lpstr>mgmt_vrms_recovery_replication_cidr</vt:lpstr>
      <vt:lpstr>mgmt_vrms_root_password</vt:lpstr>
      <vt:lpstr>mgmt_vrms_site_name</vt:lpstr>
      <vt:lpstr>mgmt_vrms_vm_folder</vt:lpstr>
      <vt:lpstr>mgmt_vrms_vrms_ip</vt:lpstr>
      <vt:lpstr>mgmt_vsan_dit_rekey_type_chosen</vt:lpstr>
      <vt:lpstr>mgmt_witness_az_mgmt_mask</vt:lpstr>
      <vt:lpstr>mgmt_witness_cluster</vt:lpstr>
      <vt:lpstr>mgmt_witness_dns1_ip</vt:lpstr>
      <vt:lpstr>mgmt_witness_dns2_ip</vt:lpstr>
      <vt:lpstr>mgmt_witness_fqdn</vt:lpstr>
      <vt:lpstr>mgmt_witness_hostname</vt:lpstr>
      <vt:lpstr>mgmt_witness_ip</vt:lpstr>
      <vt:lpstr>mgmt_witness_mgmt_ip</vt:lpstr>
      <vt:lpstr>mgmt_witness_mgmt_pg</vt:lpstr>
      <vt:lpstr>mgmt_witness_ntp1_server</vt:lpstr>
      <vt:lpstr>mgmt_witness_ntp2_server</vt:lpstr>
      <vt:lpstr>mgmt_witness_root_password</vt:lpstr>
      <vt:lpstr>mgmt_witness_sddc_domain</vt:lpstr>
      <vt:lpstr>mgmt_witness_vc_fqdn</vt:lpstr>
      <vt:lpstr>mgmt_witness_vcenter_fqdn</vt:lpstr>
      <vt:lpstr>mgmt_witness_vcenter_hostname</vt:lpstr>
      <vt:lpstr>mgmt_witness_vm_folder</vt:lpstr>
      <vt:lpstr>mgmt_witness_vsan_datastore</vt:lpstr>
      <vt:lpstr>mgmt_witness_zone_vc_fqdn</vt:lpstr>
      <vt:lpstr>mgmt_witness_zone_vc_hostname</vt:lpstr>
      <vt:lpstr>mgmt_witness_zone_vc_ip</vt:lpstr>
      <vt:lpstr>mgmt_witnessaz_cidr</vt:lpstr>
      <vt:lpstr>mgmt_witnessaz_gateway_ip</vt:lpstr>
      <vt:lpstr>mgmt_witnessaz_mgmt_cidr</vt:lpstr>
      <vt:lpstr>mgmt_witnessaz_mgmt_gateway_ip</vt:lpstr>
      <vt:lpstr>mgmt_witnessaz_mgmt_mask</vt:lpstr>
      <vt:lpstr>mgmt_witnessaz_mgmt_mtu</vt:lpstr>
      <vt:lpstr>mgmt_witnessaz_mgmt_network</vt:lpstr>
      <vt:lpstr>mgmt_witnessaz_mgmt_vlan</vt:lpstr>
      <vt:lpstr>mgmt_witnessaz_mtu</vt:lpstr>
      <vt:lpstr>mgmt_witnessaz_vlan</vt:lpstr>
      <vt:lpstr>navigation_apply_signed_certs_mgmt_domain</vt:lpstr>
      <vt:lpstr>navigation_apply_signed_certs_wld_domain</vt:lpstr>
      <vt:lpstr>navigation_avi_lb_mgmt_domain</vt:lpstr>
      <vt:lpstr>navigation_avi_lb_wld_domain</vt:lpstr>
      <vt:lpstr>navigation_configure_sftp_mgmt_domain</vt:lpstr>
      <vt:lpstr>navigation_mgmt_configure_auth</vt:lpstr>
      <vt:lpstr>navigation_mgmt_supervisor</vt:lpstr>
      <vt:lpstr>navigation_nsx_federation_for_management_domain</vt:lpstr>
      <vt:lpstr>navigation_nsx_federation_for_wld_domain</vt:lpstr>
      <vt:lpstr>navigation_nsx_routing_mgmt_domain</vt:lpstr>
      <vt:lpstr>navigation_nsx_routing_wld_domain</vt:lpstr>
      <vt:lpstr>navigation_site_protection_mgmt</vt:lpstr>
      <vt:lpstr>navigation_site_protection_solution_interop</vt:lpstr>
      <vt:lpstr>navigation_site_protection_wld</vt:lpstr>
      <vt:lpstr>navigation_stretched_cluster_mgmt_domain</vt:lpstr>
      <vt:lpstr>navigation_stretched_cluster_wld_domain</vt:lpstr>
      <vt:lpstr>navigation_vcf_and_vvf_planning_tab</vt:lpstr>
      <vt:lpstr>navigation_wld_supervisor</vt:lpstr>
      <vt:lpstr>navlink_input_ca_values</vt:lpstr>
      <vt:lpstr>non_first_domain_mgmt_only_viable</vt:lpstr>
      <vt:lpstr>non_first_domain_mgmt_vi_viable</vt:lpstr>
      <vt:lpstr>NSX_RTEP_Overlay</vt:lpstr>
      <vt:lpstr>nsx_sizing_limits</vt:lpstr>
      <vt:lpstr>nsxt_en_admin_password</vt:lpstr>
      <vt:lpstr>nsxt_en_root_password</vt:lpstr>
      <vt:lpstr>nsxt_gm_admin_password</vt:lpstr>
      <vt:lpstr>nsxt_gm_audit_password</vt:lpstr>
      <vt:lpstr>nsxt_gm_root_password</vt:lpstr>
      <vt:lpstr>nsxt_lm_admin_password</vt:lpstr>
      <vt:lpstr>nsxt_lm_audit_password</vt:lpstr>
      <vt:lpstr>nsxt_lm_root_password</vt:lpstr>
      <vt:lpstr>other_instance</vt:lpstr>
      <vt:lpstr>parent_ad_groups_ou</vt:lpstr>
      <vt:lpstr>parent_ad_users_ou</vt:lpstr>
      <vt:lpstr>parent_dns_zone</vt:lpstr>
      <vt:lpstr>pnp_version_history</vt:lpstr>
      <vt:lpstr>pnp_version_number</vt:lpstr>
      <vt:lpstr>prefix_flt_shared_cidr</vt:lpstr>
      <vt:lpstr>prefix_mgmt_az1_cidr</vt:lpstr>
      <vt:lpstr>prefix_mgmt_az1_vlan</vt:lpstr>
      <vt:lpstr>prefix_mgmt_az2_cidr</vt:lpstr>
      <vt:lpstr>prefix_mgmt_az2_vlan</vt:lpstr>
      <vt:lpstr>prefix_mgmt_ipv6_cidr</vt:lpstr>
      <vt:lpstr>prefix_mgmt_tor_asn</vt:lpstr>
      <vt:lpstr>prefix_mgmt_witness_cidr</vt:lpstr>
      <vt:lpstr>prefix_mgmt_witness_vlan</vt:lpstr>
      <vt:lpstr>prefix_other_region_az1_cidr</vt:lpstr>
      <vt:lpstr>prefix_portable_component</vt:lpstr>
      <vt:lpstr>prefix_reg_cidr</vt:lpstr>
      <vt:lpstr>prefix_wld_az1_cidr</vt:lpstr>
      <vt:lpstr>prefix_wld_az1_rack_cidr</vt:lpstr>
      <vt:lpstr>prefix_wld_az1_rack_vlan</vt:lpstr>
      <vt:lpstr>prefix_wld_az1_vlan</vt:lpstr>
      <vt:lpstr>prefix_wld_az2_cidr</vt:lpstr>
      <vt:lpstr>prefix_wld_az2_rack_cidr</vt:lpstr>
      <vt:lpstr>prefix_wld_az2_rack_vlan</vt:lpstr>
      <vt:lpstr>prefix_wld_az2_vlan</vt:lpstr>
      <vt:lpstr>prefix_wld_k8s_cidr</vt:lpstr>
      <vt:lpstr>prefix_wld_tor_asn</vt:lpstr>
      <vt:lpstr>prefix_wld_witness_cidr</vt:lpstr>
      <vt:lpstr>prefix_wld_witness_vlan</vt:lpstr>
      <vt:lpstr>prefix_xreg_cidr</vt:lpstr>
      <vt:lpstr>prefix_xreg_vlan</vt:lpstr>
      <vt:lpstr>protected_mgmt_result</vt:lpstr>
      <vt:lpstr>protected_wld_result</vt:lpstr>
      <vt:lpstr>recovery_mgmt_result</vt:lpstr>
      <vt:lpstr>region_ad_child_fqdn</vt:lpstr>
      <vt:lpstr>region_ad_child_netbios</vt:lpstr>
      <vt:lpstr>region_ad_parent_fqdn</vt:lpstr>
      <vt:lpstr>region_ad_parent_netbios</vt:lpstr>
      <vt:lpstr>region_dns1_ip</vt:lpstr>
      <vt:lpstr>region_dns2_ip</vt:lpstr>
      <vt:lpstr>region_ntp_servers_array</vt:lpstr>
      <vt:lpstr>region_ntp1_server</vt:lpstr>
      <vt:lpstr>region_ntp2_server</vt:lpstr>
      <vt:lpstr>region_vrli_nodea_fqdn</vt:lpstr>
      <vt:lpstr>region_vrli_nodea_hostname</vt:lpstr>
      <vt:lpstr>region_vrli_nodea_ip</vt:lpstr>
      <vt:lpstr>region_vrli_nodeb_fqdn</vt:lpstr>
      <vt:lpstr>region_vrli_nodeb_hostname</vt:lpstr>
      <vt:lpstr>region_vrli_nodeb_ip</vt:lpstr>
      <vt:lpstr>region_vrli_nodec_fqdn</vt:lpstr>
      <vt:lpstr>region_vrli_nodec_hostname</vt:lpstr>
      <vt:lpstr>region_vrli_nodec_ip</vt:lpstr>
      <vt:lpstr>region_vrli_virtual_fqdn</vt:lpstr>
      <vt:lpstr>region_vrli_virtual_hostname</vt:lpstr>
      <vt:lpstr>region_vrli_virtual_ip</vt:lpstr>
      <vt:lpstr>region_vrni_nodea_hostname</vt:lpstr>
      <vt:lpstr>region_vrni_nodea_ip</vt:lpstr>
      <vt:lpstr>rwr_child_dns_zone</vt:lpstr>
      <vt:lpstr>rwr_chosen</vt:lpstr>
      <vt:lpstr>rwr_datacenter</vt:lpstr>
      <vt:lpstr>rwr_result</vt:lpstr>
      <vt:lpstr>rwr_sso_domain_name</vt:lpstr>
      <vt:lpstr>rwr_vlr_replication_password</vt:lpstr>
      <vt:lpstr>rwr_vrms_pg</vt:lpstr>
      <vt:lpstr>sample_administrator_vsphere_local_password</vt:lpstr>
      <vt:lpstr>sample_air_GPU_network_operator_namespace</vt:lpstr>
      <vt:lpstr>sample_air_GPU_operator_namespace</vt:lpstr>
      <vt:lpstr>sample_air_GPU_VM_class</vt:lpstr>
      <vt:lpstr>sample_air_license</vt:lpstr>
      <vt:lpstr>sample_avilb_root_password</vt:lpstr>
      <vt:lpstr>sample_ca_administrator_password</vt:lpstr>
      <vt:lpstr>sample_ca_administrator_username</vt:lpstr>
      <vt:lpstr>sample_ca_algorithm</vt:lpstr>
      <vt:lpstr>sample_ca_country</vt:lpstr>
      <vt:lpstr>sample_ca_email_address</vt:lpstr>
      <vt:lpstr>sample_ca_key_size</vt:lpstr>
      <vt:lpstr>sample_ca_locality</vt:lpstr>
      <vt:lpstr>sample_ca_organization</vt:lpstr>
      <vt:lpstr>sample_ca_organization_unit</vt:lpstr>
      <vt:lpstr>sample_ca_state</vt:lpstr>
      <vt:lpstr>sample_ca_template_name</vt:lpstr>
      <vt:lpstr>sample_cbr_aria_logs_key</vt:lpstr>
      <vt:lpstr>sample_cbr_aria_logs_url</vt:lpstr>
      <vt:lpstr>sample_cbr_firewall_group</vt:lpstr>
      <vt:lpstr>sample_cbr_firewall_ip_addresses</vt:lpstr>
      <vt:lpstr>sample_cbr_firewall_rule_vcenter</vt:lpstr>
      <vt:lpstr>sample_cbr_recovery_host_count</vt:lpstr>
      <vt:lpstr>sample_cbr_recovery_host_type</vt:lpstr>
      <vt:lpstr>sample_cbr_recovery_management_subnet</vt:lpstr>
      <vt:lpstr>sample_cbr_recovery_region</vt:lpstr>
      <vt:lpstr>sample_cbr_recovery_sddc_name</vt:lpstr>
      <vt:lpstr>sample_cbr_recovery_subnet</vt:lpstr>
      <vt:lpstr>sample_cbr_recovery_vpc</vt:lpstr>
      <vt:lpstr>sample_cbr_vcdr_anti_affinity</vt:lpstr>
      <vt:lpstr>sample_cbr_vcdr_cdp1_hostname</vt:lpstr>
      <vt:lpstr>sample_cbr_vcdr_cdp1_ip</vt:lpstr>
      <vt:lpstr>sample_cbr_vcdr_cdp2_hostname</vt:lpstr>
      <vt:lpstr>sample_cbr_vcdr_cdp2_ip</vt:lpstr>
      <vt:lpstr>sample_cbr_vcdr_cloud_file_system</vt:lpstr>
      <vt:lpstr>sample_cbr_vcdr_email_recipient</vt:lpstr>
      <vt:lpstr>sample_cbr_vcdr_email_sender</vt:lpstr>
      <vt:lpstr>sample_cbr_vcdr_label</vt:lpstr>
      <vt:lpstr>sample_cbr_vcdr_orchestrator_fqdn</vt:lpstr>
      <vt:lpstr>sample_cbr_vcdr_ova</vt:lpstr>
      <vt:lpstr>sample_cbr_vcdr_passcode</vt:lpstr>
      <vt:lpstr>sample_cbr_vcdr_site_name</vt:lpstr>
      <vt:lpstr>sample_cbr_vcdr_timezone</vt:lpstr>
      <vt:lpstr>sample_cbr_vcdr_vsphere_role</vt:lpstr>
      <vt:lpstr>sample_cbr_vm_folder</vt:lpstr>
      <vt:lpstr>sample_cbw_hcx_cdp_fqdn</vt:lpstr>
      <vt:lpstr>sample_ccm_aws_admin_password</vt:lpstr>
      <vt:lpstr>sample_ccm_aws_admin_ssouser</vt:lpstr>
      <vt:lpstr>sample_ccm_aws_host_count</vt:lpstr>
      <vt:lpstr>sample_ccm_aws_host_type</vt:lpstr>
      <vt:lpstr>sample_ccm_aws_management_subnet</vt:lpstr>
      <vt:lpstr>sample_ccm_aws_region</vt:lpstr>
      <vt:lpstr>sample_ccm_aws_sddc_name</vt:lpstr>
      <vt:lpstr>sample_ccm_aws_subnet</vt:lpstr>
      <vt:lpstr>sample_ccm_aws_vpc</vt:lpstr>
      <vt:lpstr>sample_ccm_firewall_group</vt:lpstr>
      <vt:lpstr>sample_ccm_firewall_ip_addresses</vt:lpstr>
      <vt:lpstr>sample_ccm_firewall_rule_hcx</vt:lpstr>
      <vt:lpstr>sample_ccm_firewall_rule_vcenter</vt:lpstr>
      <vt:lpstr>sample_ccm_hcx_admin_password</vt:lpstr>
      <vt:lpstr>sample_ccm_hcx_cdp_hostname</vt:lpstr>
      <vt:lpstr>sample_ccm_hcx_cdp_ip</vt:lpstr>
      <vt:lpstr>sample_ccm_hcx_compute_profile</vt:lpstr>
      <vt:lpstr>sample_ccm_hcx_dc_location</vt:lpstr>
      <vt:lpstr>sample_ccm_hcx_license</vt:lpstr>
      <vt:lpstr>sample_ccm_hcx_mgmt_network_ip_range</vt:lpstr>
      <vt:lpstr>sample_ccm_hcx_remote_url</vt:lpstr>
      <vt:lpstr>sample_ccm_hcx_resource_pool</vt:lpstr>
      <vt:lpstr>sample_ccm_hcx_root_password</vt:lpstr>
      <vt:lpstr>sample_ccm_hcx_service_mesh</vt:lpstr>
      <vt:lpstr>sample_ccm_hcx_vm_folder</vt:lpstr>
      <vt:lpstr>sample_ccm_hcx_vmotion_network_ip_range</vt:lpstr>
      <vt:lpstr>sample_ccm_hcx_vsphere_role</vt:lpstr>
      <vt:lpstr>sample_ccm_vm_folder</vt:lpstr>
      <vt:lpstr>sample_certificate_authority_fqdn</vt:lpstr>
      <vt:lpstr>sample_certificate_authority_name</vt:lpstr>
      <vt:lpstr>sample_child_ad_groups_ou</vt:lpstr>
      <vt:lpstr>sample_child_ad_users_ou</vt:lpstr>
      <vt:lpstr>sample_child_dns_zone</vt:lpstr>
      <vt:lpstr>sample_child_svc_nsx_ad_password</vt:lpstr>
      <vt:lpstr>sample_child_svc_nsx_ad_user</vt:lpstr>
      <vt:lpstr>sample_child_svc_vsphere_ad_password</vt:lpstr>
      <vt:lpstr>sample_child_svc_vsphere_ad_user</vt:lpstr>
      <vt:lpstr>sample_cluster_az1_host_overlay_cidr</vt:lpstr>
      <vt:lpstr>sample_cluster_az1_host_overlay_gateway_ip</vt:lpstr>
      <vt:lpstr>sample_cluster_az1_host_overlay_network_pool_description</vt:lpstr>
      <vt:lpstr>sample_cluster_az1_host_overlay_network_pool_name</vt:lpstr>
      <vt:lpstr>sample_cluster_az1_host_overlay_network_profile_name</vt:lpstr>
      <vt:lpstr>sample_cluster_az1_host_overlay_pool_end_ip</vt:lpstr>
      <vt:lpstr>sample_cluster_az1_host_overlay_pool_start_ip</vt:lpstr>
      <vt:lpstr>sample_cluster_az1_host_overlay_uplink_profile_name</vt:lpstr>
      <vt:lpstr>sample_cluster_az1_host_overlay_vlan</vt:lpstr>
      <vt:lpstr>sample_cluster_az1_host1_fqdn</vt:lpstr>
      <vt:lpstr>sample_cluster_az1_host1_mgmt_ip</vt:lpstr>
      <vt:lpstr>sample_cluster_az1_host10_fqdn</vt:lpstr>
      <vt:lpstr>sample_cluster_az1_host10_mgmt_ip</vt:lpstr>
      <vt:lpstr>sample_cluster_az1_host11_fqdn</vt:lpstr>
      <vt:lpstr>sample_cluster_az1_host11_mgmt_ip</vt:lpstr>
      <vt:lpstr>sample_cluster_az1_host12_fqdn</vt:lpstr>
      <vt:lpstr>sample_cluster_az1_host12_mgmt_ip</vt:lpstr>
      <vt:lpstr>sample_cluster_az1_host13_fqdn</vt:lpstr>
      <vt:lpstr>sample_cluster_az1_host13_mgmt_ip</vt:lpstr>
      <vt:lpstr>sample_cluster_az1_host14_fqdn</vt:lpstr>
      <vt:lpstr>sample_cluster_az1_host14_mgmt_ip</vt:lpstr>
      <vt:lpstr>sample_cluster_az1_host15_fqdn</vt:lpstr>
      <vt:lpstr>sample_cluster_az1_host15_mgmt_ip</vt:lpstr>
      <vt:lpstr>sample_cluster_az1_host16_fqdn</vt:lpstr>
      <vt:lpstr>sample_cluster_az1_host16_mgmt_ip</vt:lpstr>
      <vt:lpstr>sample_cluster_az1_host2_fqdn</vt:lpstr>
      <vt:lpstr>sample_cluster_az1_host2_mgmt_ip</vt:lpstr>
      <vt:lpstr>sample_cluster_az1_host3_fqdn</vt:lpstr>
      <vt:lpstr>sample_cluster_az1_host3_mgmt_ip</vt:lpstr>
      <vt:lpstr>sample_cluster_az1_host4_fqdn</vt:lpstr>
      <vt:lpstr>sample_cluster_az1_host4_mgmt_ip</vt:lpstr>
      <vt:lpstr>sample_cluster_az1_host5_fqdn</vt:lpstr>
      <vt:lpstr>sample_cluster_az1_host5_mgmt_ip</vt:lpstr>
      <vt:lpstr>sample_cluster_az1_host6_fqdn</vt:lpstr>
      <vt:lpstr>sample_cluster_az1_host6_mgmt_ip</vt:lpstr>
      <vt:lpstr>sample_cluster_az1_host7_fqdn</vt:lpstr>
      <vt:lpstr>sample_cluster_az1_host7_mgmt_ip</vt:lpstr>
      <vt:lpstr>sample_cluster_az1_host8_fqdn</vt:lpstr>
      <vt:lpstr>sample_cluster_az1_host8_mgmt_ip</vt:lpstr>
      <vt:lpstr>sample_cluster_az1_host9_fqdn</vt:lpstr>
      <vt:lpstr>sample_cluster_az1_host9_mgmt_ip</vt:lpstr>
      <vt:lpstr>sample_cluster_az1_mgmt_cidr</vt:lpstr>
      <vt:lpstr>sample_cluster_az1_mgmt_gateway_ip</vt:lpstr>
      <vt:lpstr>sample_cluster_az1_mgmt_mtu</vt:lpstr>
      <vt:lpstr>sample_cluster_az1_mgmt_pg</vt:lpstr>
      <vt:lpstr>sample_cluster_az1_mgmt_vlan</vt:lpstr>
      <vt:lpstr>sample_cluster_az1_mgmt_vm_pg</vt:lpstr>
      <vt:lpstr>sample_cluster_az1_nsx_uplink_count</vt:lpstr>
      <vt:lpstr>sample_cluster_az1_nsx_uplink1</vt:lpstr>
      <vt:lpstr>sample_cluster_az1_nsx_uplink1_active</vt:lpstr>
      <vt:lpstr>sample_cluster_az1_nsx_uplink2</vt:lpstr>
      <vt:lpstr>sample_cluster_az1_nsx_uplink2_active</vt:lpstr>
      <vt:lpstr>sample_cluster_az1_pool_name</vt:lpstr>
      <vt:lpstr>sample_cluster_az1_principal_storage_gateway_cidr</vt:lpstr>
      <vt:lpstr>sample_cluster_az1_principal_storage_mtu</vt:lpstr>
      <vt:lpstr>sample_cluster_az1_principal_storage_pg</vt:lpstr>
      <vt:lpstr>sample_cluster_az1_principal_storage_pool_end_ip</vt:lpstr>
      <vt:lpstr>sample_cluster_az1_principal_storage_pool_start_ip</vt:lpstr>
      <vt:lpstr>sample_cluster_az1_principal_storage_vlan</vt:lpstr>
      <vt:lpstr>sample_cluster_az1_secondary_storage_gateway_cidr</vt:lpstr>
      <vt:lpstr>sample_cluster_az1_secondary_storage_mtu</vt:lpstr>
      <vt:lpstr>sample_cluster_az1_secondary_storage_pool_end_ip</vt:lpstr>
      <vt:lpstr>sample_cluster_az1_secondary_storage_pool_start_ip</vt:lpstr>
      <vt:lpstr>sample_cluster_az1_secondary_storage_vlan</vt:lpstr>
      <vt:lpstr>sample_cluster_az1_storage_cluster_gateway_cidr</vt:lpstr>
      <vt:lpstr>sample_cluster_az1_storage_cluster_mtu</vt:lpstr>
      <vt:lpstr>sample_cluster_az1_storage_cluster_pool_end_ip</vt:lpstr>
      <vt:lpstr>sample_cluster_az1_storage_cluster_pool_start_ip</vt:lpstr>
      <vt:lpstr>sample_cluster_az1_storage_cluster_vlan</vt:lpstr>
      <vt:lpstr>sample_cluster_az1_vmotion_gateway_cidr</vt:lpstr>
      <vt:lpstr>sample_cluster_az1_vmotion_mtu</vt:lpstr>
      <vt:lpstr>sample_cluster_az1_vmotion_pg</vt:lpstr>
      <vt:lpstr>sample_cluster_az1_vmotion_pool_end_ip</vt:lpstr>
      <vt:lpstr>sample_cluster_az1_vmotion_pool_start_ip</vt:lpstr>
      <vt:lpstr>sample_cluster_az1_vmotion_vlan</vt:lpstr>
      <vt:lpstr>sample_cluster_az1_vsan_storage_client_pg</vt:lpstr>
      <vt:lpstr>sample_cluster_az2_host_overlay_cidr</vt:lpstr>
      <vt:lpstr>sample_cluster_az2_host_overlay_gateway_ip</vt:lpstr>
      <vt:lpstr>sample_cluster_az2_host_overlay_gateway_mtu</vt:lpstr>
      <vt:lpstr>sample_cluster_az2_host_overlay_network_pool_name</vt:lpstr>
      <vt:lpstr>sample_cluster_az2_host_overlay_network_profile_name</vt:lpstr>
      <vt:lpstr>sample_cluster_az2_host_overlay_pool_end_ip</vt:lpstr>
      <vt:lpstr>sample_cluster_az2_host_overlay_pool_start_ip</vt:lpstr>
      <vt:lpstr>sample_cluster_az2_host_overlay_uplink_profile_name</vt:lpstr>
      <vt:lpstr>sample_cluster_az2_host_overlay_vlan</vt:lpstr>
      <vt:lpstr>sample_cluster_az2_host1_fqdn</vt:lpstr>
      <vt:lpstr>sample_cluster_az2_host1_mgmt_ip</vt:lpstr>
      <vt:lpstr>sample_cluster_az2_host10_fqdn</vt:lpstr>
      <vt:lpstr>sample_cluster_az2_host10_mgmt_ip</vt:lpstr>
      <vt:lpstr>sample_cluster_az2_host11_fqdn</vt:lpstr>
      <vt:lpstr>sample_cluster_az2_host11_mgmt_ip</vt:lpstr>
      <vt:lpstr>sample_cluster_az2_host12_fqdn</vt:lpstr>
      <vt:lpstr>sample_cluster_az2_host12_mgmt_ip</vt:lpstr>
      <vt:lpstr>sample_cluster_az2_host13_fqdn</vt:lpstr>
      <vt:lpstr>sample_cluster_az2_host13_mgmt_ip</vt:lpstr>
      <vt:lpstr>sample_cluster_az2_host14_fqdn</vt:lpstr>
      <vt:lpstr>sample_cluster_az2_host14_mgmt_ip</vt:lpstr>
      <vt:lpstr>sample_cluster_az2_host15_fqdn</vt:lpstr>
      <vt:lpstr>sample_cluster_az2_host15_mgmt_ip</vt:lpstr>
      <vt:lpstr>sample_cluster_az2_host16_fqdn</vt:lpstr>
      <vt:lpstr>sample_cluster_az2_host16_mgmt_ip</vt:lpstr>
      <vt:lpstr>sample_cluster_az2_host2_fqdn</vt:lpstr>
      <vt:lpstr>sample_cluster_az2_host2_mgmt_ip</vt:lpstr>
      <vt:lpstr>sample_cluster_az2_host3_fqdn</vt:lpstr>
      <vt:lpstr>sample_cluster_az2_host3_mgmt_ip</vt:lpstr>
      <vt:lpstr>sample_cluster_az2_host4_fqdn</vt:lpstr>
      <vt:lpstr>sample_cluster_az2_host4_mgmt_ip</vt:lpstr>
      <vt:lpstr>sample_cluster_az2_host5_fqdn</vt:lpstr>
      <vt:lpstr>sample_cluster_az2_host5_mgmt_ip</vt:lpstr>
      <vt:lpstr>sample_cluster_az2_host6_fqdn</vt:lpstr>
      <vt:lpstr>sample_cluster_az2_host6_mgmt_ip</vt:lpstr>
      <vt:lpstr>sample_cluster_az2_host7_fqdn</vt:lpstr>
      <vt:lpstr>sample_cluster_az2_host7_mgmt_ip</vt:lpstr>
      <vt:lpstr>sample_cluster_az2_host8_fqdn</vt:lpstr>
      <vt:lpstr>sample_cluster_az2_host8_mgmt_ip</vt:lpstr>
      <vt:lpstr>sample_cluster_az2_host9_fqdn</vt:lpstr>
      <vt:lpstr>sample_cluster_az2_host9_mgmt_ip</vt:lpstr>
      <vt:lpstr>sample_cluster_az2_mgmt_cidr</vt:lpstr>
      <vt:lpstr>sample_cluster_az2_mgmt_gateway_ip</vt:lpstr>
      <vt:lpstr>sample_cluster_az2_mgmt_mtu</vt:lpstr>
      <vt:lpstr>sample_cluster_az2_mgmt_vlan</vt:lpstr>
      <vt:lpstr>sample_cluster_az2_pool_name</vt:lpstr>
      <vt:lpstr>sample_cluster_az2_principal_storage_gateway_ip</vt:lpstr>
      <vt:lpstr>sample_cluster_az2_principal_storage_mask</vt:lpstr>
      <vt:lpstr>sample_cluster_az2_principal_storage_mtu</vt:lpstr>
      <vt:lpstr>sample_cluster_az2_principal_storage_network</vt:lpstr>
      <vt:lpstr>sample_cluster_az2_principal_storage_pool_end_ip</vt:lpstr>
      <vt:lpstr>sample_cluster_az2_principal_storage_pool_start_ip</vt:lpstr>
      <vt:lpstr>sample_cluster_az2_principal_storage_vlan</vt:lpstr>
      <vt:lpstr>sample_cluster_az2_secondary_storage_gateway_ip</vt:lpstr>
      <vt:lpstr>sample_cluster_az2_secondary_storage_mask</vt:lpstr>
      <vt:lpstr>sample_cluster_az2_secondary_storage_mtu</vt:lpstr>
      <vt:lpstr>sample_cluster_az2_secondary_storage_network</vt:lpstr>
      <vt:lpstr>sample_cluster_az2_secondary_storage_pool_end_ip</vt:lpstr>
      <vt:lpstr>sample_cluster_az2_secondary_storage_pool_start_ip</vt:lpstr>
      <vt:lpstr>sample_cluster_az2_secondary_storage_vlan</vt:lpstr>
      <vt:lpstr>sample_cluster_az2_storage_cluster_gateway_ip</vt:lpstr>
      <vt:lpstr>sample_cluster_az2_storage_cluster_mask</vt:lpstr>
      <vt:lpstr>sample_cluster_az2_storage_cluster_mtu</vt:lpstr>
      <vt:lpstr>sample_cluster_az2_storage_cluster_network</vt:lpstr>
      <vt:lpstr>sample_cluster_az2_storage_cluster_pool_end_ip</vt:lpstr>
      <vt:lpstr>sample_cluster_az2_storage_cluster_pool_start_ip</vt:lpstr>
      <vt:lpstr>sample_cluster_az2_storage_cluster_vlan</vt:lpstr>
      <vt:lpstr>sample_cluster_az2_tor1_peer_asn</vt:lpstr>
      <vt:lpstr>sample_cluster_az2_tor1_peer_ip</vt:lpstr>
      <vt:lpstr>sample_cluster_az2_tor2_peer_asn</vt:lpstr>
      <vt:lpstr>sample_cluster_az2_tor2_peer_ip</vt:lpstr>
      <vt:lpstr>sample_cluster_az2_vmotion_gateway_ip</vt:lpstr>
      <vt:lpstr>sample_cluster_az2_vmotion_mask</vt:lpstr>
      <vt:lpstr>sample_cluster_az2_vmotion_mtu</vt:lpstr>
      <vt:lpstr>sample_cluster_az2_vmotion_network</vt:lpstr>
      <vt:lpstr>sample_cluster_az2_vmotion_pool_end_ip</vt:lpstr>
      <vt:lpstr>sample_cluster_az2_vmotion_pool_start_ip</vt:lpstr>
      <vt:lpstr>sample_cluster_az2_vmotion_vlan</vt:lpstr>
      <vt:lpstr>sample_cluster_cluster_sddc_id</vt:lpstr>
      <vt:lpstr>sample_cluster_datacenter</vt:lpstr>
      <vt:lpstr>sample_cluster_domain_name</vt:lpstr>
      <vt:lpstr>sample_cluster_esx_root_password</vt:lpstr>
      <vt:lpstr>sample_cluster_esx_root_username</vt:lpstr>
      <vt:lpstr>sample_cluster_host_overlay_transportzone</vt:lpstr>
      <vt:lpstr>sample_cluster_image_name</vt:lpstr>
      <vt:lpstr>sample_cluster_name</vt:lpstr>
      <vt:lpstr>sample_cluster_nfs_datastore_name</vt:lpstr>
      <vt:lpstr>sample_cluster_nfs_server_address</vt:lpstr>
      <vt:lpstr>sample_cluster_nfs_share_path</vt:lpstr>
      <vt:lpstr>sample_cluster_nsx_vlan_transport_zone_name</vt:lpstr>
      <vt:lpstr>sample_cluster_nsxt_vip_fqdn</vt:lpstr>
      <vt:lpstr>sample_cluster_storage_cluster_name</vt:lpstr>
      <vt:lpstr>sample_cluster_vc_fqdn</vt:lpstr>
      <vt:lpstr>sample_cluster_vds01_lag_name</vt:lpstr>
      <vt:lpstr>sample_cluster_vds01_mtu</vt:lpstr>
      <vt:lpstr>sample_cluster_vds01_name</vt:lpstr>
      <vt:lpstr>sample_cluster_vds01_pnics</vt:lpstr>
      <vt:lpstr>sample_cluster_vds01_uplink_count</vt:lpstr>
      <vt:lpstr>sample_cluster_vds02_lag_name</vt:lpstr>
      <vt:lpstr>sample_cluster_vds02_mtu</vt:lpstr>
      <vt:lpstr>sample_cluster_vds02_name</vt:lpstr>
      <vt:lpstr>sample_cluster_vds02_pnics</vt:lpstr>
      <vt:lpstr>sample_cluster_vds02_uplink_count</vt:lpstr>
      <vt:lpstr>sample_cluster_vds03_lag_name</vt:lpstr>
      <vt:lpstr>sample_cluster_vds03_mtu</vt:lpstr>
      <vt:lpstr>sample_cluster_vds03_name</vt:lpstr>
      <vt:lpstr>sample_cluster_vds03_pnics</vt:lpstr>
      <vt:lpstr>sample_cluster_vds03_uplink_count</vt:lpstr>
      <vt:lpstr>sample_cluster_vmfs_datastore_name</vt:lpstr>
      <vt:lpstr>sample_cluster_vsan_datastore</vt:lpstr>
      <vt:lpstr>sample_cluster_witness_cluster</vt:lpstr>
      <vt:lpstr>sample_cluster_witness_dns1_ip</vt:lpstr>
      <vt:lpstr>sample_cluster_witness_dns2_ip</vt:lpstr>
      <vt:lpstr>sample_cluster_witness_fqdn</vt:lpstr>
      <vt:lpstr>sample_cluster_witness_hostname</vt:lpstr>
      <vt:lpstr>sample_cluster_witness_ip</vt:lpstr>
      <vt:lpstr>sample_cluster_witness_mgmt_pg</vt:lpstr>
      <vt:lpstr>sample_cluster_witness_ntp1_server</vt:lpstr>
      <vt:lpstr>sample_cluster_witness_ntp2_server</vt:lpstr>
      <vt:lpstr>sample_cluster_witness_vm_folder</vt:lpstr>
      <vt:lpstr>sample_cluster_witness_vsan_datastore</vt:lpstr>
      <vt:lpstr>sample_cluster_witness_zone_vc_fqdn</vt:lpstr>
      <vt:lpstr>sample_cluster_witnessaz_mask</vt:lpstr>
      <vt:lpstr>sample_cluster_witnessaz_mgmt_cidr</vt:lpstr>
      <vt:lpstr>sample_cluster_witnessaz_mgmt_gateway_ip</vt:lpstr>
      <vt:lpstr>sample_cluster_witnessaz_mgmt_mtu</vt:lpstr>
      <vt:lpstr>sample_cluster_witnessaz_mgmt_vlan</vt:lpstr>
      <vt:lpstr>sample_cr_clean_room</vt:lpstr>
      <vt:lpstr>sample_cr_console_cloud</vt:lpstr>
      <vt:lpstr>sample_cr_mgmt_protect_vc_domain</vt:lpstr>
      <vt:lpstr>sample_cr_mgmt_protect_vc_fqdn</vt:lpstr>
      <vt:lpstr>sample_cr_wld_pnr_fqdn</vt:lpstr>
      <vt:lpstr>sample_cr_wld_pnr_ip</vt:lpstr>
      <vt:lpstr>sample_cr_wld_protect_vc_replication_user</vt:lpstr>
      <vt:lpstr>sample_cr_wld_vrms_pg</vt:lpstr>
      <vt:lpstr>sample_domain_controller_hostname</vt:lpstr>
      <vt:lpstr>sample_esxi_root_password</vt:lpstr>
      <vt:lpstr>sample_flt_auto_node_pool_end_ip</vt:lpstr>
      <vt:lpstr>sample_flt_auto_node_pool_start_ip</vt:lpstr>
      <vt:lpstr>sample_flt_auto_sr_fqdn</vt:lpstr>
      <vt:lpstr>sample_flt_def_administrator_vsphere_local_password</vt:lpstr>
      <vt:lpstr>sample_flt_def_administrator_vsphere_local_username</vt:lpstr>
      <vt:lpstr>sample_flt_def_auto_admin_password</vt:lpstr>
      <vt:lpstr>sample_flt_def_auto_cluster_cidr</vt:lpstr>
      <vt:lpstr>sample_flt_def_auto_node_pool_end_ip</vt:lpstr>
      <vt:lpstr>sample_flt_def_auto_node_pool_start_ip</vt:lpstr>
      <vt:lpstr>sample_flt_def_auto_node_prefix</vt:lpstr>
      <vt:lpstr>sample_flt_def_auto_sr_fqdn</vt:lpstr>
      <vt:lpstr>sample_flt_def_auto_sr_ip</vt:lpstr>
      <vt:lpstr>sample_flt_def_sddc_mgr_fqdn</vt:lpstr>
      <vt:lpstr>sample_flt_def_vcf_operations_admin_password</vt:lpstr>
      <vt:lpstr>sample_flt_def_vcf_operations_az1_vcf_mgmt_gateway_cidr</vt:lpstr>
      <vt:lpstr>sample_flt_def_vcf_operations_az1_vcf_mgmt_pg</vt:lpstr>
      <vt:lpstr>sample_flt_def_vcf_operations_lc_fqdn</vt:lpstr>
      <vt:lpstr>sample_flt_def_vcf_operations_lc_ip</vt:lpstr>
      <vt:lpstr>sample_flt_def_vcf_operations_nodea_fqdn</vt:lpstr>
      <vt:lpstr>sample_flt_def_vcf_operations_nodea_ip</vt:lpstr>
      <vt:lpstr>sample_flt_def_vcf_operations_nodeb_fqdn</vt:lpstr>
      <vt:lpstr>sample_flt_def_vcf_operations_nodeb_ip</vt:lpstr>
      <vt:lpstr>sample_flt_def_vcf_operations_nodec_fqdn</vt:lpstr>
      <vt:lpstr>sample_flt_def_vcf_operations_nodec_ip</vt:lpstr>
      <vt:lpstr>sample_flt_def_vcf_operations_proxy_az1_vcf_mgmt_gateway_cidr</vt:lpstr>
      <vt:lpstr>sample_flt_def_vcf_operations_proxy_az1_vcf_mgmt_pg</vt:lpstr>
      <vt:lpstr>sample_flt_def_vcf_operations_proxy_fqdn</vt:lpstr>
      <vt:lpstr>sample_flt_def_vcf_operations_proxy_ip</vt:lpstr>
      <vt:lpstr>sample_flt_def_vcf_operations_proxy_root_password</vt:lpstr>
      <vt:lpstr>sample_flt_def_vcf_operations_root_password</vt:lpstr>
      <vt:lpstr>sample_flt_def_vcf_operations_virtual_fqdn</vt:lpstr>
      <vt:lpstr>sample_flt_def_vcf_operations_virtual_ip</vt:lpstr>
      <vt:lpstr>sample_flt_def_vra_virtual_fqdn</vt:lpstr>
      <vt:lpstr>sample_flt_def_vra_virtual_ip</vt:lpstr>
      <vt:lpstr>sample_flt_fc_fqdn</vt:lpstr>
      <vt:lpstr>sample_flt_fc_ip</vt:lpstr>
      <vt:lpstr>sample_flt_ic_fqdn</vt:lpstr>
      <vt:lpstr>sample_flt_lc_fqdn</vt:lpstr>
      <vt:lpstr>sample_flt_logs_admin_password</vt:lpstr>
      <vt:lpstr>sample_flt_logs_admin_username</vt:lpstr>
      <vt:lpstr>sample_flt_logs_vip_fqdn</vt:lpstr>
      <vt:lpstr>sample_flt_logs_vip_ip</vt:lpstr>
      <vt:lpstr>sample_flt_net_admin_password</vt:lpstr>
      <vt:lpstr>sample_flt_net_nodea_fqdn</vt:lpstr>
      <vt:lpstr>sample_flt_net_nodea_ip</vt:lpstr>
      <vt:lpstr>sample_flt_net_prxy_fqdn</vt:lpstr>
      <vt:lpstr>sample_flt_net_prxy_ip</vt:lpstr>
      <vt:lpstr>sample_flt_sr_fqdn</vt:lpstr>
      <vt:lpstr>sample_flt_vcfms_node_pool_end_ip</vt:lpstr>
      <vt:lpstr>sample_flt_vcfms_node_pool_start_ip</vt:lpstr>
      <vt:lpstr>sample_flt_vidb_base_dn</vt:lpstr>
      <vt:lpstr>sample_flt_vidb_bind_password</vt:lpstr>
      <vt:lpstr>sample_flt_vidb_bind_username</vt:lpstr>
      <vt:lpstr>sample_flt_vidb_directory_name</vt:lpstr>
      <vt:lpstr>sample_flt_vidb_distinguished_name</vt:lpstr>
      <vt:lpstr>sample_flt_vidb_employeeID</vt:lpstr>
      <vt:lpstr>sample_flt_vidb_first_name</vt:lpstr>
      <vt:lpstr>sample_flt_vidb_group_base_dn</vt:lpstr>
      <vt:lpstr>sample_flt_vidb_last_name</vt:lpstr>
      <vt:lpstr>sample_flt_vidb_mail</vt:lpstr>
      <vt:lpstr>sample_flt_vidb_primary_domain_controller</vt:lpstr>
      <vt:lpstr>sample_flt_vidb_primary_domain_controller_port</vt:lpstr>
      <vt:lpstr>sample_flt_vidb_secondary_domain_controller</vt:lpstr>
      <vt:lpstr>sample_flt_vidb_secondary_domain_controller_port</vt:lpstr>
      <vt:lpstr>sample_flt_vidb_user_base_dn</vt:lpstr>
      <vt:lpstr>sample_flt_vidb_user_name</vt:lpstr>
      <vt:lpstr>sample_flt_vidb_user_principal_name</vt:lpstr>
      <vt:lpstr>sample_flt_vidb_vip_fqdn</vt:lpstr>
      <vt:lpstr>sample_flt_vidb_vip_ip</vt:lpstr>
      <vt:lpstr>sample_gg_kub_admins_group</vt:lpstr>
      <vt:lpstr>sample_gg_kub_readonly_group</vt:lpstr>
      <vt:lpstr>sample_gg_nsx_auditors_group</vt:lpstr>
      <vt:lpstr>sample_gg_nsx_enterprise_admins_group</vt:lpstr>
      <vt:lpstr>sample_gg_nsx_network_admins_group</vt:lpstr>
      <vt:lpstr>sample_gg_sso_admins_group</vt:lpstr>
      <vt:lpstr>sample_gg_vc_admins_group</vt:lpstr>
      <vt:lpstr>sample_gg_vc_read_only_group</vt:lpstr>
      <vt:lpstr>sample_gg_vcf_admins_group</vt:lpstr>
      <vt:lpstr>sample_gg_vcf_operators_group</vt:lpstr>
      <vt:lpstr>sample_gg_vcf_viewers_group</vt:lpstr>
      <vt:lpstr>sample_gg_vra_cloud_assembly_admins_group</vt:lpstr>
      <vt:lpstr>sample_gg_vra_cloud_assembly_users_group</vt:lpstr>
      <vt:lpstr>sample_gg_vra_cloud_assembly_viewers_group</vt:lpstr>
      <vt:lpstr>sample_gg_vra_orchestrator_admins_group</vt:lpstr>
      <vt:lpstr>sample_gg_vra_orchestrator_designers_group</vt:lpstr>
      <vt:lpstr>sample_gg_vra_orchestrator_viewers_group</vt:lpstr>
      <vt:lpstr>sample_gg_vra_org_owners_group</vt:lpstr>
      <vt:lpstr>sample_gg_vra_project_admins_sample_group</vt:lpstr>
      <vt:lpstr>sample_gg_vra_project_users_sample_group</vt:lpstr>
      <vt:lpstr>sample_gg_vra_service_broker_admins_group</vt:lpstr>
      <vt:lpstr>sample_gg_vra_service_broker_users_group</vt:lpstr>
      <vt:lpstr>sample_gg_vra_service_broker_viewers_group</vt:lpstr>
      <vt:lpstr>sample_gg_vrli_admins_group</vt:lpstr>
      <vt:lpstr>sample_gg_vrli_users_group</vt:lpstr>
      <vt:lpstr>sample_gg_vrli_viewers_group</vt:lpstr>
      <vt:lpstr>sample_gg_vrni_admin_group</vt:lpstr>
      <vt:lpstr>sample_gg_vrni_auditor_group</vt:lpstr>
      <vt:lpstr>sample_gg_vrni_member_group</vt:lpstr>
      <vt:lpstr>sample_gg_vrops_admins_group</vt:lpstr>
      <vt:lpstr>sample_gg_vrops_content_admins_group</vt:lpstr>
      <vt:lpstr>sample_gg_vrops_read_only_group</vt:lpstr>
      <vt:lpstr>sample_gg_vrslcm_admins_group</vt:lpstr>
      <vt:lpstr>sample_gg_vrslcm_content_developers_group</vt:lpstr>
      <vt:lpstr>sample_gg_vrslcm_release_managers_group</vt:lpstr>
      <vt:lpstr>sample_k8s_cluster_name</vt:lpstr>
      <vt:lpstr>sample_k8s_ip_prefixlist</vt:lpstr>
      <vt:lpstr>sample_k8s_ip_routemap</vt:lpstr>
      <vt:lpstr>sample_k8s_kubectl_path</vt:lpstr>
      <vt:lpstr>sample_k8s_mgmt_seg</vt:lpstr>
      <vt:lpstr>sample_k8s_namepsace</vt:lpstr>
      <vt:lpstr>sample_k8s_tanzu_k8s_cluster_pod_pool_cidr</vt:lpstr>
      <vt:lpstr>sample_k8s_tanzu_k8s_cluster_service_pool_cidr</vt:lpstr>
      <vt:lpstr>sample_k8s_vcenter_category</vt:lpstr>
      <vt:lpstr>sample_k8s_vcenter_content_library</vt:lpstr>
      <vt:lpstr>sample_k8s_vcenter_storage_policy</vt:lpstr>
      <vt:lpstr>sample_k8s_vcenter_tag</vt:lpstr>
      <vt:lpstr>sample_k8s_vm_class</vt:lpstr>
      <vt:lpstr>sample_mgmt_auth_encrypted_cert</vt:lpstr>
      <vt:lpstr>sample_mgmt_avilb_cluster_name</vt:lpstr>
      <vt:lpstr>sample_mgmt_avilb_cluster_version</vt:lpstr>
      <vt:lpstr>sample_mgmt_avilb_fqdn</vt:lpstr>
      <vt:lpstr>sample_mgmt_avilb_ip</vt:lpstr>
      <vt:lpstr>sample_mgmt_avilb_mgra_ip</vt:lpstr>
      <vt:lpstr>sample_mgmt_avilb_mgrb_ip</vt:lpstr>
      <vt:lpstr>sample_mgmt_avilb_mgrc_ip</vt:lpstr>
      <vt:lpstr>sample_mgmt_az1_dtgw_gateway_cidr</vt:lpstr>
      <vt:lpstr>sample_mgmt_az1_dtgw_vlan</vt:lpstr>
      <vt:lpstr>sample_mgmt_az1_edge_overlay_cidr</vt:lpstr>
      <vt:lpstr>sample_mgmt_az1_edge_overlay_gateway_ip</vt:lpstr>
      <vt:lpstr>sample_mgmt_az1_edge_overlay_mask</vt:lpstr>
      <vt:lpstr>sample_mgmt_az1_edge_overlay_mtu</vt:lpstr>
      <vt:lpstr>sample_mgmt_az1_edge_overlay_network_pool_name</vt:lpstr>
      <vt:lpstr>sample_mgmt_az1_edge_overlay_pool_end_ip</vt:lpstr>
      <vt:lpstr>sample_mgmt_az1_edge_overlay_pool_start_ip</vt:lpstr>
      <vt:lpstr>sample_mgmt_az1_edge_overlay_vlan</vt:lpstr>
      <vt:lpstr>sample_mgmt_az1_en1_edge_overlay_interface_ip_1_ip</vt:lpstr>
      <vt:lpstr>sample_mgmt_az1_en1_edge_overlay_interface_ip_2_ip</vt:lpstr>
      <vt:lpstr>sample_mgmt_az1_en1_eth0_uplink0</vt:lpstr>
      <vt:lpstr>sample_mgmt_az1_en1_eth0_uplink1</vt:lpstr>
      <vt:lpstr>sample_mgmt_az1_en1_eth1_uplink0</vt:lpstr>
      <vt:lpstr>sample_mgmt_az1_en1_eth1_uplink1</vt:lpstr>
      <vt:lpstr>sample_mgmt_az1_en1_fqdn</vt:lpstr>
      <vt:lpstr>sample_mgmt_az1_en1_hostname</vt:lpstr>
      <vt:lpstr>sample_mgmt_az1_en1_mgmt_cidr</vt:lpstr>
      <vt:lpstr>sample_mgmt_az1_en1_uplink01_interface_cidr</vt:lpstr>
      <vt:lpstr>sample_mgmt_az1_en1_uplink02_interface_cidr</vt:lpstr>
      <vt:lpstr>sample_mgmt_az1_en2_edge_overlay_interface_ip_1_ip</vt:lpstr>
      <vt:lpstr>sample_mgmt_az1_en2_edge_overlay_interface_ip_2_ip</vt:lpstr>
      <vt:lpstr>sample_mgmt_az1_en2_eth0_uplink0</vt:lpstr>
      <vt:lpstr>sample_mgmt_az1_en2_eth0_uplink1</vt:lpstr>
      <vt:lpstr>sample_mgmt_az1_en2_eth1_uplink0</vt:lpstr>
      <vt:lpstr>sample_mgmt_az1_en2_eth1_uplink1</vt:lpstr>
      <vt:lpstr>sample_mgmt_az1_en2_fqdn</vt:lpstr>
      <vt:lpstr>sample_mgmt_az1_en2_hostname</vt:lpstr>
      <vt:lpstr>sample_mgmt_az1_en2_mgmt_cidr</vt:lpstr>
      <vt:lpstr>sample_mgmt_az1_en2_uplink01_interface_cidr</vt:lpstr>
      <vt:lpstr>sample_mgmt_az1_en2_uplink02_interface_cidr</vt:lpstr>
      <vt:lpstr>sample_mgmt_az1_host_overlay_gateway_cidr</vt:lpstr>
      <vt:lpstr>sample_mgmt_az1_host_overlay_mtu</vt:lpstr>
      <vt:lpstr>sample_mgmt_az1_host_overlay_network_pool_description</vt:lpstr>
      <vt:lpstr>sample_mgmt_az1_host_overlay_network_pool_name</vt:lpstr>
      <vt:lpstr>sample_mgmt_az1_host_overlay_pool_end_ip</vt:lpstr>
      <vt:lpstr>sample_mgmt_az1_host_overlay_pool_start_ip</vt:lpstr>
      <vt:lpstr>sample_mgmt_az1_host_overlay_vlan</vt:lpstr>
      <vt:lpstr>sample_mgmt_az1_host1_fqdn</vt:lpstr>
      <vt:lpstr>sample_mgmt_az1_host1_mgmt_ip</vt:lpstr>
      <vt:lpstr>sample_mgmt_az1_host1_vrms_ip</vt:lpstr>
      <vt:lpstr>sample_mgmt_az1_host10_fqdn</vt:lpstr>
      <vt:lpstr>sample_mgmt_az1_host10_mgmt_ip</vt:lpstr>
      <vt:lpstr>sample_mgmt_az1_host10_vrms_ip</vt:lpstr>
      <vt:lpstr>sample_mgmt_az1_host11_fqdn</vt:lpstr>
      <vt:lpstr>sample_mgmt_az1_host11_mgmt_ip</vt:lpstr>
      <vt:lpstr>sample_mgmt_az1_host11_vrms_ip</vt:lpstr>
      <vt:lpstr>sample_mgmt_az1_host12_fqdn</vt:lpstr>
      <vt:lpstr>sample_mgmt_az1_host12_mgmt_ip</vt:lpstr>
      <vt:lpstr>sample_mgmt_az1_host12_vrms_ip</vt:lpstr>
      <vt:lpstr>sample_mgmt_az1_host13_fqdn</vt:lpstr>
      <vt:lpstr>sample_mgmt_az1_host13_mgmt_ip</vt:lpstr>
      <vt:lpstr>sample_mgmt_az1_host13_vrms_ip</vt:lpstr>
      <vt:lpstr>sample_mgmt_az1_host14_fqdn</vt:lpstr>
      <vt:lpstr>sample_mgmt_az1_host14_mgmt_ip</vt:lpstr>
      <vt:lpstr>sample_mgmt_az1_host14_vrms_ip</vt:lpstr>
      <vt:lpstr>sample_mgmt_az1_host15_fqdn</vt:lpstr>
      <vt:lpstr>sample_mgmt_az1_host15_mgmt_ip</vt:lpstr>
      <vt:lpstr>sample_mgmt_az1_host15_vrms_ip</vt:lpstr>
      <vt:lpstr>sample_mgmt_az1_host16_fqdn</vt:lpstr>
      <vt:lpstr>sample_mgmt_az1_host16_mgmt_ip</vt:lpstr>
      <vt:lpstr>sample_mgmt_az1_host16_vrms_ip</vt:lpstr>
      <vt:lpstr>sample_mgmt_az1_host2_fqdn</vt:lpstr>
      <vt:lpstr>sample_mgmt_az1_host2_mgmt_ip</vt:lpstr>
      <vt:lpstr>sample_mgmt_az1_host2_vrms_ip</vt:lpstr>
      <vt:lpstr>sample_mgmt_az1_host3_fqdn</vt:lpstr>
      <vt:lpstr>sample_mgmt_az1_host3_mgmt_ip</vt:lpstr>
      <vt:lpstr>sample_mgmt_az1_host3_vrms_ip</vt:lpstr>
      <vt:lpstr>sample_mgmt_az1_host4_fqdn</vt:lpstr>
      <vt:lpstr>sample_mgmt_az1_host4_mgmt_ip</vt:lpstr>
      <vt:lpstr>sample_mgmt_az1_host4_vrms_ip</vt:lpstr>
      <vt:lpstr>sample_mgmt_az1_host5_fqdn</vt:lpstr>
      <vt:lpstr>sample_mgmt_az1_host5_mgmt_ip</vt:lpstr>
      <vt:lpstr>sample_mgmt_az1_host5_vrms_ip</vt:lpstr>
      <vt:lpstr>sample_mgmt_az1_host6_fqdn</vt:lpstr>
      <vt:lpstr>sample_mgmt_az1_host6_mgmt_ip</vt:lpstr>
      <vt:lpstr>sample_mgmt_az1_host6_vrms_ip</vt:lpstr>
      <vt:lpstr>sample_mgmt_az1_host7_fqdn</vt:lpstr>
      <vt:lpstr>sample_mgmt_az1_host7_mgmt_ip</vt:lpstr>
      <vt:lpstr>sample_mgmt_az1_host7_vrms_ip</vt:lpstr>
      <vt:lpstr>sample_mgmt_az1_host8_fqdn</vt:lpstr>
      <vt:lpstr>sample_mgmt_az1_host8_mgmt_ip</vt:lpstr>
      <vt:lpstr>sample_mgmt_az1_host8_vrms_ip</vt:lpstr>
      <vt:lpstr>sample_mgmt_az1_host9_fqdn</vt:lpstr>
      <vt:lpstr>sample_mgmt_az1_host9_mgmt_ip</vt:lpstr>
      <vt:lpstr>sample_mgmt_az1_host9_vrms_ip</vt:lpstr>
      <vt:lpstr>sample_mgmt_az1_mgmt_gateway_cidr</vt:lpstr>
      <vt:lpstr>sample_mgmt_az1_mgmt_mtu</vt:lpstr>
      <vt:lpstr>sample_mgmt_az1_mgmt_vlan</vt:lpstr>
      <vt:lpstr>sample_mgmt_az1_mgmt_vm_gateway_cidr</vt:lpstr>
      <vt:lpstr>sample_mgmt_az1_mgmt_vm_mtu</vt:lpstr>
      <vt:lpstr>sample_mgmt_az1_mgmt_vm_prefix</vt:lpstr>
      <vt:lpstr>sample_mgmt_az1_mgmt_vm_vlan</vt:lpstr>
      <vt:lpstr>sample_mgmt_az1_rtep_ip_pool_name</vt:lpstr>
      <vt:lpstr>sample_mgmt_az1_rtep_overlay_cidr</vt:lpstr>
      <vt:lpstr>sample_mgmt_az1_rtep_overlay_gateway_ip</vt:lpstr>
      <vt:lpstr>sample_mgmt_az1_rtep_overlay_vlan</vt:lpstr>
      <vt:lpstr>sample_mgmt_az1_secondary_storage_gateway_cidr</vt:lpstr>
      <vt:lpstr>sample_mgmt_az1_secondary_storage_mtu</vt:lpstr>
      <vt:lpstr>sample_mgmt_az1_secondary_storage_pool_end_ip</vt:lpstr>
      <vt:lpstr>sample_mgmt_az1_secondary_storage_pool_start_ip</vt:lpstr>
      <vt:lpstr>sample_mgmt_az1_secondary_storage_vlan</vt:lpstr>
      <vt:lpstr>sample_mgmt_az1_tor1_peer_asn</vt:lpstr>
      <vt:lpstr>sample_mgmt_az1_tor1_peer_bgp_password</vt:lpstr>
      <vt:lpstr>sample_mgmt_az1_tor1_peer_ip</vt:lpstr>
      <vt:lpstr>sample_mgmt_az1_tor2_peer_asn</vt:lpstr>
      <vt:lpstr>sample_mgmt_az1_tor2_peer_bgp_password</vt:lpstr>
      <vt:lpstr>sample_mgmt_az1_tor2_peer_ip</vt:lpstr>
      <vt:lpstr>sample_mgmt_az1_uplink01_cidr</vt:lpstr>
      <vt:lpstr>sample_mgmt_az1_uplink01_gateway_ip</vt:lpstr>
      <vt:lpstr>sample_mgmt_az1_uplink01_mtu</vt:lpstr>
      <vt:lpstr>sample_mgmt_az1_uplink01_vlan</vt:lpstr>
      <vt:lpstr>sample_mgmt_az1_uplink02_cidr</vt:lpstr>
      <vt:lpstr>sample_mgmt_az1_uplink02_gateway_ip</vt:lpstr>
      <vt:lpstr>sample_mgmt_az1_uplink02_mtu</vt:lpstr>
      <vt:lpstr>sample_mgmt_az1_uplink02_vlan</vt:lpstr>
      <vt:lpstr>sample_mgmt_az1_vcf_mgmt_gateway_cidr</vt:lpstr>
      <vt:lpstr>sample_mgmt_az1_vcf_mgmt_gateway_ipv6_cidr</vt:lpstr>
      <vt:lpstr>sample_mgmt_az1_vcf_mgmt_mtu</vt:lpstr>
      <vt:lpstr>sample_mgmt_az1_vcf_mgmt_vlan</vt:lpstr>
      <vt:lpstr>sample_mgmt_az1_vmotion_gateway_cidr</vt:lpstr>
      <vt:lpstr>sample_mgmt_az1_vmotion_mtu</vt:lpstr>
      <vt:lpstr>sample_mgmt_az1_vmotion_pool_end_ip</vt:lpstr>
      <vt:lpstr>sample_mgmt_az1_vmotion_pool_start_ip</vt:lpstr>
      <vt:lpstr>sample_mgmt_az1_vmotion_vlan</vt:lpstr>
      <vt:lpstr>sample_mgmt_az1_vrms_cidr</vt:lpstr>
      <vt:lpstr>sample_mgmt_az1_vrms_gateway_ip</vt:lpstr>
      <vt:lpstr>sample_mgmt_az1_vrms_mask</vt:lpstr>
      <vt:lpstr>sample_mgmt_az1_vrms_mtu</vt:lpstr>
      <vt:lpstr>sample_mgmt_az1_vrms_vlan</vt:lpstr>
      <vt:lpstr>sample_mgmt_az1_vsan_gateway_cidr</vt:lpstr>
      <vt:lpstr>sample_mgmt_az1_vsan_mtu</vt:lpstr>
      <vt:lpstr>sample_mgmt_az1_vsan_pool_end_ip</vt:lpstr>
      <vt:lpstr>sample_mgmt_az1_vsan_pool_start_ip</vt:lpstr>
      <vt:lpstr>sample_mgmt_az1_vsan_vlan</vt:lpstr>
      <vt:lpstr>sample_mgmt_az2_host_hostnames</vt:lpstr>
      <vt:lpstr>sample_mgmt_az2_host_overlay_cidr</vt:lpstr>
      <vt:lpstr>sample_mgmt_az2_host_overlay_gateway_ip</vt:lpstr>
      <vt:lpstr>sample_mgmt_az2_host_overlay_mtu</vt:lpstr>
      <vt:lpstr>sample_mgmt_az2_host_overlay_network_pool_name</vt:lpstr>
      <vt:lpstr>sample_mgmt_az2_host_overlay_network_profile_name</vt:lpstr>
      <vt:lpstr>sample_mgmt_az2_host_overlay_pool_end_ip</vt:lpstr>
      <vt:lpstr>sample_mgmt_az2_host_overlay_pool_start_ip</vt:lpstr>
      <vt:lpstr>sample_mgmt_az2_host_overlay_uplink_profile_name</vt:lpstr>
      <vt:lpstr>sample_mgmt_az2_host_overlay_vlan</vt:lpstr>
      <vt:lpstr>sample_mgmt_az2_host1_fqdn</vt:lpstr>
      <vt:lpstr>sample_mgmt_az2_host1_mgmt_ip</vt:lpstr>
      <vt:lpstr>sample_mgmt_az2_host1_sddc_id</vt:lpstr>
      <vt:lpstr>sample_mgmt_az2_host1_vrms_ip</vt:lpstr>
      <vt:lpstr>sample_mgmt_az2_host10_fqdn</vt:lpstr>
      <vt:lpstr>sample_mgmt_az2_host10_mgmt_ip</vt:lpstr>
      <vt:lpstr>sample_mgmt_az2_host10_vrms_ip</vt:lpstr>
      <vt:lpstr>sample_mgmt_az2_host11_fqdn</vt:lpstr>
      <vt:lpstr>sample_mgmt_az2_host11_mgmt_ip</vt:lpstr>
      <vt:lpstr>sample_mgmt_az2_host11_vrms_ip</vt:lpstr>
      <vt:lpstr>sample_mgmt_az2_host12_fqdn</vt:lpstr>
      <vt:lpstr>sample_mgmt_az2_host12_mgmt_ip</vt:lpstr>
      <vt:lpstr>sample_mgmt_az2_host12_vrms_ip</vt:lpstr>
      <vt:lpstr>sample_mgmt_az2_host13_fqdn</vt:lpstr>
      <vt:lpstr>sample_mgmt_az2_host13_mgmt_ip</vt:lpstr>
      <vt:lpstr>sample_mgmt_az2_host13_vrms_ip</vt:lpstr>
      <vt:lpstr>sample_mgmt_az2_host14_fqdn</vt:lpstr>
      <vt:lpstr>sample_mgmt_az2_host14_mgmt_ip</vt:lpstr>
      <vt:lpstr>sample_mgmt_az2_host14_vrms_ip</vt:lpstr>
      <vt:lpstr>sample_mgmt_az2_host15_fqdn</vt:lpstr>
      <vt:lpstr>sample_mgmt_az2_host15_mgmt_ip</vt:lpstr>
      <vt:lpstr>sample_mgmt_az2_host15_vrms_ip</vt:lpstr>
      <vt:lpstr>sample_mgmt_az2_host16_fqdn</vt:lpstr>
      <vt:lpstr>sample_mgmt_az2_host16_mgmt_ip</vt:lpstr>
      <vt:lpstr>sample_mgmt_az2_host16_vrms_ip</vt:lpstr>
      <vt:lpstr>sample_mgmt_az2_host2_fqdn</vt:lpstr>
      <vt:lpstr>sample_mgmt_az2_host2_mgmt_ip</vt:lpstr>
      <vt:lpstr>sample_mgmt_az2_host2_sddc_id</vt:lpstr>
      <vt:lpstr>sample_mgmt_az2_host2_vrms_ip</vt:lpstr>
      <vt:lpstr>sample_mgmt_az2_host3_fqdn</vt:lpstr>
      <vt:lpstr>sample_mgmt_az2_host3_mgmt_ip</vt:lpstr>
      <vt:lpstr>sample_mgmt_az2_host3_sddc_id</vt:lpstr>
      <vt:lpstr>sample_mgmt_az2_host3_vrms_ip</vt:lpstr>
      <vt:lpstr>sample_mgmt_az2_host4_fqdn</vt:lpstr>
      <vt:lpstr>sample_mgmt_az2_host4_mgmt_ip</vt:lpstr>
      <vt:lpstr>sample_mgmt_az2_host4_sddc_id</vt:lpstr>
      <vt:lpstr>sample_mgmt_az2_host4_vrms_ip</vt:lpstr>
      <vt:lpstr>sample_mgmt_az2_host5_fqdn</vt:lpstr>
      <vt:lpstr>sample_mgmt_az2_host5_mgmt_ip</vt:lpstr>
      <vt:lpstr>sample_mgmt_az2_host5_vrms_ip</vt:lpstr>
      <vt:lpstr>sample_mgmt_az2_host6_fqdn</vt:lpstr>
      <vt:lpstr>sample_mgmt_az2_host6_mgmt_ip</vt:lpstr>
      <vt:lpstr>sample_mgmt_az2_host6_vrms_ip</vt:lpstr>
      <vt:lpstr>sample_mgmt_az2_host7_fqdn</vt:lpstr>
      <vt:lpstr>sample_mgmt_az2_host7_mgmt_ip</vt:lpstr>
      <vt:lpstr>sample_mgmt_az2_host7_vrms_ip</vt:lpstr>
      <vt:lpstr>sample_mgmt_az2_host8_fqdn</vt:lpstr>
      <vt:lpstr>sample_mgmt_az2_host8_mgmt_ip</vt:lpstr>
      <vt:lpstr>sample_mgmt_az2_host8_vrms_ip</vt:lpstr>
      <vt:lpstr>sample_mgmt_az2_host9_fqdn</vt:lpstr>
      <vt:lpstr>sample_mgmt_az2_host9_mgmt_ip</vt:lpstr>
      <vt:lpstr>sample_mgmt_az2_host9_vrms_ip</vt:lpstr>
      <vt:lpstr>sample_mgmt_az2_mgmt_cidr</vt:lpstr>
      <vt:lpstr>sample_mgmt_az2_mgmt_gateway_ip</vt:lpstr>
      <vt:lpstr>sample_mgmt_az2_mgmt_mtu</vt:lpstr>
      <vt:lpstr>sample_mgmt_az2_mgmt_vlan</vt:lpstr>
      <vt:lpstr>sample_mgmt_az2_pool_name</vt:lpstr>
      <vt:lpstr>sample_mgmt_az2_secondary_storage_cidr</vt:lpstr>
      <vt:lpstr>sample_mgmt_az2_secondary_storage_gateway_ip</vt:lpstr>
      <vt:lpstr>sample_mgmt_az2_secondary_storage_mask</vt:lpstr>
      <vt:lpstr>sample_mgmt_az2_secondary_storage_mtu</vt:lpstr>
      <vt:lpstr>sample_mgmt_az2_secondary_storage_network</vt:lpstr>
      <vt:lpstr>sample_mgmt_az2_secondary_storage_pool_end_ip</vt:lpstr>
      <vt:lpstr>sample_mgmt_az2_secondary_storage_pool_start_ip</vt:lpstr>
      <vt:lpstr>sample_mgmt_az2_secondary_storage_vlan</vt:lpstr>
      <vt:lpstr>sample_mgmt_az2_tor1_peer_asn</vt:lpstr>
      <vt:lpstr>sample_mgmt_az2_tor1_peer_bgp_password</vt:lpstr>
      <vt:lpstr>sample_mgmt_az2_tor1_peer_ip</vt:lpstr>
      <vt:lpstr>sample_mgmt_az2_tor2_peer_asn</vt:lpstr>
      <vt:lpstr>sample_mgmt_az2_tor2_peer_bgp_password</vt:lpstr>
      <vt:lpstr>sample_mgmt_az2_tor2_peer_ip</vt:lpstr>
      <vt:lpstr>sample_mgmt_az2_vmotion_gateway_cidr</vt:lpstr>
      <vt:lpstr>sample_mgmt_az2_vmotion_ip</vt:lpstr>
      <vt:lpstr>sample_mgmt_az2_vmotion_mask</vt:lpstr>
      <vt:lpstr>sample_mgmt_az2_vmotion_mtu</vt:lpstr>
      <vt:lpstr>sample_mgmt_az2_vmotion_network</vt:lpstr>
      <vt:lpstr>sample_mgmt_az2_vmotion_pool_end_ip</vt:lpstr>
      <vt:lpstr>sample_mgmt_az2_vmotion_pool_start_ip</vt:lpstr>
      <vt:lpstr>sample_mgmt_az2_vmotion_vlan</vt:lpstr>
      <vt:lpstr>sample_mgmt_az2_vsan_cidr</vt:lpstr>
      <vt:lpstr>sample_mgmt_az2_vsan_gateway_ip</vt:lpstr>
      <vt:lpstr>sample_mgmt_az2_vsan_mask</vt:lpstr>
      <vt:lpstr>sample_mgmt_az2_vsan_mtu</vt:lpstr>
      <vt:lpstr>sample_mgmt_az2_vsan_network</vt:lpstr>
      <vt:lpstr>sample_mgmt_az2_vsan_pool_end_ip</vt:lpstr>
      <vt:lpstr>sample_mgmt_az2_vsan_pool_start_ip</vt:lpstr>
      <vt:lpstr>sample_mgmt_az2_vsan_vlan</vt:lpstr>
      <vt:lpstr>sample_mgmt_cl01_az1_mgmt_pg</vt:lpstr>
      <vt:lpstr>sample_mgmt_cl01_az1_mgmt_vm_pg</vt:lpstr>
      <vt:lpstr>sample_mgmt_cl01_az1_nfs_pg</vt:lpstr>
      <vt:lpstr>sample_mgmt_cl01_az1_uplink01_pg</vt:lpstr>
      <vt:lpstr>sample_mgmt_cl01_az1_uplink02_pg</vt:lpstr>
      <vt:lpstr>sample_mgmt_cl01_az1_vcf_mgmt_pg</vt:lpstr>
      <vt:lpstr>sample_mgmt_cl01_az1_vmotion_pg</vt:lpstr>
      <vt:lpstr>sample_mgmt_cl01_az1_vsan_pg</vt:lpstr>
      <vt:lpstr>sample_mgmt_cl01_cluster</vt:lpstr>
      <vt:lpstr>sample_mgmt_cl01_cluster_sddc_id</vt:lpstr>
      <vt:lpstr>sample_mgmt_cl01_nfs_server_ip</vt:lpstr>
      <vt:lpstr>sample_mgmt_cl01_nfs_share</vt:lpstr>
      <vt:lpstr>sample_mgmt_cl01_vds01_lag_name</vt:lpstr>
      <vt:lpstr>sample_mgmt_cl01_vds01_mtu</vt:lpstr>
      <vt:lpstr>sample_mgmt_cl01_vds01_name</vt:lpstr>
      <vt:lpstr>sample_mgmt_cl01_vds01_uplink_count</vt:lpstr>
      <vt:lpstr>sample_mgmt_cl01_vds01_uplink1</vt:lpstr>
      <vt:lpstr>sample_mgmt_cl01_vds01_uplink2</vt:lpstr>
      <vt:lpstr>sample_mgmt_cl01_vds02_lag_name</vt:lpstr>
      <vt:lpstr>sample_mgmt_cl01_vds02_mtu</vt:lpstr>
      <vt:lpstr>sample_mgmt_cl01_vds02_name</vt:lpstr>
      <vt:lpstr>sample_mgmt_cl01_vds02_uplink_count</vt:lpstr>
      <vt:lpstr>sample_mgmt_cl01_vds02_uplink1</vt:lpstr>
      <vt:lpstr>sample_mgmt_cl01_vds02_uplink2</vt:lpstr>
      <vt:lpstr>sample_mgmt_cl01_vds03_lag_name</vt:lpstr>
      <vt:lpstr>sample_mgmt_cl01_vds03_mtu</vt:lpstr>
      <vt:lpstr>sample_mgmt_cl01_vds03_name</vt:lpstr>
      <vt:lpstr>sample_mgmt_cl01_vds03_uplink_count</vt:lpstr>
      <vt:lpstr>sample_mgmt_cl01_vds03_uplink1</vt:lpstr>
      <vt:lpstr>sample_mgmt_cl01_vds03_uplink2</vt:lpstr>
      <vt:lpstr>sample_mgmt_cl01_vsan_datastore</vt:lpstr>
      <vt:lpstr>sample_mgmt_cross_instance_linked_t0_name</vt:lpstr>
      <vt:lpstr>sample_mgmt_datacenter</vt:lpstr>
      <vt:lpstr>sample_mgmt_depot_activation_code</vt:lpstr>
      <vt:lpstr>sample_mgmt_ec_mtu</vt:lpstr>
      <vt:lpstr>sample_mgmt_ec_name</vt:lpstr>
      <vt:lpstr>sample_mgmt_ec_rp_name</vt:lpstr>
      <vt:lpstr>sample_mgmt_ec01_en01_host_group_affinity_rule_name</vt:lpstr>
      <vt:lpstr>sample_mgmt_ec01_en02_host_group_affinity_rule_name</vt:lpstr>
      <vt:lpstr>sample_mgmt_en_asn</vt:lpstr>
      <vt:lpstr>sample_mgmt_existing_active_nsx_gm</vt:lpstr>
      <vt:lpstr>sample_mgmt_existing_cross_instance_t0_name</vt:lpstr>
      <vt:lpstr>sample_mgmt_host_overlay_transportzone</vt:lpstr>
      <vt:lpstr>sample_mgmt_internet_proxy_address</vt:lpstr>
      <vt:lpstr>sample_mgmt_internet_proxy_email</vt:lpstr>
      <vt:lpstr>sample_mgmt_internet_proxy_password</vt:lpstr>
      <vt:lpstr>sample_mgmt_internet_proxy_port</vt:lpstr>
      <vt:lpstr>sample_mgmt_nsxt_en_admin_password</vt:lpstr>
      <vt:lpstr>sample_mgmt_nsxt_en_root_password</vt:lpstr>
      <vt:lpstr>sample_mgmt_nsxt_federation_global_manager_name</vt:lpstr>
      <vt:lpstr>sample_mgmt_nsxt_federation_location_name</vt:lpstr>
      <vt:lpstr>sample_mgmt_nsxt_global_mgr_anti_affinity_rule_name</vt:lpstr>
      <vt:lpstr>sample_mgmt_nsxt_global_mgr_certificate_id</vt:lpstr>
      <vt:lpstr>sample_mgmt_nsxt_global_mgr_cluster_id</vt:lpstr>
      <vt:lpstr>sample_mgmt_nsxt_global_mgr_vmca_signed_thumbprint</vt:lpstr>
      <vt:lpstr>sample_mgmt_nsxt_global_mgra_fqdn</vt:lpstr>
      <vt:lpstr>sample_mgmt_nsxt_global_mgra_hostname</vt:lpstr>
      <vt:lpstr>sample_mgmt_nsxt_global_mgra_ip</vt:lpstr>
      <vt:lpstr>sample_mgmt_nsxt_global_mgrb_fqdn</vt:lpstr>
      <vt:lpstr>sample_mgmt_nsxt_global_mgrb_hostname</vt:lpstr>
      <vt:lpstr>sample_mgmt_nsxt_global_mgrb_ip</vt:lpstr>
      <vt:lpstr>sample_mgmt_nsxt_global_mgrc_fqdn</vt:lpstr>
      <vt:lpstr>sample_mgmt_nsxt_global_mgrc_hostname</vt:lpstr>
      <vt:lpstr>sample_mgmt_nsxt_global_mgrc_ip</vt:lpstr>
      <vt:lpstr>sample_mgmt_nsxt_gm_fingerprint</vt:lpstr>
      <vt:lpstr>sample_mgmt_nsxt_gm_vip_fqdn</vt:lpstr>
      <vt:lpstr>sample_mgmt_nsxt_gm_vip_ip</vt:lpstr>
      <vt:lpstr>sample_mgmt_nsxt_lm_fingerprint</vt:lpstr>
      <vt:lpstr>sample_mgmt_nsxt_mgra_fqdn</vt:lpstr>
      <vt:lpstr>sample_mgmt_nsxt_mgra_ip</vt:lpstr>
      <vt:lpstr>sample_mgmt_nsxt_mgrb_fqdn</vt:lpstr>
      <vt:lpstr>sample_mgmt_nsxt_mgrb_ip</vt:lpstr>
      <vt:lpstr>sample_mgmt_nsxt_mgrc_fqdn</vt:lpstr>
      <vt:lpstr>sample_mgmt_nsxt_mgrc_ip</vt:lpstr>
      <vt:lpstr>sample_mgmt_nsxt_vip_fqdn</vt:lpstr>
      <vt:lpstr>sample_mgmt_nsxt_vip_ip</vt:lpstr>
      <vt:lpstr>sample_mgmt_nsxt_xreg_t1_name</vt:lpstr>
      <vt:lpstr>sample_mgmt_offline_depot_fqdn</vt:lpstr>
      <vt:lpstr>sample_mgmt_offline_depot_port</vt:lpstr>
      <vt:lpstr>sample_mgmt_recovery_lb_creation_method</vt:lpstr>
      <vt:lpstr>sample_mgmt_rtep_overlay_pool_end_ip</vt:lpstr>
      <vt:lpstr>sample_mgmt_rtep_overlay_pool_start_ip</vt:lpstr>
      <vt:lpstr>sample_mgmt_rwr_recovery_site_az1_mgmt_cidr</vt:lpstr>
      <vt:lpstr>sample_mgmt_rwr_vc_fqdn</vt:lpstr>
      <vt:lpstr>sample_mgmt_sddc_domain</vt:lpstr>
      <vt:lpstr>sample_mgmt_srm_admin_email</vt:lpstr>
      <vt:lpstr>sample_mgmt_srm_admin_password</vt:lpstr>
      <vt:lpstr>sample_mgmt_srm_database_password</vt:lpstr>
      <vt:lpstr>sample_mgmt_srm_days</vt:lpstr>
      <vt:lpstr>sample_mgmt_srm_instances_per_day</vt:lpstr>
      <vt:lpstr>sample_mgmt_srm_ip</vt:lpstr>
      <vt:lpstr>sample_mgmt_srm_logs_pg</vt:lpstr>
      <vt:lpstr>sample_mgmt_srm_logs_rp</vt:lpstr>
      <vt:lpstr>sample_mgmt_srm_net_pg</vt:lpstr>
      <vt:lpstr>sample_mgmt_srm_net_rp</vt:lpstr>
      <vt:lpstr>sample_mgmt_srm_p12_password</vt:lpstr>
      <vt:lpstr>sample_mgmt_srm_recovery_cluster</vt:lpstr>
      <vt:lpstr>sample_mgmt_srm_recovery_datastore</vt:lpstr>
      <vt:lpstr>sample_mgmt_srm_recovery_gateway</vt:lpstr>
      <vt:lpstr>sample_mgmt_srm_recovery_mask</vt:lpstr>
      <vt:lpstr>sample_mgmt_srm_recovery_nsx_ec_name</vt:lpstr>
      <vt:lpstr>sample_mgmt_srm_recovery_nsx_location</vt:lpstr>
      <vt:lpstr>sample_mgmt_srm_recovery_pg</vt:lpstr>
      <vt:lpstr>sample_mgmt_srm_recovery_sddc_manager_domain</vt:lpstr>
      <vt:lpstr>sample_mgmt_srm_recovery_sddc_manager_fqdn</vt:lpstr>
      <vt:lpstr>sample_mgmt_srm_recovery_sddc_manager_password</vt:lpstr>
      <vt:lpstr>sample_mgmt_srm_recovery_sddc_manager_username</vt:lpstr>
      <vt:lpstr>sample_mgmt_srm_recovery_t1_si_ip</vt:lpstr>
      <vt:lpstr>sample_mgmt_srm_recovery_vcenter_fqdn</vt:lpstr>
      <vt:lpstr>sample_mgmt_srm_recovery_vcenter_password</vt:lpstr>
      <vt:lpstr>sample_mgmt_srm_recovery_vcenter_username</vt:lpstr>
      <vt:lpstr>sample_mgmt_srm_root_password</vt:lpstr>
      <vt:lpstr>sample_mgmt_srm_rpo</vt:lpstr>
      <vt:lpstr>sample_mgmt_srm_site_name</vt:lpstr>
      <vt:lpstr>sample_mgmt_srm_sso_domain_membership</vt:lpstr>
      <vt:lpstr>sample_mgmt_srm_vm_folder</vt:lpstr>
      <vt:lpstr>sample_mgmt_srm_vra_pg</vt:lpstr>
      <vt:lpstr>sample_mgmt_srm_vra_rp</vt:lpstr>
      <vt:lpstr>sample_mgmt_srm_vrops_pg</vt:lpstr>
      <vt:lpstr>sample_mgmt_srm_vrops_rp</vt:lpstr>
      <vt:lpstr>sample_mgmt_srm_vrslcm_wsa_pg</vt:lpstr>
      <vt:lpstr>sample_mgmt_srm_vrslcm_wsa_rp</vt:lpstr>
      <vt:lpstr>sample_mgmt_sso_domain</vt:lpstr>
      <vt:lpstr>sample_mgmt_sso_domain_username</vt:lpstr>
      <vt:lpstr>sample_mgmt_supvr_api_server_fqdn</vt:lpstr>
      <vt:lpstr>sample_mgmt_supvr_cp_storage_policy</vt:lpstr>
      <vt:lpstr>sample_mgmt_supvr_ed_storage_policy</vt:lpstr>
      <vt:lpstr>sample_mgmt_supvr_ic_storage_policy</vt:lpstr>
      <vt:lpstr>sample_mgmt_supvr_ip_address_range</vt:lpstr>
      <vt:lpstr>sample_mgmt_supvr_mgmt_dns_server</vt:lpstr>
      <vt:lpstr>sample_mgmt_supvr_mgmt_dns_zones</vt:lpstr>
      <vt:lpstr>sample_mgmt_supvr_mgmt_ntp_server</vt:lpstr>
      <vt:lpstr>sample_mgmt_supvr_name</vt:lpstr>
      <vt:lpstr>sample_mgmt_supvr_nsx_project</vt:lpstr>
      <vt:lpstr>sample_mgmt_supvr_vpc_connectivity_profile</vt:lpstr>
      <vt:lpstr>sample_mgmt_supvr_vpc_ext_ip_blocks_name</vt:lpstr>
      <vt:lpstr>sample_mgmt_supvr_vpc_priv_cidr</vt:lpstr>
      <vt:lpstr>sample_mgmt_supvr_vpc_priv_ip_blocks_name</vt:lpstr>
      <vt:lpstr>sample_mgmt_supvr_vpc_service_cidr</vt:lpstr>
      <vt:lpstr>sample_mgmt_supvr_wld_dns_server</vt:lpstr>
      <vt:lpstr>sample_mgmt_supvr_wld_ntp_server</vt:lpstr>
      <vt:lpstr>sample_mgmt_supvr_zone_name</vt:lpstr>
      <vt:lpstr>sample_mgmt_tier0_name</vt:lpstr>
      <vt:lpstr>sample_mgmt_tier1_name</vt:lpstr>
      <vt:lpstr>sample_mgmt_vc_fqdn</vt:lpstr>
      <vt:lpstr>sample_mgmt_vc_ip</vt:lpstr>
      <vt:lpstr>sample_mgmt_vna_rp_name</vt:lpstr>
      <vt:lpstr>sample_mgmt_vnaa_cidr</vt:lpstr>
      <vt:lpstr>sample_mgmt_vnaa_fqdn</vt:lpstr>
      <vt:lpstr>sample_mgmt_vnab_cidr</vt:lpstr>
      <vt:lpstr>sample_mgmt_vnab_fqdn</vt:lpstr>
      <vt:lpstr>sample_mgmt_vpc_ext_ip_blocks_cidr</vt:lpstr>
      <vt:lpstr>sample_mgmt_vpc_ext_ip_blocks_excluded_ips</vt:lpstr>
      <vt:lpstr>sample_mgmt_vpc_ext_ip_blocks_name</vt:lpstr>
      <vt:lpstr>sample_mgmt_vpc_ext_ip_blocks_reserved</vt:lpstr>
      <vt:lpstr>sample_mgmt_vpc_ext_ip_blocks_visability</vt:lpstr>
      <vt:lpstr>sample_mgmt_vpc_priv_ip_blocks_excluded_ips</vt:lpstr>
      <vt:lpstr>sample_mgmt_vpc_priv_ip_blocks_name</vt:lpstr>
      <vt:lpstr>sample_mgmt_vpc_priv_ip_blocks_reserved</vt:lpstr>
      <vt:lpstr>sample_mgmt_vpc_priv_ip_blocks_visability</vt:lpstr>
      <vt:lpstr>sample_mgmt_vpc_transit_gateway_ip_blocks_cidr</vt:lpstr>
      <vt:lpstr>sample_mgmt_vpc_vna_cluster_name</vt:lpstr>
      <vt:lpstr>sample_mgmt_vpc_vna_cluster_size_chosen</vt:lpstr>
      <vt:lpstr>sample_mgmt_vrms_admin_email</vt:lpstr>
      <vt:lpstr>sample_mgmt_vrms_admin_password</vt:lpstr>
      <vt:lpstr>sample_mgmt_vrms_hostname</vt:lpstr>
      <vt:lpstr>sample_mgmt_vrms_mgmt_ip</vt:lpstr>
      <vt:lpstr>sample_mgmt_vrms_p12_password</vt:lpstr>
      <vt:lpstr>sample_mgmt_vrms_pg</vt:lpstr>
      <vt:lpstr>sample_mgmt_vrms_recovery_replication_cidr</vt:lpstr>
      <vt:lpstr>sample_mgmt_vrms_root_password</vt:lpstr>
      <vt:lpstr>sample_mgmt_vrms_site_name</vt:lpstr>
      <vt:lpstr>sample_mgmt_vrms_vm_folder</vt:lpstr>
      <vt:lpstr>sample_mgmt_vrms_vrms_ip</vt:lpstr>
      <vt:lpstr>sample_mgmt_vsan_dit_rekey_custom_interval</vt:lpstr>
      <vt:lpstr>sample_mgmt_vsan_dit_rekey_default_interval</vt:lpstr>
      <vt:lpstr>sample_mgmt_witness_cluster</vt:lpstr>
      <vt:lpstr>sample_mgmt_witness_dns1_ip</vt:lpstr>
      <vt:lpstr>sample_mgmt_witness_dns2_ip</vt:lpstr>
      <vt:lpstr>sample_mgmt_witness_fqdn</vt:lpstr>
      <vt:lpstr>sample_mgmt_witness_hostname</vt:lpstr>
      <vt:lpstr>sample_mgmt_witness_ip</vt:lpstr>
      <vt:lpstr>sample_mgmt_witness_mgmt_pg</vt:lpstr>
      <vt:lpstr>sample_mgmt_witness_ntp1_server</vt:lpstr>
      <vt:lpstr>sample_mgmt_witness_ntp2_server</vt:lpstr>
      <vt:lpstr>sample_mgmt_witness_root_password</vt:lpstr>
      <vt:lpstr>sample_mgmt_witness_vm_folder</vt:lpstr>
      <vt:lpstr>sample_mgmt_witness_vsan_datastore</vt:lpstr>
      <vt:lpstr>sample_mgmt_witness_zone_vc_fqdn</vt:lpstr>
      <vt:lpstr>sample_mgmt_witness_zone_vc_ip</vt:lpstr>
      <vt:lpstr>sample_mgmt_witnessaz_mgmt_cidr</vt:lpstr>
      <vt:lpstr>sample_mgmt_witnessaz_mgmt_gateway_ip</vt:lpstr>
      <vt:lpstr>sample_mgmt_witnessaz_mgmt_mtu</vt:lpstr>
      <vt:lpstr>sample_mgmt_witnessaz_mgmt_vlan</vt:lpstr>
      <vt:lpstr>sample_nsxt_gm_admin_password</vt:lpstr>
      <vt:lpstr>sample_nsxt_gm_audit_password</vt:lpstr>
      <vt:lpstr>sample_nsxt_gm_root_password</vt:lpstr>
      <vt:lpstr>sample_nsxt_lm_admin_password</vt:lpstr>
      <vt:lpstr>sample_nsxt_lm_audit_password</vt:lpstr>
      <vt:lpstr>sample_nsxt_lm_root_password</vt:lpstr>
      <vt:lpstr>sample_parent_ad_groups_ou</vt:lpstr>
      <vt:lpstr>sample_parent_ad_users_ou</vt:lpstr>
      <vt:lpstr>sample_parent_dns_zone</vt:lpstr>
      <vt:lpstr>sample_parent_gg_wsa_admins_group</vt:lpstr>
      <vt:lpstr>sample_parent_gg_wsa_directory_admins_group</vt:lpstr>
      <vt:lpstr>sample_parent_gg_wsa_read_only_group</vt:lpstr>
      <vt:lpstr>sample_region_ad_child_fqdn</vt:lpstr>
      <vt:lpstr>sample_region_ad_child_netbios</vt:lpstr>
      <vt:lpstr>sample_region_ad_parent_fqdn</vt:lpstr>
      <vt:lpstr>sample_region_ad_parent_netbios</vt:lpstr>
      <vt:lpstr>sample_region_dns1_ip</vt:lpstr>
      <vt:lpstr>sample_region_dns2_ip</vt:lpstr>
      <vt:lpstr>sample_region_ntp1_server</vt:lpstr>
      <vt:lpstr>sample_region_ntp2_server</vt:lpstr>
      <vt:lpstr>sample_rwr_cert_country_code</vt:lpstr>
      <vt:lpstr>sample_rwr_cert_file</vt:lpstr>
      <vt:lpstr>sample_rwr_cert_locality</vt:lpstr>
      <vt:lpstr>sample_rwr_cert_organisation</vt:lpstr>
      <vt:lpstr>sample_rwr_cert_ou</vt:lpstr>
      <vt:lpstr>sample_rwr_cert_state</vt:lpstr>
      <vt:lpstr>sample_rwr_child_dns_zone</vt:lpstr>
      <vt:lpstr>sample_rwr_datacenter</vt:lpstr>
      <vt:lpstr>sample_rwr_sso_domain_name</vt:lpstr>
      <vt:lpstr>sample_rwr_vlr_replication_password</vt:lpstr>
      <vt:lpstr>sample_rwr_vrms_pg</vt:lpstr>
      <vt:lpstr>sample_sddc_mgr_admin_local_password</vt:lpstr>
      <vt:lpstr>sample_sddc_mgr_fqdn</vt:lpstr>
      <vt:lpstr>sample_sddc_mgr_ip</vt:lpstr>
      <vt:lpstr>sample_sddc_mgr_root_password</vt:lpstr>
      <vt:lpstr>sample_sddc_mgr_vcf_password</vt:lpstr>
      <vt:lpstr>sample_sftp_server</vt:lpstr>
      <vt:lpstr>sample_sftp_server_backup_dir</vt:lpstr>
      <vt:lpstr>sample_sftp_server_passphrase</vt:lpstr>
      <vt:lpstr>sample_sftp_server_port</vt:lpstr>
      <vt:lpstr>sample_sftp_server_protocol</vt:lpstr>
      <vt:lpstr>sample_sftp_server_sshfingerprint</vt:lpstr>
      <vt:lpstr>sample_smtp_server</vt:lpstr>
      <vt:lpstr>sample_smtp_server_port</vt:lpstr>
      <vt:lpstr>sample_svc_cbr_vcdr_vsphere_password</vt:lpstr>
      <vt:lpstr>sample_svc_cbr_vcdr_vsphere_user</vt:lpstr>
      <vt:lpstr>sample_svc_ccm_hcx_nsx_password</vt:lpstr>
      <vt:lpstr>sample_svc_ccm_hcx_nsx_user</vt:lpstr>
      <vt:lpstr>sample_svc_ccm_hcx_vsphere_password</vt:lpstr>
      <vt:lpstr>sample_svc_ccm_hcx_vsphere_user</vt:lpstr>
      <vt:lpstr>sample_svc_hrm_vcf_password</vt:lpstr>
      <vt:lpstr>sample_svc_ila_ad_password</vt:lpstr>
      <vt:lpstr>sample_svc_ila_ad_user</vt:lpstr>
      <vt:lpstr>sample_svc_inv_ad_password</vt:lpstr>
      <vt:lpstr>sample_svc_inv_ad_user</vt:lpstr>
      <vt:lpstr>sample_svc_inv_vrops_password</vt:lpstr>
      <vt:lpstr>sample_svc_inv_vrops_user</vt:lpstr>
      <vt:lpstr>sample_svc_inv_vsphere_password</vt:lpstr>
      <vt:lpstr>sample_svc_inv_vsphere_user</vt:lpstr>
      <vt:lpstr>sample_svc_iom_vcf_password</vt:lpstr>
      <vt:lpstr>sample_svc_iom_vcf_user</vt:lpstr>
      <vt:lpstr>sample_svc_iom_vsphere_password</vt:lpstr>
      <vt:lpstr>sample_svc_iom_vsphere_user</vt:lpstr>
      <vt:lpstr>sample_svc_my_vmware_password</vt:lpstr>
      <vt:lpstr>sample_svc_vcf_bck_password</vt:lpstr>
      <vt:lpstr>sample_svc_vcf_bck_user</vt:lpstr>
      <vt:lpstr>sample_svc_vcf_ca_vcf_password</vt:lpstr>
      <vt:lpstr>sample_svc_vcf_ca_vcf_user</vt:lpstr>
      <vt:lpstr>sample_svc_vra_nsx_password</vt:lpstr>
      <vt:lpstr>sample_svc_vra_nsx_user</vt:lpstr>
      <vt:lpstr>sample_svc_vra_vcf_password</vt:lpstr>
      <vt:lpstr>sample_svc_vra_vcf_user</vt:lpstr>
      <vt:lpstr>sample_svc_vra_vrops_password</vt:lpstr>
      <vt:lpstr>sample_svc_vra_vrops_user</vt:lpstr>
      <vt:lpstr>sample_svc_vra_vsphere_password</vt:lpstr>
      <vt:lpstr>sample_svc_vra_vsphere_user</vt:lpstr>
      <vt:lpstr>sample_svc_vro_vsphere_password</vt:lpstr>
      <vt:lpstr>sample_svc_vro_vsphere_user</vt:lpstr>
      <vt:lpstr>sample_svc_vrops_vra_password</vt:lpstr>
      <vt:lpstr>sample_svc_vrops_vra_user</vt:lpstr>
      <vt:lpstr>sample_vcenter_root_password</vt:lpstr>
      <vt:lpstr>sample_vcf_automation_additional_vips</vt:lpstr>
      <vt:lpstr>sample_vcf_automation_admin_password</vt:lpstr>
      <vt:lpstr>sample_vcf_automation_admin_password_alias</vt:lpstr>
      <vt:lpstr>sample_vcf_automation_admin_password_description</vt:lpstr>
      <vt:lpstr>sample_vcf_automation_admin_username</vt:lpstr>
      <vt:lpstr>sample_vcf_automation_cert_alias</vt:lpstr>
      <vt:lpstr>sample_vcf_automation_cert_common_name</vt:lpstr>
      <vt:lpstr>sample_vcf_automation_cert_country_code</vt:lpstr>
      <vt:lpstr>sample_vcf_automation_cert_file</vt:lpstr>
      <vt:lpstr>sample_vcf_automation_cert_locality</vt:lpstr>
      <vt:lpstr>sample_vcf_automation_cert_organisation</vt:lpstr>
      <vt:lpstr>sample_vcf_automation_cert_state</vt:lpstr>
      <vt:lpstr>sample_vcf_automation_folder</vt:lpstr>
      <vt:lpstr>sample_vcf_automation_gateway_ip</vt:lpstr>
      <vt:lpstr>sample_vcf_automation_mask</vt:lpstr>
      <vt:lpstr>sample_vcf_automation_node_pool_end_ip</vt:lpstr>
      <vt:lpstr>sample_vcf_automation_node_pool_start_ip</vt:lpstr>
      <vt:lpstr>sample_vcf_automation_nodea_ip</vt:lpstr>
      <vt:lpstr>sample_vcf_automation_nodeb_ip</vt:lpstr>
      <vt:lpstr>sample_vcf_automation_nodec_ip</vt:lpstr>
      <vt:lpstr>sample_vcf_automation_noded_ip</vt:lpstr>
      <vt:lpstr>sample_vcf_automation_nodee_ip</vt:lpstr>
      <vt:lpstr>sample_vcf_automation_nodeef_ip</vt:lpstr>
      <vt:lpstr>sample_vcf_automation_ou_cert</vt:lpstr>
      <vt:lpstr>sample_vcf_automation_portgroup</vt:lpstr>
      <vt:lpstr>sample_vcf_automation_resource_pool</vt:lpstr>
      <vt:lpstr>sample_vcf_automation_root_password</vt:lpstr>
      <vt:lpstr>sample_vcf_automation_root_password_alias</vt:lpstr>
      <vt:lpstr>sample_vcf_automation_root_password_description</vt:lpstr>
      <vt:lpstr>sample_vcf_automation_root_username</vt:lpstr>
      <vt:lpstr>sample_vcf_automation_runtime_cidr</vt:lpstr>
      <vt:lpstr>sample_vcf_automation_sr_fqdn</vt:lpstr>
      <vt:lpstr>sample_vcf_automation_sr_ip</vt:lpstr>
      <vt:lpstr>sample_vcf_automation_version</vt:lpstr>
      <vt:lpstr>sample_vcf_automation_vip_fqdn</vt:lpstr>
      <vt:lpstr>sample_vcf_automation_vip_ip</vt:lpstr>
      <vt:lpstr>sample_vcf_installer_fqdn</vt:lpstr>
      <vt:lpstr>sample_vcf_installer_ip</vt:lpstr>
      <vt:lpstr>sample_vcf_instance_name</vt:lpstr>
      <vt:lpstr>sample_vcfms_system_password</vt:lpstr>
      <vt:lpstr>sample_vrslcm_xreg_vm_folder</vt:lpstr>
      <vt:lpstr>sample_vvs_dr_dns1_ip</vt:lpstr>
      <vt:lpstr>sample_vvs_dr_dns2_ip</vt:lpstr>
      <vt:lpstr>sample_vvs_dr_flt_auto_fqdn</vt:lpstr>
      <vt:lpstr>sample_vvs_dr_flt_fleet_manager_fqdn</vt:lpstr>
      <vt:lpstr>sample_vvs_dr_flt_fleet_manager_hostname</vt:lpstr>
      <vt:lpstr>sample_vvs_dr_flt_logs_nodea_fqdn</vt:lpstr>
      <vt:lpstr>sample_vvs_dr_flt_logs_nodeb_fqdn</vt:lpstr>
      <vt:lpstr>sample_vvs_dr_flt_logs_nodec_fqdn</vt:lpstr>
      <vt:lpstr>sample_vvs_dr_flt_net_nodea_fqdn</vt:lpstr>
      <vt:lpstr>sample_vvs_dr_flt_net_nodeb_fqdn</vt:lpstr>
      <vt:lpstr>sample_vvs_dr_flt_net_nodec_fqdn</vt:lpstr>
      <vt:lpstr>sample_vvs_dr_flt_ops_nodea_fqdn</vt:lpstr>
      <vt:lpstr>sample_vvs_dr_flt_ops_nodea_hostname</vt:lpstr>
      <vt:lpstr>sample_vvs_dr_flt_ops_nodeb_fqdn</vt:lpstr>
      <vt:lpstr>sample_vvs_dr_flt_ops_nodeb_hostname</vt:lpstr>
      <vt:lpstr>sample_vvs_dr_flt_ops_nodec_fqdn</vt:lpstr>
      <vt:lpstr>sample_vvs_dr_flt_ops_nodec_hostname</vt:lpstr>
      <vt:lpstr>sample_vvs_dr_mgmt_az1_mgmt_vm_pg</vt:lpstr>
      <vt:lpstr>sample_vvs_dr_mgmt_cl01_cluster</vt:lpstr>
      <vt:lpstr>sample_vvs_dr_mgmt_cl01_datastore</vt:lpstr>
      <vt:lpstr>sample_vvs_dr_mgmt_vc_fqdn</vt:lpstr>
      <vt:lpstr>sample_vvs_dr_ntp1_server</vt:lpstr>
      <vt:lpstr>sample_vvs_dr_parent_dns_zone</vt:lpstr>
      <vt:lpstr>sample_vvs_dr_sso_domain</vt:lpstr>
      <vt:lpstr>sample_vvs_dr_vr_password</vt:lpstr>
      <vt:lpstr>sample_vvs_dr_vr_username</vt:lpstr>
      <vt:lpstr>sample_vvs_mgmt_dr_vlr_fqdn</vt:lpstr>
      <vt:lpstr>sample_vvs_mgmt_dr_vlr_hostname</vt:lpstr>
      <vt:lpstr>sample_witness_dns_zone</vt:lpstr>
      <vt:lpstr>sample_wld_administrator_vsphere_local_password</vt:lpstr>
      <vt:lpstr>sample_wld_avilb_cluster_name</vt:lpstr>
      <vt:lpstr>sample_wld_avilb_cluster_version</vt:lpstr>
      <vt:lpstr>sample_wld_avilb_fqdn</vt:lpstr>
      <vt:lpstr>sample_wld_avilb_ip</vt:lpstr>
      <vt:lpstr>sample_wld_avilb_mgra_ip</vt:lpstr>
      <vt:lpstr>sample_wld_avilb_mgrb_ip</vt:lpstr>
      <vt:lpstr>sample_wld_avilb_mgrc_ip</vt:lpstr>
      <vt:lpstr>sample_wld_az1_dtgw_gateway_cidr</vt:lpstr>
      <vt:lpstr>sample_wld_az1_dtgw_vlan</vt:lpstr>
      <vt:lpstr>sample_wld_az1_edge_overlay_cidr</vt:lpstr>
      <vt:lpstr>sample_wld_az1_edge_overlay_gateway_ip</vt:lpstr>
      <vt:lpstr>sample_wld_az1_edge_overlay_mask</vt:lpstr>
      <vt:lpstr>sample_wld_az1_edge_overlay_network_pool_name</vt:lpstr>
      <vt:lpstr>sample_wld_az1_edge_overlay_pool_end_ip</vt:lpstr>
      <vt:lpstr>sample_wld_az1_edge_overlay_pool_start_ip</vt:lpstr>
      <vt:lpstr>sample_wld_az1_edge_overlay_vlan</vt:lpstr>
      <vt:lpstr>sample_wld_az1_en1_edge_overlay_interface_ip_1_ip</vt:lpstr>
      <vt:lpstr>sample_wld_az1_en1_edge_overlay_interface_ip_2_ip</vt:lpstr>
      <vt:lpstr>sample_wld_az1_en1_eth0_uplink0</vt:lpstr>
      <vt:lpstr>sample_wld_az1_en1_eth0_uplink1</vt:lpstr>
      <vt:lpstr>sample_wld_az1_en1_eth1_uplink0</vt:lpstr>
      <vt:lpstr>sample_wld_az1_en1_eth1_uplink1</vt:lpstr>
      <vt:lpstr>sample_wld_az1_en1_fqdn</vt:lpstr>
      <vt:lpstr>sample_wld_az1_en1_hostname</vt:lpstr>
      <vt:lpstr>sample_wld_az1_en1_mgmt_cidr</vt:lpstr>
      <vt:lpstr>sample_wld_az1_en1_uplink01_interface_cidr</vt:lpstr>
      <vt:lpstr>sample_wld_az1_en1_uplink02_interface_cidr</vt:lpstr>
      <vt:lpstr>sample_wld_az1_en2_edge_overlay_interface_ip_1_ip</vt:lpstr>
      <vt:lpstr>sample_wld_az1_en2_edge_overlay_interface_ip_2_ip</vt:lpstr>
      <vt:lpstr>sample_wld_az1_en2_eth0_uplink0</vt:lpstr>
      <vt:lpstr>sample_wld_az1_en2_eth0_uplink1</vt:lpstr>
      <vt:lpstr>sample_wld_az1_en2_eth1_uplink0</vt:lpstr>
      <vt:lpstr>sample_wld_az1_en2_eth1_uplink1</vt:lpstr>
      <vt:lpstr>sample_wld_az1_en2_fqdn</vt:lpstr>
      <vt:lpstr>sample_wld_az1_en2_hostname</vt:lpstr>
      <vt:lpstr>sample_wld_az1_en2_mgmt_cidr</vt:lpstr>
      <vt:lpstr>sample_wld_az1_en2_uplink01_interface_cidr</vt:lpstr>
      <vt:lpstr>sample_wld_az1_en2_uplink02_interface_cidr</vt:lpstr>
      <vt:lpstr>sample_wld_az1_host_fqdns</vt:lpstr>
      <vt:lpstr>sample_wld_az1_host_mgmt_ips</vt:lpstr>
      <vt:lpstr>sample_wld_az1_host_overlay_cidr</vt:lpstr>
      <vt:lpstr>sample_wld_az1_host_overlay_gateway_ip</vt:lpstr>
      <vt:lpstr>sample_wld_az1_host_overlay_mtu</vt:lpstr>
      <vt:lpstr>sample_wld_az1_host_overlay_network_pool_description</vt:lpstr>
      <vt:lpstr>sample_wld_az1_host_overlay_network_pool_name</vt:lpstr>
      <vt:lpstr>sample_wld_az1_host_overlay_pool_end_ip</vt:lpstr>
      <vt:lpstr>sample_wld_az1_host_overlay_pool_start_ip</vt:lpstr>
      <vt:lpstr>sample_wld_az1_host_overlay_uplink_profile_name</vt:lpstr>
      <vt:lpstr>sample_wld_az1_host_overlay_vlan</vt:lpstr>
      <vt:lpstr>sample_wld_az1_host1_fqdn</vt:lpstr>
      <vt:lpstr>sample_wld_az1_host1_mgmt_ip</vt:lpstr>
      <vt:lpstr>sample_wld_az1_host1_vrms_ip</vt:lpstr>
      <vt:lpstr>sample_wld_az1_host10_fqdn</vt:lpstr>
      <vt:lpstr>sample_wld_az1_host10_mgmt_ip</vt:lpstr>
      <vt:lpstr>sample_wld_az1_host10_vrms_ip</vt:lpstr>
      <vt:lpstr>sample_wld_az1_host11_fqdn</vt:lpstr>
      <vt:lpstr>sample_wld_az1_host11_mgmt_ip</vt:lpstr>
      <vt:lpstr>sample_wld_az1_host11_vrms_ip</vt:lpstr>
      <vt:lpstr>sample_wld_az1_host12_fqdn</vt:lpstr>
      <vt:lpstr>sample_wld_az1_host12_mgmt_ip</vt:lpstr>
      <vt:lpstr>sample_wld_az1_host12_vrms_ip</vt:lpstr>
      <vt:lpstr>sample_wld_az1_host13_fqdn</vt:lpstr>
      <vt:lpstr>sample_wld_az1_host13_mgmt_ip</vt:lpstr>
      <vt:lpstr>sample_wld_az1_host13_vrms_ip</vt:lpstr>
      <vt:lpstr>sample_wld_az1_host14_fqdn</vt:lpstr>
      <vt:lpstr>sample_wld_az1_host14_mgmt_ip</vt:lpstr>
      <vt:lpstr>sample_wld_az1_host14_vrms_ip</vt:lpstr>
      <vt:lpstr>sample_wld_az1_host15_fqdn</vt:lpstr>
      <vt:lpstr>sample_wld_az1_host15_mgmt_ip</vt:lpstr>
      <vt:lpstr>sample_wld_az1_host15_vrms_ip</vt:lpstr>
      <vt:lpstr>sample_wld_az1_host16_fqdn</vt:lpstr>
      <vt:lpstr>sample_wld_az1_host16_mgmt_ip</vt:lpstr>
      <vt:lpstr>sample_wld_az1_host16_vrms_ip</vt:lpstr>
      <vt:lpstr>sample_wld_az1_host2_fqdn</vt:lpstr>
      <vt:lpstr>sample_wld_az1_host2_mgmt_ip</vt:lpstr>
      <vt:lpstr>sample_wld_az1_host2_vrms_ip</vt:lpstr>
      <vt:lpstr>sample_wld_az1_host3_fqdn</vt:lpstr>
      <vt:lpstr>sample_wld_az1_host3_mgmt_ip</vt:lpstr>
      <vt:lpstr>sample_wld_az1_host3_vrms_ip</vt:lpstr>
      <vt:lpstr>sample_wld_az1_host4_fqdn</vt:lpstr>
      <vt:lpstr>sample_wld_az1_host4_mgmt_ip</vt:lpstr>
      <vt:lpstr>sample_wld_az1_host4_vrms_ip</vt:lpstr>
      <vt:lpstr>sample_wld_az1_host5_fqdn</vt:lpstr>
      <vt:lpstr>sample_wld_az1_host5_mgmt_ip</vt:lpstr>
      <vt:lpstr>sample_wld_az1_host5_vrms_ip</vt:lpstr>
      <vt:lpstr>sample_wld_az1_host6_fqdn</vt:lpstr>
      <vt:lpstr>sample_wld_az1_host6_mgmt_ip</vt:lpstr>
      <vt:lpstr>sample_wld_az1_host6_vrms_ip</vt:lpstr>
      <vt:lpstr>sample_wld_az1_host7_fqdn</vt:lpstr>
      <vt:lpstr>sample_wld_az1_host7_mgmt_ip</vt:lpstr>
      <vt:lpstr>sample_wld_az1_host7_vrms_ip</vt:lpstr>
      <vt:lpstr>sample_wld_az1_host8_fqdn</vt:lpstr>
      <vt:lpstr>sample_wld_az1_host8_mgmt_ip</vt:lpstr>
      <vt:lpstr>sample_wld_az1_host8_vrms_ip</vt:lpstr>
      <vt:lpstr>sample_wld_az1_host9_fqdn</vt:lpstr>
      <vt:lpstr>sample_wld_az1_host9_mgmt_ip</vt:lpstr>
      <vt:lpstr>sample_wld_az1_host9_vrms_ip</vt:lpstr>
      <vt:lpstr>sample_wld_az1_mgmt_gateway_cidr</vt:lpstr>
      <vt:lpstr>sample_wld_az1_mgmt_mtu</vt:lpstr>
      <vt:lpstr>sample_wld_az1_mgmt_vlan</vt:lpstr>
      <vt:lpstr>sample_wld_az1_mgmt_vm_gateway_cidr</vt:lpstr>
      <vt:lpstr>sample_wld_az1_mgmt_vm_mtu</vt:lpstr>
      <vt:lpstr>sample_wld_az1_mgmt_vm_vlan</vt:lpstr>
      <vt:lpstr>sample_wld_az1_pool_name</vt:lpstr>
      <vt:lpstr>sample_wld_az1_principal_storage_gateway_cidr</vt:lpstr>
      <vt:lpstr>sample_wld_az1_principal_storage_mtu</vt:lpstr>
      <vt:lpstr>sample_wld_az1_principal_storage_pool_end_ip</vt:lpstr>
      <vt:lpstr>sample_wld_az1_principal_storage_pool_start_ip</vt:lpstr>
      <vt:lpstr>sample_wld_az1_principal_storage_vlan</vt:lpstr>
      <vt:lpstr>sample_wld_az1_rack1_host_overlay_network_profile_name</vt:lpstr>
      <vt:lpstr>sample_wld_az1_rack2_edge_overlay_gateway_ip</vt:lpstr>
      <vt:lpstr>sample_wld_az1_rack2_edge_overlay_mask</vt:lpstr>
      <vt:lpstr>sample_wld_az1_rack2_edge_overlay_mtu</vt:lpstr>
      <vt:lpstr>sample_wld_az1_rack2_edge_overlay_network</vt:lpstr>
      <vt:lpstr>sample_wld_az1_rack2_edge_overlay_network_pool_name</vt:lpstr>
      <vt:lpstr>sample_wld_az1_rack2_edge_overlay_pool_end_ip</vt:lpstr>
      <vt:lpstr>sample_wld_az1_rack2_edge_overlay_pool_start_ip</vt:lpstr>
      <vt:lpstr>sample_wld_az1_rack2_edge_overlay_vlan</vt:lpstr>
      <vt:lpstr>sample_wld_az1_rack2_host_hostnames</vt:lpstr>
      <vt:lpstr>sample_wld_az1_rack2_host_mgmt_ips</vt:lpstr>
      <vt:lpstr>sample_wld_az1_rack2_host_overlay_cidr</vt:lpstr>
      <vt:lpstr>sample_wld_az1_rack2_host_overlay_gateway_ip</vt:lpstr>
      <vt:lpstr>sample_wld_az1_rack2_host_overlay_mask</vt:lpstr>
      <vt:lpstr>sample_wld_az1_rack2_host_overlay_mtu</vt:lpstr>
      <vt:lpstr>sample_wld_az1_rack2_host_overlay_network</vt:lpstr>
      <vt:lpstr>sample_wld_az1_rack2_host_overlay_network_pool_name</vt:lpstr>
      <vt:lpstr>sample_wld_az1_rack2_host_overlay_network_profile_name</vt:lpstr>
      <vt:lpstr>sample_wld_az1_rack2_host_overlay_pool_end_ip</vt:lpstr>
      <vt:lpstr>sample_wld_az1_rack2_host_overlay_pool_start_ip</vt:lpstr>
      <vt:lpstr>sample_wld_az1_rack2_host_overlay_uplink_profile_name</vt:lpstr>
      <vt:lpstr>sample_wld_az1_rack2_host_overlay_vlan</vt:lpstr>
      <vt:lpstr>sample_wld_az1_rack2_host1_fqdn</vt:lpstr>
      <vt:lpstr>sample_wld_az1_rack2_host1_mgmt_ip</vt:lpstr>
      <vt:lpstr>sample_wld_az1_rack2_host10_fqdn</vt:lpstr>
      <vt:lpstr>sample_wld_az1_rack2_host10_mgmt_ip</vt:lpstr>
      <vt:lpstr>sample_wld_az1_rack2_host11_fqdn</vt:lpstr>
      <vt:lpstr>sample_wld_az1_rack2_host11_mgmt_ip</vt:lpstr>
      <vt:lpstr>sample_wld_az1_rack2_host12_fqdn</vt:lpstr>
      <vt:lpstr>sample_wld_az1_rack2_host12_mgmt_ip</vt:lpstr>
      <vt:lpstr>sample_wld_az1_rack2_host13_fqdn</vt:lpstr>
      <vt:lpstr>sample_wld_az1_rack2_host13_mgmt_ip</vt:lpstr>
      <vt:lpstr>sample_wld_az1_rack2_host14_fqdn</vt:lpstr>
      <vt:lpstr>sample_wld_az1_rack2_host14_mgmt_ip</vt:lpstr>
      <vt:lpstr>sample_wld_az1_rack2_host15_fqdn</vt:lpstr>
      <vt:lpstr>sample_wld_az1_rack2_host15_mgmt_ip</vt:lpstr>
      <vt:lpstr>sample_wld_az1_rack2_host16_fqdn</vt:lpstr>
      <vt:lpstr>sample_wld_az1_rack2_host16_mgmt_ip</vt:lpstr>
      <vt:lpstr>sample_wld_az1_rack2_host2_fqdn</vt:lpstr>
      <vt:lpstr>sample_wld_az1_rack2_host2_mgmt_ip</vt:lpstr>
      <vt:lpstr>sample_wld_az1_rack2_host3_fqdn</vt:lpstr>
      <vt:lpstr>sample_wld_az1_rack2_host3_mgmt_ip</vt:lpstr>
      <vt:lpstr>sample_wld_az1_rack2_host4_fqdn</vt:lpstr>
      <vt:lpstr>sample_wld_az1_rack2_host4_mgmt_ip</vt:lpstr>
      <vt:lpstr>sample_wld_az1_rack2_host5_fqdn</vt:lpstr>
      <vt:lpstr>sample_wld_az1_rack2_host5_mgmt_ip</vt:lpstr>
      <vt:lpstr>sample_wld_az1_rack2_host6_fqdn</vt:lpstr>
      <vt:lpstr>sample_wld_az1_rack2_host6_mgmt_ip</vt:lpstr>
      <vt:lpstr>sample_wld_az1_rack2_host7_fqdn</vt:lpstr>
      <vt:lpstr>sample_wld_az1_rack2_host7_mgmt_ip</vt:lpstr>
      <vt:lpstr>sample_wld_az1_rack2_host8_fqdn</vt:lpstr>
      <vt:lpstr>sample_wld_az1_rack2_host8_mgmt_ip</vt:lpstr>
      <vt:lpstr>sample_wld_az1_rack2_host9_fqdn</vt:lpstr>
      <vt:lpstr>sample_wld_az1_rack2_host9_mgmt_ip</vt:lpstr>
      <vt:lpstr>sample_wld_az1_rack2_mgmt_cidr</vt:lpstr>
      <vt:lpstr>sample_wld_az1_rack2_mgmt_gateway_ip</vt:lpstr>
      <vt:lpstr>sample_wld_az1_rack2_mgmt_mtu</vt:lpstr>
      <vt:lpstr>sample_wld_az1_rack2_mgmt_vlan</vt:lpstr>
      <vt:lpstr>sample_wld_az1_rack2_mgmt_vm_cidr</vt:lpstr>
      <vt:lpstr>sample_wld_az1_rack2_mgmt_vm_gateway_ip</vt:lpstr>
      <vt:lpstr>sample_wld_az1_rack2_mgmt_vm_mtu</vt:lpstr>
      <vt:lpstr>sample_wld_az1_rack2_mgmt_vm_vlan</vt:lpstr>
      <vt:lpstr>sample_wld_az1_rack2_pool_name</vt:lpstr>
      <vt:lpstr>sample_wld_az1_rack2_principal_storage_cidr</vt:lpstr>
      <vt:lpstr>sample_wld_az1_rack2_principal_storage_gateway_ip</vt:lpstr>
      <vt:lpstr>sample_wld_az1_rack2_principal_storage_mask</vt:lpstr>
      <vt:lpstr>sample_wld_az1_rack2_principal_storage_mtu</vt:lpstr>
      <vt:lpstr>sample_wld_az1_rack2_principal_storage_network</vt:lpstr>
      <vt:lpstr>sample_wld_az1_rack2_principal_storage_pool_end_ip</vt:lpstr>
      <vt:lpstr>sample_wld_az1_rack2_principal_storage_pool_start_ip</vt:lpstr>
      <vt:lpstr>sample_wld_az1_rack2_principal_storage_vlan</vt:lpstr>
      <vt:lpstr>sample_wld_az1_rack2_rtep_ip_pool_name</vt:lpstr>
      <vt:lpstr>sample_wld_az1_rack2_secondary_storage_cidr</vt:lpstr>
      <vt:lpstr>sample_wld_az1_rack2_secondary_storage_gateway_ip</vt:lpstr>
      <vt:lpstr>sample_wld_az1_rack2_secondary_storage_mask</vt:lpstr>
      <vt:lpstr>sample_wld_az1_rack2_secondary_storage_mtu</vt:lpstr>
      <vt:lpstr>sample_wld_az1_rack2_secondary_storage_network</vt:lpstr>
      <vt:lpstr>sample_wld_az1_rack2_secondary_storage_pool_end_ip</vt:lpstr>
      <vt:lpstr>sample_wld_az1_rack2_secondary_storage_pool_start_ip</vt:lpstr>
      <vt:lpstr>sample_wld_az1_rack2_secondary_storage_vlan</vt:lpstr>
      <vt:lpstr>sample_wld_az1_rack2_tor1_peer_asn</vt:lpstr>
      <vt:lpstr>sample_wld_az1_rack2_tor1_peer_bgp_password</vt:lpstr>
      <vt:lpstr>sample_wld_az1_rack2_tor1_peer_ip</vt:lpstr>
      <vt:lpstr>sample_wld_az1_rack2_tor2_peer_asn</vt:lpstr>
      <vt:lpstr>sample_wld_az1_rack2_tor2_peer_bgp_password</vt:lpstr>
      <vt:lpstr>sample_wld_az1_rack2_tor2_peer_ip</vt:lpstr>
      <vt:lpstr>sample_wld_az1_rack2_uplink01_gateway_ip</vt:lpstr>
      <vt:lpstr>sample_wld_az1_rack2_uplink01_mask</vt:lpstr>
      <vt:lpstr>sample_wld_az1_rack2_uplink01_mtu</vt:lpstr>
      <vt:lpstr>sample_wld_az1_rack2_uplink01_network</vt:lpstr>
      <vt:lpstr>sample_wld_az1_rack2_uplink01_vlan</vt:lpstr>
      <vt:lpstr>sample_wld_az1_rack2_uplink02_gateway_ip</vt:lpstr>
      <vt:lpstr>sample_wld_az1_rack2_uplink02_mask</vt:lpstr>
      <vt:lpstr>sample_wld_az1_rack2_uplink02_mtu</vt:lpstr>
      <vt:lpstr>sample_wld_az1_rack2_uplink02_network</vt:lpstr>
      <vt:lpstr>sample_wld_az1_rack2_uplink02_vlan</vt:lpstr>
      <vt:lpstr>sample_wld_az1_rack2_vmotion_cidr</vt:lpstr>
      <vt:lpstr>sample_wld_az1_rack2_vmotion_gateway_ip</vt:lpstr>
      <vt:lpstr>sample_wld_az1_rack2_vmotion_mask</vt:lpstr>
      <vt:lpstr>sample_wld_az1_rack2_vmotion_mtu</vt:lpstr>
      <vt:lpstr>sample_wld_az1_rack2_vmotion_network</vt:lpstr>
      <vt:lpstr>sample_wld_az1_rack2_vmotion_pool_end_ip</vt:lpstr>
      <vt:lpstr>sample_wld_az1_rack2_vmotion_pool_start_ip</vt:lpstr>
      <vt:lpstr>sample_wld_az1_rack2_vmotion_vlan</vt:lpstr>
      <vt:lpstr>sample_wld_az1_rack2_vsan_fault_domain</vt:lpstr>
      <vt:lpstr>sample_wld_az1_rack3_edge_overlay_gateway_ip</vt:lpstr>
      <vt:lpstr>sample_wld_az1_rack3_edge_overlay_mask</vt:lpstr>
      <vt:lpstr>sample_wld_az1_rack3_edge_overlay_mtu</vt:lpstr>
      <vt:lpstr>sample_wld_az1_rack3_edge_overlay_network</vt:lpstr>
      <vt:lpstr>sample_wld_az1_rack3_edge_overlay_network_pool_name</vt:lpstr>
      <vt:lpstr>sample_wld_az1_rack3_edge_overlay_pool_end_ip</vt:lpstr>
      <vt:lpstr>sample_wld_az1_rack3_edge_overlay_pool_start_ip</vt:lpstr>
      <vt:lpstr>sample_wld_az1_rack3_edge_overlay_vlan</vt:lpstr>
      <vt:lpstr>sample_wld_az1_rack3_host_hostnames</vt:lpstr>
      <vt:lpstr>sample_wld_az1_rack3_host_mgmt_ips</vt:lpstr>
      <vt:lpstr>sample_wld_az1_rack3_host_overlay_cidr</vt:lpstr>
      <vt:lpstr>sample_wld_az1_rack3_host_overlay_gateway_ip</vt:lpstr>
      <vt:lpstr>sample_wld_az1_rack3_host_overlay_mask</vt:lpstr>
      <vt:lpstr>sample_wld_az1_rack3_host_overlay_mtu</vt:lpstr>
      <vt:lpstr>sample_wld_az1_rack3_host_overlay_network</vt:lpstr>
      <vt:lpstr>sample_wld_az1_rack3_host_overlay_network_pool_name</vt:lpstr>
      <vt:lpstr>sample_wld_az1_rack3_host_overlay_network_profile_name</vt:lpstr>
      <vt:lpstr>sample_wld_az1_rack3_host_overlay_pool_end_ip</vt:lpstr>
      <vt:lpstr>sample_wld_az1_rack3_host_overlay_pool_start_ip</vt:lpstr>
      <vt:lpstr>sample_wld_az1_rack3_host_overlay_uplink_profile_name</vt:lpstr>
      <vt:lpstr>sample_wld_az1_rack3_host_overlay_vlan</vt:lpstr>
      <vt:lpstr>sample_wld_az1_rack3_host1_fqdn</vt:lpstr>
      <vt:lpstr>sample_wld_az1_rack3_host1_mgmt_ip</vt:lpstr>
      <vt:lpstr>sample_wld_az1_rack3_host10_fqdn</vt:lpstr>
      <vt:lpstr>sample_wld_az1_rack3_host10_mgmt_ip</vt:lpstr>
      <vt:lpstr>sample_wld_az1_rack3_host11_fqdn</vt:lpstr>
      <vt:lpstr>sample_wld_az1_rack3_host11_mgmt_ip</vt:lpstr>
      <vt:lpstr>sample_wld_az1_rack3_host12_fqdn</vt:lpstr>
      <vt:lpstr>sample_wld_az1_rack3_host12_mgmt_ip</vt:lpstr>
      <vt:lpstr>sample_wld_az1_rack3_host13_fqdn</vt:lpstr>
      <vt:lpstr>sample_wld_az1_rack3_host13_mgmt_ip</vt:lpstr>
      <vt:lpstr>sample_wld_az1_rack3_host14_fqdn</vt:lpstr>
      <vt:lpstr>sample_wld_az1_rack3_host14_mgmt_ip</vt:lpstr>
      <vt:lpstr>sample_wld_az1_rack3_host15_fqdn</vt:lpstr>
      <vt:lpstr>sample_wld_az1_rack3_host15_mgmt_ip</vt:lpstr>
      <vt:lpstr>sample_wld_az1_rack3_host16_fqdn</vt:lpstr>
      <vt:lpstr>sample_wld_az1_rack3_host16_mgmt_ip</vt:lpstr>
      <vt:lpstr>sample_wld_az1_rack3_host2_fqdn</vt:lpstr>
      <vt:lpstr>sample_wld_az1_rack3_host2_mgmt_ip</vt:lpstr>
      <vt:lpstr>sample_wld_az1_rack3_host3_fqdn</vt:lpstr>
      <vt:lpstr>sample_wld_az1_rack3_host3_mgmt_ip</vt:lpstr>
      <vt:lpstr>sample_wld_az1_rack3_host4_fqdn</vt:lpstr>
      <vt:lpstr>sample_wld_az1_rack3_host4_mgmt_ip</vt:lpstr>
      <vt:lpstr>sample_wld_az1_rack3_host5_fqdn</vt:lpstr>
      <vt:lpstr>sample_wld_az1_rack3_host5_mgmt_ip</vt:lpstr>
      <vt:lpstr>sample_wld_az1_rack3_host6_fqdn</vt:lpstr>
      <vt:lpstr>sample_wld_az1_rack3_host6_mgmt_ip</vt:lpstr>
      <vt:lpstr>sample_wld_az1_rack3_host7_fqdn</vt:lpstr>
      <vt:lpstr>sample_wld_az1_rack3_host7_mgmt_ip</vt:lpstr>
      <vt:lpstr>sample_wld_az1_rack3_host8_fqdn</vt:lpstr>
      <vt:lpstr>sample_wld_az1_rack3_host8_mgmt_ip</vt:lpstr>
      <vt:lpstr>sample_wld_az1_rack3_host9_fqdn</vt:lpstr>
      <vt:lpstr>sample_wld_az1_rack3_host9_mgmt_ip</vt:lpstr>
      <vt:lpstr>sample_wld_az1_rack3_mgmt_cidr</vt:lpstr>
      <vt:lpstr>sample_wld_az1_rack3_mgmt_gateway_ip</vt:lpstr>
      <vt:lpstr>sample_wld_az1_rack3_mgmt_mtu</vt:lpstr>
      <vt:lpstr>sample_wld_az1_rack3_mgmt_vlan</vt:lpstr>
      <vt:lpstr>sample_wld_az1_rack3_mgmt_vm_cidr</vt:lpstr>
      <vt:lpstr>sample_wld_az1_rack3_mgmt_vm_gateway_ip</vt:lpstr>
      <vt:lpstr>sample_wld_az1_rack3_mgmt_vm_mtu</vt:lpstr>
      <vt:lpstr>sample_wld_az1_rack3_mgmt_vm_vlan</vt:lpstr>
      <vt:lpstr>sample_wld_az1_rack3_pool_name</vt:lpstr>
      <vt:lpstr>sample_wld_az1_rack3_principal_storage_cidr</vt:lpstr>
      <vt:lpstr>sample_wld_az1_rack3_principal_storage_gateway_ip</vt:lpstr>
      <vt:lpstr>sample_wld_az1_rack3_principal_storage_mask</vt:lpstr>
      <vt:lpstr>sample_wld_az1_rack3_principal_storage_mtu</vt:lpstr>
      <vt:lpstr>sample_wld_az1_rack3_principal_storage_network</vt:lpstr>
      <vt:lpstr>sample_wld_az1_rack3_principal_storage_pool_end_ip</vt:lpstr>
      <vt:lpstr>sample_wld_az1_rack3_principal_storage_pool_start_ip</vt:lpstr>
      <vt:lpstr>sample_wld_az1_rack3_principal_storage_vlan</vt:lpstr>
      <vt:lpstr>sample_wld_az1_rack3_rtep_ip_pool_name</vt:lpstr>
      <vt:lpstr>sample_wld_az1_rack3_secondary_storage_cidr</vt:lpstr>
      <vt:lpstr>sample_wld_az1_rack3_secondary_storage_gateway_ip</vt:lpstr>
      <vt:lpstr>sample_wld_az1_rack3_secondary_storage_mask</vt:lpstr>
      <vt:lpstr>sample_wld_az1_rack3_secondary_storage_mtu</vt:lpstr>
      <vt:lpstr>sample_wld_az1_rack3_secondary_storage_network</vt:lpstr>
      <vt:lpstr>sample_wld_az1_rack3_secondary_storage_pool_end_ip</vt:lpstr>
      <vt:lpstr>sample_wld_az1_rack3_secondary_storage_pool_start_ip</vt:lpstr>
      <vt:lpstr>sample_wld_az1_rack3_secondary_storage_vlan</vt:lpstr>
      <vt:lpstr>sample_wld_az1_rack3_tor1_peer_asn</vt:lpstr>
      <vt:lpstr>sample_wld_az1_rack3_tor1_peer_bgp_password</vt:lpstr>
      <vt:lpstr>sample_wld_az1_rack3_tor1_peer_ip</vt:lpstr>
      <vt:lpstr>sample_wld_az1_rack3_tor2_peer_asn</vt:lpstr>
      <vt:lpstr>sample_wld_az1_rack3_tor2_peer_bgp_password</vt:lpstr>
      <vt:lpstr>sample_wld_az1_rack3_tor2_peer_ip</vt:lpstr>
      <vt:lpstr>sample_wld_az1_rack3_uplink01_gateway_ip</vt:lpstr>
      <vt:lpstr>sample_wld_az1_rack3_uplink01_mask</vt:lpstr>
      <vt:lpstr>sample_wld_az1_rack3_uplink01_mtu</vt:lpstr>
      <vt:lpstr>sample_wld_az1_rack3_uplink01_network</vt:lpstr>
      <vt:lpstr>sample_wld_az1_rack3_uplink01_vlan</vt:lpstr>
      <vt:lpstr>sample_wld_az1_rack3_uplink02_gateway_ip</vt:lpstr>
      <vt:lpstr>sample_wld_az1_rack3_uplink02_mask</vt:lpstr>
      <vt:lpstr>sample_wld_az1_rack3_uplink02_mtu</vt:lpstr>
      <vt:lpstr>sample_wld_az1_rack3_uplink02_network</vt:lpstr>
      <vt:lpstr>sample_wld_az1_rack3_uplink02_vlan</vt:lpstr>
      <vt:lpstr>sample_wld_az1_rack3_vmotion_cidr</vt:lpstr>
      <vt:lpstr>sample_wld_az1_rack3_vmotion_gateway_ip</vt:lpstr>
      <vt:lpstr>sample_wld_az1_rack3_vmotion_mask</vt:lpstr>
      <vt:lpstr>sample_wld_az1_rack3_vmotion_mtu</vt:lpstr>
      <vt:lpstr>sample_wld_az1_rack3_vmotion_network</vt:lpstr>
      <vt:lpstr>sample_wld_az1_rack3_vmotion_pool_end_ip</vt:lpstr>
      <vt:lpstr>sample_wld_az1_rack3_vmotion_pool_start_ip</vt:lpstr>
      <vt:lpstr>sample_wld_az1_rack3_vmotion_vlan</vt:lpstr>
      <vt:lpstr>sample_wld_az1_rack3_vsan_fault_domain</vt:lpstr>
      <vt:lpstr>sample_wld_az1_rack4_edge_overlay_gateway_ip</vt:lpstr>
      <vt:lpstr>sample_wld_az1_rack4_edge_overlay_mask</vt:lpstr>
      <vt:lpstr>sample_wld_az1_rack4_edge_overlay_mtu</vt:lpstr>
      <vt:lpstr>sample_wld_az1_rack4_edge_overlay_network</vt:lpstr>
      <vt:lpstr>sample_wld_az1_rack4_edge_overlay_network_pool_name</vt:lpstr>
      <vt:lpstr>sample_wld_az1_rack4_edge_overlay_pool_end_ip</vt:lpstr>
      <vt:lpstr>sample_wld_az1_rack4_edge_overlay_pool_start_ip</vt:lpstr>
      <vt:lpstr>sample_wld_az1_rack4_edge_overlay_vlan</vt:lpstr>
      <vt:lpstr>sample_wld_az1_rack4_host_hostnames</vt:lpstr>
      <vt:lpstr>sample_wld_az1_rack4_host_mgmt_ips</vt:lpstr>
      <vt:lpstr>sample_wld_az1_rack4_host_overlay_cidr</vt:lpstr>
      <vt:lpstr>sample_wld_az1_rack4_host_overlay_gateway_ip</vt:lpstr>
      <vt:lpstr>sample_wld_az1_rack4_host_overlay_mask</vt:lpstr>
      <vt:lpstr>sample_wld_az1_rack4_host_overlay_mtu</vt:lpstr>
      <vt:lpstr>sample_wld_az1_rack4_host_overlay_network</vt:lpstr>
      <vt:lpstr>sample_wld_az1_rack4_host_overlay_network_pool_name</vt:lpstr>
      <vt:lpstr>sample_wld_az1_rack4_host_overlay_network_profile_name</vt:lpstr>
      <vt:lpstr>sample_wld_az1_rack4_host_overlay_pool_end_ip</vt:lpstr>
      <vt:lpstr>sample_wld_az1_rack4_host_overlay_pool_start_ip</vt:lpstr>
      <vt:lpstr>sample_wld_az1_rack4_host_overlay_uplink_profile_name</vt:lpstr>
      <vt:lpstr>sample_wld_az1_rack4_host_overlay_vlan</vt:lpstr>
      <vt:lpstr>sample_wld_az1_rack4_host1_fqdn</vt:lpstr>
      <vt:lpstr>sample_wld_az1_rack4_host1_mgmt_ip</vt:lpstr>
      <vt:lpstr>sample_wld_az1_rack4_host10_fqdn</vt:lpstr>
      <vt:lpstr>sample_wld_az1_rack4_host10_mgmt_ip</vt:lpstr>
      <vt:lpstr>sample_wld_az1_rack4_host11_fqdn</vt:lpstr>
      <vt:lpstr>sample_wld_az1_rack4_host11_mgmt_ip</vt:lpstr>
      <vt:lpstr>sample_wld_az1_rack4_host12_fqdn</vt:lpstr>
      <vt:lpstr>sample_wld_az1_rack4_host12_mgmt_ip</vt:lpstr>
      <vt:lpstr>sample_wld_az1_rack4_host13_fqdn</vt:lpstr>
      <vt:lpstr>sample_wld_az1_rack4_host13_mgmt_ip</vt:lpstr>
      <vt:lpstr>sample_wld_az1_rack4_host14_fqdn</vt:lpstr>
      <vt:lpstr>sample_wld_az1_rack4_host14_mgmt_ip</vt:lpstr>
      <vt:lpstr>sample_wld_az1_rack4_host15_fqdn</vt:lpstr>
      <vt:lpstr>sample_wld_az1_rack4_host15_mgmt_ip</vt:lpstr>
      <vt:lpstr>sample_wld_az1_rack4_host16_fqdn</vt:lpstr>
      <vt:lpstr>sample_wld_az1_rack4_host16_mgmt_ip</vt:lpstr>
      <vt:lpstr>sample_wld_az1_rack4_host2_fqdn</vt:lpstr>
      <vt:lpstr>sample_wld_az1_rack4_host2_mgmt_ip</vt:lpstr>
      <vt:lpstr>sample_wld_az1_rack4_host3_fqdn</vt:lpstr>
      <vt:lpstr>sample_wld_az1_rack4_host3_mgmt_ip</vt:lpstr>
      <vt:lpstr>sample_wld_az1_rack4_host4_fqdn</vt:lpstr>
      <vt:lpstr>sample_wld_az1_rack4_host4_mgmt_ip</vt:lpstr>
      <vt:lpstr>sample_wld_az1_rack4_host5_fqdn</vt:lpstr>
      <vt:lpstr>sample_wld_az1_rack4_host5_mgmt_ip</vt:lpstr>
      <vt:lpstr>sample_wld_az1_rack4_host6_fqdn</vt:lpstr>
      <vt:lpstr>sample_wld_az1_rack4_host6_mgmt_ip</vt:lpstr>
      <vt:lpstr>sample_wld_az1_rack4_host7_fqdn</vt:lpstr>
      <vt:lpstr>sample_wld_az1_rack4_host7_mgmt_ip</vt:lpstr>
      <vt:lpstr>sample_wld_az1_rack4_host8_fqdn</vt:lpstr>
      <vt:lpstr>sample_wld_az1_rack4_host8_mgmt_ip</vt:lpstr>
      <vt:lpstr>sample_wld_az1_rack4_host9_fqdn</vt:lpstr>
      <vt:lpstr>sample_wld_az1_rack4_host9_mgmt_ip</vt:lpstr>
      <vt:lpstr>sample_wld_az1_rack4_mgmt_cidr</vt:lpstr>
      <vt:lpstr>sample_wld_az1_rack4_mgmt_gateway_ip</vt:lpstr>
      <vt:lpstr>sample_wld_az1_rack4_mgmt_mtu</vt:lpstr>
      <vt:lpstr>sample_wld_az1_rack4_mgmt_vlan</vt:lpstr>
      <vt:lpstr>sample_wld_az1_rack4_mgmt_vm_cidr</vt:lpstr>
      <vt:lpstr>sample_wld_az1_rack4_mgmt_vm_gateway_ip</vt:lpstr>
      <vt:lpstr>sample_wld_az1_rack4_mgmt_vm_mtu</vt:lpstr>
      <vt:lpstr>sample_wld_az1_rack4_mgmt_vm_vlan</vt:lpstr>
      <vt:lpstr>sample_wld_az1_rack4_pool_name</vt:lpstr>
      <vt:lpstr>sample_wld_az1_rack4_principal_storage_cidr</vt:lpstr>
      <vt:lpstr>sample_wld_az1_rack4_principal_storage_gateway_ip</vt:lpstr>
      <vt:lpstr>sample_wld_az1_rack4_principal_storage_mask</vt:lpstr>
      <vt:lpstr>sample_wld_az1_rack4_principal_storage_mtu</vt:lpstr>
      <vt:lpstr>sample_wld_az1_rack4_principal_storage_network</vt:lpstr>
      <vt:lpstr>sample_wld_az1_rack4_principal_storage_pool_end_ip</vt:lpstr>
      <vt:lpstr>sample_wld_az1_rack4_principal_storage_pool_start_ip</vt:lpstr>
      <vt:lpstr>sample_wld_az1_rack4_principal_storage_vlan</vt:lpstr>
      <vt:lpstr>sample_wld_az1_rack4_rtep_ip_pool_name</vt:lpstr>
      <vt:lpstr>sample_wld_az1_rack4_secondary_storage_cidr</vt:lpstr>
      <vt:lpstr>sample_wld_az1_rack4_secondary_storage_gateway_ip</vt:lpstr>
      <vt:lpstr>sample_wld_az1_rack4_secondary_storage_mask</vt:lpstr>
      <vt:lpstr>sample_wld_az1_rack4_secondary_storage_mtu</vt:lpstr>
      <vt:lpstr>sample_wld_az1_rack4_secondary_storage_network</vt:lpstr>
      <vt:lpstr>sample_wld_az1_rack4_secondary_storage_pool_end_ip</vt:lpstr>
      <vt:lpstr>sample_wld_az1_rack4_secondary_storage_pool_start_ip</vt:lpstr>
      <vt:lpstr>sample_wld_az1_rack4_secondary_storage_vlan</vt:lpstr>
      <vt:lpstr>sample_wld_az1_rack4_tor1_peer_asn</vt:lpstr>
      <vt:lpstr>sample_wld_az1_rack4_tor1_peer_bgp_password</vt:lpstr>
      <vt:lpstr>sample_wld_az1_rack4_tor1_peer_ip</vt:lpstr>
      <vt:lpstr>sample_wld_az1_rack4_tor2_peer_asn</vt:lpstr>
      <vt:lpstr>sample_wld_az1_rack4_tor2_peer_bgp_password</vt:lpstr>
      <vt:lpstr>sample_wld_az1_rack4_tor2_peer_ip</vt:lpstr>
      <vt:lpstr>sample_wld_az1_rack4_uplink01_gateway_ip</vt:lpstr>
      <vt:lpstr>sample_wld_az1_rack4_uplink01_mask</vt:lpstr>
      <vt:lpstr>sample_wld_az1_rack4_uplink01_mtu</vt:lpstr>
      <vt:lpstr>sample_wld_az1_rack4_uplink01_network</vt:lpstr>
      <vt:lpstr>sample_wld_az1_rack4_uplink01_vlan</vt:lpstr>
      <vt:lpstr>sample_wld_az1_rack4_uplink02_gateway_ip</vt:lpstr>
      <vt:lpstr>sample_wld_az1_rack4_uplink02_mask</vt:lpstr>
      <vt:lpstr>sample_wld_az1_rack4_uplink02_mtu</vt:lpstr>
      <vt:lpstr>sample_wld_az1_rack4_uplink02_network</vt:lpstr>
      <vt:lpstr>sample_wld_az1_rack4_uplink02_vlan</vt:lpstr>
      <vt:lpstr>sample_wld_az1_rack4_vmotion_cidr</vt:lpstr>
      <vt:lpstr>sample_wld_az1_rack4_vmotion_gateway_ip</vt:lpstr>
      <vt:lpstr>sample_wld_az1_rack4_vmotion_mask</vt:lpstr>
      <vt:lpstr>sample_wld_az1_rack4_vmotion_mtu</vt:lpstr>
      <vt:lpstr>sample_wld_az1_rack4_vmotion_network</vt:lpstr>
      <vt:lpstr>sample_wld_az1_rack4_vmotion_pool_end_ip</vt:lpstr>
      <vt:lpstr>sample_wld_az1_rack4_vmotion_pool_start_ip</vt:lpstr>
      <vt:lpstr>sample_wld_az1_rack4_vmotion_vlan</vt:lpstr>
      <vt:lpstr>sample_wld_az1_rack4_vsan_fault_domain</vt:lpstr>
      <vt:lpstr>sample_wld_az1_rack5_edge_overlay_gateway_ip</vt:lpstr>
      <vt:lpstr>sample_wld_az1_rack5_edge_overlay_mask</vt:lpstr>
      <vt:lpstr>sample_wld_az1_rack5_edge_overlay_mtu</vt:lpstr>
      <vt:lpstr>sample_wld_az1_rack5_edge_overlay_network</vt:lpstr>
      <vt:lpstr>sample_wld_az1_rack5_edge_overlay_network_pool_name</vt:lpstr>
      <vt:lpstr>sample_wld_az1_rack5_edge_overlay_pool_end_ip</vt:lpstr>
      <vt:lpstr>sample_wld_az1_rack5_edge_overlay_pool_start_ip</vt:lpstr>
      <vt:lpstr>sample_wld_az1_rack5_edge_overlay_vlan</vt:lpstr>
      <vt:lpstr>sample_wld_az1_rack5_host_hostnames</vt:lpstr>
      <vt:lpstr>sample_wld_az1_rack5_host_mgmt_ips</vt:lpstr>
      <vt:lpstr>sample_wld_az1_rack5_host_overlay_cidr</vt:lpstr>
      <vt:lpstr>sample_wld_az1_rack5_host_overlay_gateway_ip</vt:lpstr>
      <vt:lpstr>sample_wld_az1_rack5_host_overlay_mask</vt:lpstr>
      <vt:lpstr>sample_wld_az1_rack5_host_overlay_mtu</vt:lpstr>
      <vt:lpstr>sample_wld_az1_rack5_host_overlay_network</vt:lpstr>
      <vt:lpstr>sample_wld_az1_rack5_host_overlay_network_pool_name</vt:lpstr>
      <vt:lpstr>sample_wld_az1_rack5_host_overlay_network_profile_name</vt:lpstr>
      <vt:lpstr>sample_wld_az1_rack5_host_overlay_pool_end_ip</vt:lpstr>
      <vt:lpstr>sample_wld_az1_rack5_host_overlay_pool_start_ip</vt:lpstr>
      <vt:lpstr>sample_wld_az1_rack5_host_overlay_uplink_profile_name</vt:lpstr>
      <vt:lpstr>sample_wld_az1_rack5_host_overlay_vlan</vt:lpstr>
      <vt:lpstr>sample_wld_az1_rack5_host1_fqdn</vt:lpstr>
      <vt:lpstr>sample_wld_az1_rack5_host1_mgmt_ip</vt:lpstr>
      <vt:lpstr>sample_wld_az1_rack5_host10_fqdn</vt:lpstr>
      <vt:lpstr>sample_wld_az1_rack5_host10_mgmt_ip</vt:lpstr>
      <vt:lpstr>sample_wld_az1_rack5_host11_fqdn</vt:lpstr>
      <vt:lpstr>sample_wld_az1_rack5_host11_mgmt_ip</vt:lpstr>
      <vt:lpstr>sample_wld_az1_rack5_host12_fqdn</vt:lpstr>
      <vt:lpstr>sample_wld_az1_rack5_host12_mgmt_ip</vt:lpstr>
      <vt:lpstr>sample_wld_az1_rack5_host13_fqdn</vt:lpstr>
      <vt:lpstr>sample_wld_az1_rack5_host13_mgmt_ip</vt:lpstr>
      <vt:lpstr>sample_wld_az1_rack5_host14_fqdn</vt:lpstr>
      <vt:lpstr>sample_wld_az1_rack5_host14_mgmt_ip</vt:lpstr>
      <vt:lpstr>sample_wld_az1_rack5_host15_fqdn</vt:lpstr>
      <vt:lpstr>sample_wld_az1_rack5_host15_mgmt_ip</vt:lpstr>
      <vt:lpstr>sample_wld_az1_rack5_host16_fqdn</vt:lpstr>
      <vt:lpstr>sample_wld_az1_rack5_host16_mgmt_ip</vt:lpstr>
      <vt:lpstr>sample_wld_az1_rack5_host2_fqdn</vt:lpstr>
      <vt:lpstr>sample_wld_az1_rack5_host2_mgmt_ip</vt:lpstr>
      <vt:lpstr>sample_wld_az1_rack5_host3_fqdn</vt:lpstr>
      <vt:lpstr>sample_wld_az1_rack5_host3_mgmt_ip</vt:lpstr>
      <vt:lpstr>sample_wld_az1_rack5_host4_fqdn</vt:lpstr>
      <vt:lpstr>sample_wld_az1_rack5_host4_mgmt_ip</vt:lpstr>
      <vt:lpstr>sample_wld_az1_rack5_host5_fqdn</vt:lpstr>
      <vt:lpstr>sample_wld_az1_rack5_host5_mgmt_ip</vt:lpstr>
      <vt:lpstr>sample_wld_az1_rack5_host6_fqdn</vt:lpstr>
      <vt:lpstr>sample_wld_az1_rack5_host6_mgmt_ip</vt:lpstr>
      <vt:lpstr>sample_wld_az1_rack5_host7_fqdn</vt:lpstr>
      <vt:lpstr>sample_wld_az1_rack5_host7_mgmt_ip</vt:lpstr>
      <vt:lpstr>sample_wld_az1_rack5_host8_fqdn</vt:lpstr>
      <vt:lpstr>sample_wld_az1_rack5_host8_mgmt_ip</vt:lpstr>
      <vt:lpstr>sample_wld_az1_rack5_host9_fqdn</vt:lpstr>
      <vt:lpstr>sample_wld_az1_rack5_host9_mgmt_ip</vt:lpstr>
      <vt:lpstr>sample_wld_az1_rack5_mgmt_cidr</vt:lpstr>
      <vt:lpstr>sample_wld_az1_rack5_mgmt_gateway_ip</vt:lpstr>
      <vt:lpstr>sample_wld_az1_rack5_mgmt_mtu</vt:lpstr>
      <vt:lpstr>sample_wld_az1_rack5_mgmt_vlan</vt:lpstr>
      <vt:lpstr>sample_wld_az1_rack5_mgmt_vm_cidr</vt:lpstr>
      <vt:lpstr>sample_wld_az1_rack5_mgmt_vm_gateway_ip</vt:lpstr>
      <vt:lpstr>sample_wld_az1_rack5_mgmt_vm_mtu</vt:lpstr>
      <vt:lpstr>sample_wld_az1_rack5_mgmt_vm_vlan</vt:lpstr>
      <vt:lpstr>sample_wld_az1_rack5_pool_name</vt:lpstr>
      <vt:lpstr>sample_wld_az1_rack5_principal_storage_cidr</vt:lpstr>
      <vt:lpstr>sample_wld_az1_rack5_principal_storage_gateway_ip</vt:lpstr>
      <vt:lpstr>sample_wld_az1_rack5_principal_storage_mask</vt:lpstr>
      <vt:lpstr>sample_wld_az1_rack5_principal_storage_mtu</vt:lpstr>
      <vt:lpstr>sample_wld_az1_rack5_principal_storage_network</vt:lpstr>
      <vt:lpstr>sample_wld_az1_rack5_principal_storage_pool_end_ip</vt:lpstr>
      <vt:lpstr>sample_wld_az1_rack5_principal_storage_pool_start_ip</vt:lpstr>
      <vt:lpstr>sample_wld_az1_rack5_principal_storage_vlan</vt:lpstr>
      <vt:lpstr>sample_wld_az1_rack5_rtep_ip_pool_name</vt:lpstr>
      <vt:lpstr>sample_wld_az1_rack5_secondary_storage_cidr</vt:lpstr>
      <vt:lpstr>sample_wld_az1_rack5_secondary_storage_gateway_ip</vt:lpstr>
      <vt:lpstr>sample_wld_az1_rack5_secondary_storage_mask</vt:lpstr>
      <vt:lpstr>sample_wld_az1_rack5_secondary_storage_mtu</vt:lpstr>
      <vt:lpstr>sample_wld_az1_rack5_secondary_storage_network</vt:lpstr>
      <vt:lpstr>sample_wld_az1_rack5_secondary_storage_pool_end_ip</vt:lpstr>
      <vt:lpstr>sample_wld_az1_rack5_secondary_storage_pool_start_ip</vt:lpstr>
      <vt:lpstr>sample_wld_az1_rack5_secondary_storage_vlan</vt:lpstr>
      <vt:lpstr>sample_wld_az1_rack5_tor1_peer_asn</vt:lpstr>
      <vt:lpstr>sample_wld_az1_rack5_tor1_peer_bgp_password</vt:lpstr>
      <vt:lpstr>sample_wld_az1_rack5_tor1_peer_ip</vt:lpstr>
      <vt:lpstr>sample_wld_az1_rack5_tor2_peer_asn</vt:lpstr>
      <vt:lpstr>sample_wld_az1_rack5_tor2_peer_bgp_password</vt:lpstr>
      <vt:lpstr>sample_wld_az1_rack5_tor2_peer_ip</vt:lpstr>
      <vt:lpstr>sample_wld_az1_rack5_uplink01_gateway_ip</vt:lpstr>
      <vt:lpstr>sample_wld_az1_rack5_uplink01_mask</vt:lpstr>
      <vt:lpstr>sample_wld_az1_rack5_uplink01_mtu</vt:lpstr>
      <vt:lpstr>sample_wld_az1_rack5_uplink01_network</vt:lpstr>
      <vt:lpstr>sample_wld_az1_rack5_uplink01_vlan</vt:lpstr>
      <vt:lpstr>sample_wld_az1_rack5_uplink02_gateway_ip</vt:lpstr>
      <vt:lpstr>sample_wld_az1_rack5_uplink02_mask</vt:lpstr>
      <vt:lpstr>sample_wld_az1_rack5_uplink02_mtu</vt:lpstr>
      <vt:lpstr>sample_wld_az1_rack5_uplink02_network</vt:lpstr>
      <vt:lpstr>sample_wld_az1_rack5_uplink02_vlan</vt:lpstr>
      <vt:lpstr>sample_wld_az1_rack5_vmotion_cidr</vt:lpstr>
      <vt:lpstr>sample_wld_az1_rack5_vmotion_gateway_ip</vt:lpstr>
      <vt:lpstr>sample_wld_az1_rack5_vmotion_mask</vt:lpstr>
      <vt:lpstr>sample_wld_az1_rack5_vmotion_mtu</vt:lpstr>
      <vt:lpstr>sample_wld_az1_rack5_vmotion_network</vt:lpstr>
      <vt:lpstr>sample_wld_az1_rack5_vmotion_pool_end_ip</vt:lpstr>
      <vt:lpstr>sample_wld_az1_rack5_vmotion_pool_start_ip</vt:lpstr>
      <vt:lpstr>sample_wld_az1_rack5_vmotion_vlan</vt:lpstr>
      <vt:lpstr>sample_wld_az1_rack5_vsan_fault_domain</vt:lpstr>
      <vt:lpstr>sample_wld_az1_rack6_edge_overlay_gateway_ip</vt:lpstr>
      <vt:lpstr>sample_wld_az1_rack6_edge_overlay_mask</vt:lpstr>
      <vt:lpstr>sample_wld_az1_rack6_edge_overlay_mtu</vt:lpstr>
      <vt:lpstr>sample_wld_az1_rack6_edge_overlay_network</vt:lpstr>
      <vt:lpstr>sample_wld_az1_rack6_edge_overlay_network_pool_name</vt:lpstr>
      <vt:lpstr>sample_wld_az1_rack6_edge_overlay_pool_end_ip</vt:lpstr>
      <vt:lpstr>sample_wld_az1_rack6_edge_overlay_pool_start_ip</vt:lpstr>
      <vt:lpstr>sample_wld_az1_rack6_edge_overlay_vlan</vt:lpstr>
      <vt:lpstr>sample_wld_az1_rack6_host_hostnames</vt:lpstr>
      <vt:lpstr>sample_wld_az1_rack6_host_mgmt_ips</vt:lpstr>
      <vt:lpstr>sample_wld_az1_rack6_host_overlay_cidr</vt:lpstr>
      <vt:lpstr>sample_wld_az1_rack6_host_overlay_gateway_ip</vt:lpstr>
      <vt:lpstr>sample_wld_az1_rack6_host_overlay_mask</vt:lpstr>
      <vt:lpstr>sample_wld_az1_rack6_host_overlay_mtu</vt:lpstr>
      <vt:lpstr>sample_wld_az1_rack6_host_overlay_network</vt:lpstr>
      <vt:lpstr>sample_wld_az1_rack6_host_overlay_network_pool_name</vt:lpstr>
      <vt:lpstr>sample_wld_az1_rack6_host_overlay_network_profile_name</vt:lpstr>
      <vt:lpstr>sample_wld_az1_rack6_host_overlay_pool_end_ip</vt:lpstr>
      <vt:lpstr>sample_wld_az1_rack6_host_overlay_pool_start_ip</vt:lpstr>
      <vt:lpstr>sample_wld_az1_rack6_host_overlay_uplink_profile_name</vt:lpstr>
      <vt:lpstr>sample_wld_az1_rack6_host_overlay_vlan</vt:lpstr>
      <vt:lpstr>sample_wld_az1_rack6_host1_fqdn</vt:lpstr>
      <vt:lpstr>sample_wld_az1_rack6_host1_mgmt_ip</vt:lpstr>
      <vt:lpstr>sample_wld_az1_rack6_host10_fqdn</vt:lpstr>
      <vt:lpstr>sample_wld_az1_rack6_host10_mgmt_ip</vt:lpstr>
      <vt:lpstr>sample_wld_az1_rack6_host11_fqdn</vt:lpstr>
      <vt:lpstr>sample_wld_az1_rack6_host11_mgmt_ip</vt:lpstr>
      <vt:lpstr>sample_wld_az1_rack6_host12_fqdn</vt:lpstr>
      <vt:lpstr>sample_wld_az1_rack6_host12_mgmt_ip</vt:lpstr>
      <vt:lpstr>sample_wld_az1_rack6_host13_fqdn</vt:lpstr>
      <vt:lpstr>sample_wld_az1_rack6_host13_mgmt_ip</vt:lpstr>
      <vt:lpstr>sample_wld_az1_rack6_host14_fqdn</vt:lpstr>
      <vt:lpstr>sample_wld_az1_rack6_host14_mgmt_ip</vt:lpstr>
      <vt:lpstr>sample_wld_az1_rack6_host15_fqdn</vt:lpstr>
      <vt:lpstr>sample_wld_az1_rack6_host15_mgmt_ip</vt:lpstr>
      <vt:lpstr>sample_wld_az1_rack6_host16_fqdn</vt:lpstr>
      <vt:lpstr>sample_wld_az1_rack6_host16_mgmt_ip</vt:lpstr>
      <vt:lpstr>sample_wld_az1_rack6_host2_fqdn</vt:lpstr>
      <vt:lpstr>sample_wld_az1_rack6_host2_mgmt_ip</vt:lpstr>
      <vt:lpstr>sample_wld_az1_rack6_host3_fqdn</vt:lpstr>
      <vt:lpstr>sample_wld_az1_rack6_host3_mgmt_ip</vt:lpstr>
      <vt:lpstr>sample_wld_az1_rack6_host4_fqdn</vt:lpstr>
      <vt:lpstr>sample_wld_az1_rack6_host4_mgmt_ip</vt:lpstr>
      <vt:lpstr>sample_wld_az1_rack6_host5_fqdn</vt:lpstr>
      <vt:lpstr>sample_wld_az1_rack6_host5_mgmt_ip</vt:lpstr>
      <vt:lpstr>sample_wld_az1_rack6_host6_fqdn</vt:lpstr>
      <vt:lpstr>sample_wld_az1_rack6_host6_mgmt_ip</vt:lpstr>
      <vt:lpstr>sample_wld_az1_rack6_host7_fqdn</vt:lpstr>
      <vt:lpstr>sample_wld_az1_rack6_host7_mgmt_ip</vt:lpstr>
      <vt:lpstr>sample_wld_az1_rack6_host8_fqdn</vt:lpstr>
      <vt:lpstr>sample_wld_az1_rack6_host8_mgmt_ip</vt:lpstr>
      <vt:lpstr>sample_wld_az1_rack6_host9_fqdn</vt:lpstr>
      <vt:lpstr>sample_wld_az1_rack6_host9_mgmt_ip</vt:lpstr>
      <vt:lpstr>sample_wld_az1_rack6_mgmt_cidr</vt:lpstr>
      <vt:lpstr>sample_wld_az1_rack6_mgmt_gateway_ip</vt:lpstr>
      <vt:lpstr>sample_wld_az1_rack6_mgmt_mtu</vt:lpstr>
      <vt:lpstr>sample_wld_az1_rack6_mgmt_vlan</vt:lpstr>
      <vt:lpstr>sample_wld_az1_rack6_mgmt_vm_cidr</vt:lpstr>
      <vt:lpstr>sample_wld_az1_rack6_mgmt_vm_gateway_ip</vt:lpstr>
      <vt:lpstr>sample_wld_az1_rack6_mgmt_vm_mtu</vt:lpstr>
      <vt:lpstr>sample_wld_az1_rack6_mgmt_vm_vlan</vt:lpstr>
      <vt:lpstr>sample_wld_az1_rack6_pool_name</vt:lpstr>
      <vt:lpstr>sample_wld_az1_rack6_principal_storage_cidr</vt:lpstr>
      <vt:lpstr>sample_wld_az1_rack6_principal_storage_gateway_ip</vt:lpstr>
      <vt:lpstr>sample_wld_az1_rack6_principal_storage_mask</vt:lpstr>
      <vt:lpstr>sample_wld_az1_rack6_principal_storage_mtu</vt:lpstr>
      <vt:lpstr>sample_wld_az1_rack6_principal_storage_network</vt:lpstr>
      <vt:lpstr>sample_wld_az1_rack6_principal_storage_pool_end_ip</vt:lpstr>
      <vt:lpstr>sample_wld_az1_rack6_principal_storage_pool_start_ip</vt:lpstr>
      <vt:lpstr>sample_wld_az1_rack6_principal_storage_vlan</vt:lpstr>
      <vt:lpstr>sample_wld_az1_rack6_rtep_ip_pool_name</vt:lpstr>
      <vt:lpstr>sample_wld_az1_rack6_secondary_storage_cidr</vt:lpstr>
      <vt:lpstr>sample_wld_az1_rack6_secondary_storage_gateway_ip</vt:lpstr>
      <vt:lpstr>sample_wld_az1_rack6_secondary_storage_mask</vt:lpstr>
      <vt:lpstr>sample_wld_az1_rack6_secondary_storage_mtu</vt:lpstr>
      <vt:lpstr>sample_wld_az1_rack6_secondary_storage_network</vt:lpstr>
      <vt:lpstr>sample_wld_az1_rack6_secondary_storage_pool_end_ip</vt:lpstr>
      <vt:lpstr>sample_wld_az1_rack6_secondary_storage_pool_start_ip</vt:lpstr>
      <vt:lpstr>sample_wld_az1_rack6_secondary_storage_vlan</vt:lpstr>
      <vt:lpstr>sample_wld_az1_rack6_tor1_peer_asn</vt:lpstr>
      <vt:lpstr>sample_wld_az1_rack6_tor1_peer_bgp_password</vt:lpstr>
      <vt:lpstr>sample_wld_az1_rack6_tor1_peer_ip</vt:lpstr>
      <vt:lpstr>sample_wld_az1_rack6_tor2_peer_asn</vt:lpstr>
      <vt:lpstr>sample_wld_az1_rack6_tor2_peer_bgp_password</vt:lpstr>
      <vt:lpstr>sample_wld_az1_rack6_tor2_peer_ip</vt:lpstr>
      <vt:lpstr>sample_wld_az1_rack6_uplink01_gateway_ip</vt:lpstr>
      <vt:lpstr>sample_wld_az1_rack6_uplink01_mask</vt:lpstr>
      <vt:lpstr>sample_wld_az1_rack6_uplink01_mtu</vt:lpstr>
      <vt:lpstr>sample_wld_az1_rack6_uplink01_network</vt:lpstr>
      <vt:lpstr>sample_wld_az1_rack6_uplink01_vlan</vt:lpstr>
      <vt:lpstr>sample_wld_az1_rack6_uplink02_gateway_ip</vt:lpstr>
      <vt:lpstr>sample_wld_az1_rack6_uplink02_mask</vt:lpstr>
      <vt:lpstr>sample_wld_az1_rack6_uplink02_mtu</vt:lpstr>
      <vt:lpstr>sample_wld_az1_rack6_uplink02_network</vt:lpstr>
      <vt:lpstr>sample_wld_az1_rack6_uplink02_vlan</vt:lpstr>
      <vt:lpstr>sample_wld_az1_rack6_vmotion_cidr</vt:lpstr>
      <vt:lpstr>sample_wld_az1_rack6_vmotion_gateway_ip</vt:lpstr>
      <vt:lpstr>sample_wld_az1_rack6_vmotion_mask</vt:lpstr>
      <vt:lpstr>sample_wld_az1_rack6_vmotion_mtu</vt:lpstr>
      <vt:lpstr>sample_wld_az1_rack6_vmotion_network</vt:lpstr>
      <vt:lpstr>sample_wld_az1_rack6_vmotion_pool_end_ip</vt:lpstr>
      <vt:lpstr>sample_wld_az1_rack6_vmotion_pool_start_ip</vt:lpstr>
      <vt:lpstr>sample_wld_az1_rack6_vmotion_vlan</vt:lpstr>
      <vt:lpstr>sample_wld_az1_rack6_vsan_fault_domain</vt:lpstr>
      <vt:lpstr>sample_wld_az1_rack7_edge_overlay_gateway_ip</vt:lpstr>
      <vt:lpstr>sample_wld_az1_rack7_edge_overlay_mask</vt:lpstr>
      <vt:lpstr>sample_wld_az1_rack7_edge_overlay_mtu</vt:lpstr>
      <vt:lpstr>sample_wld_az1_rack7_edge_overlay_network</vt:lpstr>
      <vt:lpstr>sample_wld_az1_rack7_edge_overlay_network_pool_name</vt:lpstr>
      <vt:lpstr>sample_wld_az1_rack7_edge_overlay_pool_end_ip</vt:lpstr>
      <vt:lpstr>sample_wld_az1_rack7_edge_overlay_pool_start_ip</vt:lpstr>
      <vt:lpstr>sample_wld_az1_rack7_edge_overlay_vlan</vt:lpstr>
      <vt:lpstr>sample_wld_az1_rack7_host_hostnames</vt:lpstr>
      <vt:lpstr>sample_wld_az1_rack7_host_mgmt_ips</vt:lpstr>
      <vt:lpstr>sample_wld_az1_rack7_host_overlay_cidr</vt:lpstr>
      <vt:lpstr>sample_wld_az1_rack7_host_overlay_gateway_ip</vt:lpstr>
      <vt:lpstr>sample_wld_az1_rack7_host_overlay_mask</vt:lpstr>
      <vt:lpstr>sample_wld_az1_rack7_host_overlay_mtu</vt:lpstr>
      <vt:lpstr>sample_wld_az1_rack7_host_overlay_network</vt:lpstr>
      <vt:lpstr>sample_wld_az1_rack7_host_overlay_network_pool_name</vt:lpstr>
      <vt:lpstr>sample_wld_az1_rack7_host_overlay_network_profile_name</vt:lpstr>
      <vt:lpstr>sample_wld_az1_rack7_host_overlay_pool_end_ip</vt:lpstr>
      <vt:lpstr>sample_wld_az1_rack7_host_overlay_pool_start_ip</vt:lpstr>
      <vt:lpstr>sample_wld_az1_rack7_host_overlay_uplink_profile_name</vt:lpstr>
      <vt:lpstr>sample_wld_az1_rack7_host_overlay_vlan</vt:lpstr>
      <vt:lpstr>sample_wld_az1_rack7_host1_fqdn</vt:lpstr>
      <vt:lpstr>sample_wld_az1_rack7_host1_mgmt_ip</vt:lpstr>
      <vt:lpstr>sample_wld_az1_rack7_host10_fqdn</vt:lpstr>
      <vt:lpstr>sample_wld_az1_rack7_host10_mgmt_ip</vt:lpstr>
      <vt:lpstr>sample_wld_az1_rack7_host11_fqdn</vt:lpstr>
      <vt:lpstr>sample_wld_az1_rack7_host11_mgmt_ip</vt:lpstr>
      <vt:lpstr>sample_wld_az1_rack7_host12_fqdn</vt:lpstr>
      <vt:lpstr>sample_wld_az1_rack7_host12_mgmt_ip</vt:lpstr>
      <vt:lpstr>sample_wld_az1_rack7_host13_fqdn</vt:lpstr>
      <vt:lpstr>sample_wld_az1_rack7_host13_mgmt_ip</vt:lpstr>
      <vt:lpstr>sample_wld_az1_rack7_host14_fqdn</vt:lpstr>
      <vt:lpstr>sample_wld_az1_rack7_host14_mgmt_ip</vt:lpstr>
      <vt:lpstr>sample_wld_az1_rack7_host15_fqdn</vt:lpstr>
      <vt:lpstr>sample_wld_az1_rack7_host15_mgmt_ip</vt:lpstr>
      <vt:lpstr>sample_wld_az1_rack7_host16_fqdn</vt:lpstr>
      <vt:lpstr>sample_wld_az1_rack7_host16_mgmt_ip</vt:lpstr>
      <vt:lpstr>sample_wld_az1_rack7_host2_fqdn</vt:lpstr>
      <vt:lpstr>sample_wld_az1_rack7_host2_mgmt_ip</vt:lpstr>
      <vt:lpstr>sample_wld_az1_rack7_host3_fqdn</vt:lpstr>
      <vt:lpstr>sample_wld_az1_rack7_host3_mgmt_ip</vt:lpstr>
      <vt:lpstr>sample_wld_az1_rack7_host4_fqdn</vt:lpstr>
      <vt:lpstr>sample_wld_az1_rack7_host4_mgmt_ip</vt:lpstr>
      <vt:lpstr>sample_wld_az1_rack7_host5_fqdn</vt:lpstr>
      <vt:lpstr>sample_wld_az1_rack7_host5_mgmt_ip</vt:lpstr>
      <vt:lpstr>sample_wld_az1_rack7_host6_fqdn</vt:lpstr>
      <vt:lpstr>sample_wld_az1_rack7_host6_mgmt_ip</vt:lpstr>
      <vt:lpstr>sample_wld_az1_rack7_host7_fqdn</vt:lpstr>
      <vt:lpstr>sample_wld_az1_rack7_host7_mgmt_ip</vt:lpstr>
      <vt:lpstr>sample_wld_az1_rack7_host8_fqdn</vt:lpstr>
      <vt:lpstr>sample_wld_az1_rack7_host8_mgmt_ip</vt:lpstr>
      <vt:lpstr>sample_wld_az1_rack7_host9_fqdn</vt:lpstr>
      <vt:lpstr>sample_wld_az1_rack7_host9_mgmt_ip</vt:lpstr>
      <vt:lpstr>sample_wld_az1_rack7_mgmt_cidr</vt:lpstr>
      <vt:lpstr>sample_wld_az1_rack7_mgmt_gateway_ip</vt:lpstr>
      <vt:lpstr>sample_wld_az1_rack7_mgmt_mtu</vt:lpstr>
      <vt:lpstr>sample_wld_az1_rack7_mgmt_vlan</vt:lpstr>
      <vt:lpstr>sample_wld_az1_rack7_mgmt_vm_cidr</vt:lpstr>
      <vt:lpstr>sample_wld_az1_rack7_mgmt_vm_gateway_ip</vt:lpstr>
      <vt:lpstr>sample_wld_az1_rack7_mgmt_vm_mtu</vt:lpstr>
      <vt:lpstr>sample_wld_az1_rack7_mgmt_vm_vlan</vt:lpstr>
      <vt:lpstr>sample_wld_az1_rack7_pool_name</vt:lpstr>
      <vt:lpstr>sample_wld_az1_rack7_principal_storage_cidr</vt:lpstr>
      <vt:lpstr>sample_wld_az1_rack7_principal_storage_gateway_ip</vt:lpstr>
      <vt:lpstr>sample_wld_az1_rack7_principal_storage_mask</vt:lpstr>
      <vt:lpstr>sample_wld_az1_rack7_principal_storage_mtu</vt:lpstr>
      <vt:lpstr>sample_wld_az1_rack7_principal_storage_network</vt:lpstr>
      <vt:lpstr>sample_wld_az1_rack7_principal_storage_pool_end_ip</vt:lpstr>
      <vt:lpstr>sample_wld_az1_rack7_principal_storage_pool_start_ip</vt:lpstr>
      <vt:lpstr>sample_wld_az1_rack7_principal_storage_vlan</vt:lpstr>
      <vt:lpstr>sample_wld_az1_rack7_rtep_ip_pool_name</vt:lpstr>
      <vt:lpstr>sample_wld_az1_rack7_secondary_storage_cidr</vt:lpstr>
      <vt:lpstr>sample_wld_az1_rack7_secondary_storage_gateway_ip</vt:lpstr>
      <vt:lpstr>sample_wld_az1_rack7_secondary_storage_mask</vt:lpstr>
      <vt:lpstr>sample_wld_az1_rack7_secondary_storage_mtu</vt:lpstr>
      <vt:lpstr>sample_wld_az1_rack7_secondary_storage_network</vt:lpstr>
      <vt:lpstr>sample_wld_az1_rack7_secondary_storage_pool_end_ip</vt:lpstr>
      <vt:lpstr>sample_wld_az1_rack7_secondary_storage_pool_start_ip</vt:lpstr>
      <vt:lpstr>sample_wld_az1_rack7_secondary_storage_vlan</vt:lpstr>
      <vt:lpstr>sample_wld_az1_rack7_tor1_peer_asn</vt:lpstr>
      <vt:lpstr>sample_wld_az1_rack7_tor1_peer_bgp_password</vt:lpstr>
      <vt:lpstr>sample_wld_az1_rack7_tor1_peer_ip</vt:lpstr>
      <vt:lpstr>sample_wld_az1_rack7_tor2_peer_asn</vt:lpstr>
      <vt:lpstr>sample_wld_az1_rack7_tor2_peer_bgp_password</vt:lpstr>
      <vt:lpstr>sample_wld_az1_rack7_tor2_peer_ip</vt:lpstr>
      <vt:lpstr>sample_wld_az1_rack7_uplink01_gateway_ip</vt:lpstr>
      <vt:lpstr>sample_wld_az1_rack7_uplink01_mask</vt:lpstr>
      <vt:lpstr>sample_wld_az1_rack7_uplink01_mtu</vt:lpstr>
      <vt:lpstr>sample_wld_az1_rack7_uplink01_network</vt:lpstr>
      <vt:lpstr>sample_wld_az1_rack7_uplink01_vlan</vt:lpstr>
      <vt:lpstr>sample_wld_az1_rack7_uplink02_gateway_ip</vt:lpstr>
      <vt:lpstr>sample_wld_az1_rack7_uplink02_mask</vt:lpstr>
      <vt:lpstr>sample_wld_az1_rack7_uplink02_mtu</vt:lpstr>
      <vt:lpstr>sample_wld_az1_rack7_uplink02_network</vt:lpstr>
      <vt:lpstr>sample_wld_az1_rack7_uplink02_vlan</vt:lpstr>
      <vt:lpstr>sample_wld_az1_rack7_vmotion_cidr</vt:lpstr>
      <vt:lpstr>sample_wld_az1_rack7_vmotion_gateway_ip</vt:lpstr>
      <vt:lpstr>sample_wld_az1_rack7_vmotion_mask</vt:lpstr>
      <vt:lpstr>sample_wld_az1_rack7_vmotion_mtu</vt:lpstr>
      <vt:lpstr>sample_wld_az1_rack7_vmotion_network</vt:lpstr>
      <vt:lpstr>sample_wld_az1_rack7_vmotion_pool_end_ip</vt:lpstr>
      <vt:lpstr>sample_wld_az1_rack7_vmotion_pool_start_ip</vt:lpstr>
      <vt:lpstr>sample_wld_az1_rack7_vmotion_vlan</vt:lpstr>
      <vt:lpstr>sample_wld_az1_rack7_vsan_fault_domain</vt:lpstr>
      <vt:lpstr>sample_wld_az1_rack8_edge_overlay_gateway_ip</vt:lpstr>
      <vt:lpstr>sample_wld_az1_rack8_edge_overlay_mask</vt:lpstr>
      <vt:lpstr>sample_wld_az1_rack8_edge_overlay_mtu</vt:lpstr>
      <vt:lpstr>sample_wld_az1_rack8_edge_overlay_network</vt:lpstr>
      <vt:lpstr>sample_wld_az1_rack8_edge_overlay_network_pool_name</vt:lpstr>
      <vt:lpstr>sample_wld_az1_rack8_edge_overlay_pool_end_ip</vt:lpstr>
      <vt:lpstr>sample_wld_az1_rack8_edge_overlay_pool_start_ip</vt:lpstr>
      <vt:lpstr>sample_wld_az1_rack8_edge_overlay_vlan</vt:lpstr>
      <vt:lpstr>sample_wld_az1_rack8_host_hostnames</vt:lpstr>
      <vt:lpstr>sample_wld_az1_rack8_host_mgmt_ips</vt:lpstr>
      <vt:lpstr>sample_wld_az1_rack8_host_overlay_cidr</vt:lpstr>
      <vt:lpstr>sample_wld_az1_rack8_host_overlay_gateway_ip</vt:lpstr>
      <vt:lpstr>sample_wld_az1_rack8_host_overlay_mask</vt:lpstr>
      <vt:lpstr>sample_wld_az1_rack8_host_overlay_mtu</vt:lpstr>
      <vt:lpstr>sample_wld_az1_rack8_host_overlay_network</vt:lpstr>
      <vt:lpstr>sample_wld_az1_rack8_host_overlay_network_pool_name</vt:lpstr>
      <vt:lpstr>sample_wld_az1_rack8_host_overlay_network_profile_name</vt:lpstr>
      <vt:lpstr>sample_wld_az1_rack8_host_overlay_pool_end_ip</vt:lpstr>
      <vt:lpstr>sample_wld_az1_rack8_host_overlay_pool_start_ip</vt:lpstr>
      <vt:lpstr>sample_wld_az1_rack8_host_overlay_uplink_profile_name</vt:lpstr>
      <vt:lpstr>sample_wld_az1_rack8_host_overlay_vlan</vt:lpstr>
      <vt:lpstr>sample_wld_az1_rack8_host1_fqdn</vt:lpstr>
      <vt:lpstr>sample_wld_az1_rack8_host1_mgmt_ip</vt:lpstr>
      <vt:lpstr>sample_wld_az1_rack8_host10_fqdn</vt:lpstr>
      <vt:lpstr>sample_wld_az1_rack8_host10_mgmt_ip</vt:lpstr>
      <vt:lpstr>sample_wld_az1_rack8_host11_fqdn</vt:lpstr>
      <vt:lpstr>sample_wld_az1_rack8_host11_mgmt_ip</vt:lpstr>
      <vt:lpstr>sample_wld_az1_rack8_host12_fqdn</vt:lpstr>
      <vt:lpstr>sample_wld_az1_rack8_host12_mgmt_ip</vt:lpstr>
      <vt:lpstr>sample_wld_az1_rack8_host13_fqdn</vt:lpstr>
      <vt:lpstr>sample_wld_az1_rack8_host13_mgmt_ip</vt:lpstr>
      <vt:lpstr>sample_wld_az1_rack8_host14_fqdn</vt:lpstr>
      <vt:lpstr>sample_wld_az1_rack8_host14_mgmt_ip</vt:lpstr>
      <vt:lpstr>sample_wld_az1_rack8_host15_fqdn</vt:lpstr>
      <vt:lpstr>sample_wld_az1_rack8_host15_mgmt_ip</vt:lpstr>
      <vt:lpstr>sample_wld_az1_rack8_host16_fqdn</vt:lpstr>
      <vt:lpstr>sample_wld_az1_rack8_host16_mgmt_ip</vt:lpstr>
      <vt:lpstr>sample_wld_az1_rack8_host2_fqdn</vt:lpstr>
      <vt:lpstr>sample_wld_az1_rack8_host2_mgmt_ip</vt:lpstr>
      <vt:lpstr>sample_wld_az1_rack8_host3_fqdn</vt:lpstr>
      <vt:lpstr>sample_wld_az1_rack8_host3_mgmt_ip</vt:lpstr>
      <vt:lpstr>sample_wld_az1_rack8_host4_fqdn</vt:lpstr>
      <vt:lpstr>sample_wld_az1_rack8_host4_mgmt_ip</vt:lpstr>
      <vt:lpstr>sample_wld_az1_rack8_host5_fqdn</vt:lpstr>
      <vt:lpstr>sample_wld_az1_rack8_host5_mgmt_ip</vt:lpstr>
      <vt:lpstr>sample_wld_az1_rack8_host6_fqdn</vt:lpstr>
      <vt:lpstr>sample_wld_az1_rack8_host6_mgmt_ip</vt:lpstr>
      <vt:lpstr>sample_wld_az1_rack8_host7_fqdn</vt:lpstr>
      <vt:lpstr>sample_wld_az1_rack8_host7_mgmt_ip</vt:lpstr>
      <vt:lpstr>sample_wld_az1_rack8_host8_fqdn</vt:lpstr>
      <vt:lpstr>sample_wld_az1_rack8_host8_mgmt_ip</vt:lpstr>
      <vt:lpstr>sample_wld_az1_rack8_host9_fqdn</vt:lpstr>
      <vt:lpstr>sample_wld_az1_rack8_host9_mgmt_ip</vt:lpstr>
      <vt:lpstr>sample_wld_az1_rack8_mgmt_cidr</vt:lpstr>
      <vt:lpstr>sample_wld_az1_rack8_mgmt_gateway_ip</vt:lpstr>
      <vt:lpstr>sample_wld_az1_rack8_mgmt_mtu</vt:lpstr>
      <vt:lpstr>sample_wld_az1_rack8_mgmt_vlan</vt:lpstr>
      <vt:lpstr>sample_wld_az1_rack8_mgmt_vm_cidr</vt:lpstr>
      <vt:lpstr>sample_wld_az1_rack8_mgmt_vm_gateway_ip</vt:lpstr>
      <vt:lpstr>sample_wld_az1_rack8_mgmt_vm_mtu</vt:lpstr>
      <vt:lpstr>sample_wld_az1_rack8_mgmt_vm_vlan</vt:lpstr>
      <vt:lpstr>sample_wld_az1_rack8_pool_name</vt:lpstr>
      <vt:lpstr>sample_wld_az1_rack8_principal_storage_cidr</vt:lpstr>
      <vt:lpstr>sample_wld_az1_rack8_principal_storage_gateway_ip</vt:lpstr>
      <vt:lpstr>sample_wld_az1_rack8_principal_storage_mask</vt:lpstr>
      <vt:lpstr>sample_wld_az1_rack8_principal_storage_mtu</vt:lpstr>
      <vt:lpstr>sample_wld_az1_rack8_principal_storage_network</vt:lpstr>
      <vt:lpstr>sample_wld_az1_rack8_principal_storage_pool_end_ip</vt:lpstr>
      <vt:lpstr>sample_wld_az1_rack8_principal_storage_pool_start_ip</vt:lpstr>
      <vt:lpstr>sample_wld_az1_rack8_principal_storage_vlan</vt:lpstr>
      <vt:lpstr>sample_wld_az1_rack8_rtep_ip_pool_name</vt:lpstr>
      <vt:lpstr>sample_wld_az1_rack8_secondary_storage_cidr</vt:lpstr>
      <vt:lpstr>sample_wld_az1_rack8_secondary_storage_gateway_ip</vt:lpstr>
      <vt:lpstr>sample_wld_az1_rack8_secondary_storage_mask</vt:lpstr>
      <vt:lpstr>sample_wld_az1_rack8_secondary_storage_mtu</vt:lpstr>
      <vt:lpstr>sample_wld_az1_rack8_secondary_storage_network</vt:lpstr>
      <vt:lpstr>sample_wld_az1_rack8_secondary_storage_pool_end_ip</vt:lpstr>
      <vt:lpstr>sample_wld_az1_rack8_secondary_storage_pool_start_ip</vt:lpstr>
      <vt:lpstr>sample_wld_az1_rack8_secondary_storage_vlan</vt:lpstr>
      <vt:lpstr>sample_wld_az1_rack8_tor1_peer_asn</vt:lpstr>
      <vt:lpstr>sample_wld_az1_rack8_tor1_peer_bgp_password</vt:lpstr>
      <vt:lpstr>sample_wld_az1_rack8_tor1_peer_ip</vt:lpstr>
      <vt:lpstr>sample_wld_az1_rack8_tor2_peer_asn</vt:lpstr>
      <vt:lpstr>sample_wld_az1_rack8_tor2_peer_bgp_password</vt:lpstr>
      <vt:lpstr>sample_wld_az1_rack8_tor2_peer_ip</vt:lpstr>
      <vt:lpstr>sample_wld_az1_rack8_uplink01_gateway_ip</vt:lpstr>
      <vt:lpstr>sample_wld_az1_rack8_uplink01_mask</vt:lpstr>
      <vt:lpstr>sample_wld_az1_rack8_uplink01_mtu</vt:lpstr>
      <vt:lpstr>sample_wld_az1_rack8_uplink01_network</vt:lpstr>
      <vt:lpstr>sample_wld_az1_rack8_uplink01_vlan</vt:lpstr>
      <vt:lpstr>sample_wld_az1_rack8_uplink02_gateway_ip</vt:lpstr>
      <vt:lpstr>sample_wld_az1_rack8_uplink02_mask</vt:lpstr>
      <vt:lpstr>sample_wld_az1_rack8_uplink02_mtu</vt:lpstr>
      <vt:lpstr>sample_wld_az1_rack8_uplink02_network</vt:lpstr>
      <vt:lpstr>sample_wld_az1_rack8_uplink02_vlan</vt:lpstr>
      <vt:lpstr>sample_wld_az1_rack8_vmotion_cidr</vt:lpstr>
      <vt:lpstr>sample_wld_az1_rack8_vmotion_gateway_ip</vt:lpstr>
      <vt:lpstr>sample_wld_az1_rack8_vmotion_mask</vt:lpstr>
      <vt:lpstr>sample_wld_az1_rack8_vmotion_mtu</vt:lpstr>
      <vt:lpstr>sample_wld_az1_rack8_vmotion_network</vt:lpstr>
      <vt:lpstr>sample_wld_az1_rack8_vmotion_pool_end_ip</vt:lpstr>
      <vt:lpstr>sample_wld_az1_rack8_vmotion_pool_start_ip</vt:lpstr>
      <vt:lpstr>sample_wld_az1_rack8_vmotion_vlan</vt:lpstr>
      <vt:lpstr>sample_wld_az1_rack8_vsan_fault_domain</vt:lpstr>
      <vt:lpstr>sample_wld_az1_rtep_ip_pool_name</vt:lpstr>
      <vt:lpstr>sample_wld_az1_rtep_overlay_cidr</vt:lpstr>
      <vt:lpstr>sample_wld_az1_rtep_overlay_gateway_ip</vt:lpstr>
      <vt:lpstr>sample_wld_az1_rtep_overlay_vlan</vt:lpstr>
      <vt:lpstr>sample_wld_az1_secondary_storage_gateway_cidr</vt:lpstr>
      <vt:lpstr>sample_wld_az1_secondary_storage_mtu</vt:lpstr>
      <vt:lpstr>sample_wld_az1_secondary_storage_pool_end_ip</vt:lpstr>
      <vt:lpstr>sample_wld_az1_secondary_storage_pool_start_ip</vt:lpstr>
      <vt:lpstr>sample_wld_az1_secondary_storage_vlan</vt:lpstr>
      <vt:lpstr>sample_wld_az1_storage_cluster_gateway_cidr</vt:lpstr>
      <vt:lpstr>sample_wld_az1_storage_cluster_mtu</vt:lpstr>
      <vt:lpstr>sample_wld_az1_storage_cluster_pool_end_ip</vt:lpstr>
      <vt:lpstr>sample_wld_az1_storage_cluster_pool_start_ip</vt:lpstr>
      <vt:lpstr>sample_wld_az1_storage_cluster_vlan</vt:lpstr>
      <vt:lpstr>sample_wld_az1_tor1_peer_asn</vt:lpstr>
      <vt:lpstr>sample_wld_az1_tor1_peer_bgp_password</vt:lpstr>
      <vt:lpstr>sample_wld_az1_tor1_peer_ip</vt:lpstr>
      <vt:lpstr>sample_wld_az1_tor2_peer_asn</vt:lpstr>
      <vt:lpstr>sample_wld_az1_tor2_peer_bgp_password</vt:lpstr>
      <vt:lpstr>sample_wld_az1_tor2_peer_ip</vt:lpstr>
      <vt:lpstr>sample_wld_az1_uplink01_cidr</vt:lpstr>
      <vt:lpstr>sample_wld_az1_uplink01_gateway_ip</vt:lpstr>
      <vt:lpstr>sample_wld_az1_uplink01_mtu</vt:lpstr>
      <vt:lpstr>sample_wld_az1_uplink01_vlan</vt:lpstr>
      <vt:lpstr>sample_wld_az1_uplink02_cidr</vt:lpstr>
      <vt:lpstr>sample_wld_az1_uplink02_gateway_ip</vt:lpstr>
      <vt:lpstr>sample_wld_az1_uplink02_mtu</vt:lpstr>
      <vt:lpstr>sample_wld_az1_uplink02_vlan</vt:lpstr>
      <vt:lpstr>sample_wld_az1_vmotion_gateway_cidr</vt:lpstr>
      <vt:lpstr>sample_wld_az1_vmotion_mtu</vt:lpstr>
      <vt:lpstr>sample_wld_az1_vmotion_pool_end_ip</vt:lpstr>
      <vt:lpstr>sample_wld_az1_vmotion_pool_start_ip</vt:lpstr>
      <vt:lpstr>sample_wld_az1_vmotion_vlan</vt:lpstr>
      <vt:lpstr>sample_wld_az1_vrms_cidr</vt:lpstr>
      <vt:lpstr>sample_wld_az1_vrms_gateway_ip</vt:lpstr>
      <vt:lpstr>sample_wld_az1_vrms_mask</vt:lpstr>
      <vt:lpstr>sample_wld_az1_vrms_mtu</vt:lpstr>
      <vt:lpstr>sample_wld_az1_vrms_vlan</vt:lpstr>
      <vt:lpstr>sample_wld_az2_host_overlay_cidr</vt:lpstr>
      <vt:lpstr>sample_wld_az2_host_overlay_gateway_ip</vt:lpstr>
      <vt:lpstr>sample_wld_az2_host_overlay_mtu</vt:lpstr>
      <vt:lpstr>sample_wld_az2_host_overlay_network_pool_name</vt:lpstr>
      <vt:lpstr>sample_wld_az2_host_overlay_network_profile_name</vt:lpstr>
      <vt:lpstr>sample_wld_az2_host_overlay_pool_end_ip</vt:lpstr>
      <vt:lpstr>sample_wld_az2_host_overlay_pool_start_ip</vt:lpstr>
      <vt:lpstr>sample_wld_az2_host_overlay_uplink_profile_name</vt:lpstr>
      <vt:lpstr>sample_wld_az2_host_overlay_vlan</vt:lpstr>
      <vt:lpstr>sample_wld_az2_host1_fqdn</vt:lpstr>
      <vt:lpstr>sample_wld_az2_host1_mgmt_ip</vt:lpstr>
      <vt:lpstr>sample_wld_az2_host1_sddc_id</vt:lpstr>
      <vt:lpstr>sample_wld_az2_host1_vrms_ip</vt:lpstr>
      <vt:lpstr>sample_wld_az2_host10_fqdn</vt:lpstr>
      <vt:lpstr>sample_wld_az2_host10_mgmt_ip</vt:lpstr>
      <vt:lpstr>sample_wld_az2_host10_vrms_ip</vt:lpstr>
      <vt:lpstr>sample_wld_az2_host11_fqdn</vt:lpstr>
      <vt:lpstr>sample_wld_az2_host11_mgmt_ip</vt:lpstr>
      <vt:lpstr>sample_wld_az2_host11_vrms_ip</vt:lpstr>
      <vt:lpstr>sample_wld_az2_host12_fqdn</vt:lpstr>
      <vt:lpstr>sample_wld_az2_host12_mgmt_ip</vt:lpstr>
      <vt:lpstr>sample_wld_az2_host12_vrms_ip</vt:lpstr>
      <vt:lpstr>sample_wld_az2_host13_fqdn</vt:lpstr>
      <vt:lpstr>sample_wld_az2_host13_mgmt_ip</vt:lpstr>
      <vt:lpstr>sample_wld_az2_host13_vrms_ip</vt:lpstr>
      <vt:lpstr>sample_wld_az2_host14_fqdn</vt:lpstr>
      <vt:lpstr>sample_wld_az2_host14_mgmt_ip</vt:lpstr>
      <vt:lpstr>sample_wld_az2_host14_vrms_ip</vt:lpstr>
      <vt:lpstr>sample_wld_az2_host15_fqdn</vt:lpstr>
      <vt:lpstr>sample_wld_az2_host15_mgmt_ip</vt:lpstr>
      <vt:lpstr>sample_wld_az2_host15_vrms_ip</vt:lpstr>
      <vt:lpstr>sample_wld_az2_host16_fqdn</vt:lpstr>
      <vt:lpstr>sample_wld_az2_host16_mgmt_ip</vt:lpstr>
      <vt:lpstr>sample_wld_az2_host16_vrms_ip</vt:lpstr>
      <vt:lpstr>sample_wld_az2_host2_fqdn</vt:lpstr>
      <vt:lpstr>sample_wld_az2_host2_mgmt_ip</vt:lpstr>
      <vt:lpstr>sample_wld_az2_host2_sddc_id</vt:lpstr>
      <vt:lpstr>sample_wld_az2_host2_vrms_ip</vt:lpstr>
      <vt:lpstr>sample_wld_az2_host3_fqdn</vt:lpstr>
      <vt:lpstr>sample_wld_az2_host3_mgmt_ip</vt:lpstr>
      <vt:lpstr>sample_wld_az2_host3_sddc_id</vt:lpstr>
      <vt:lpstr>sample_wld_az2_host3_vrms_ip</vt:lpstr>
      <vt:lpstr>sample_wld_az2_host4_fqdn</vt:lpstr>
      <vt:lpstr>sample_wld_az2_host4_mgmt_ip</vt:lpstr>
      <vt:lpstr>sample_wld_az2_host4_sddc_id</vt:lpstr>
      <vt:lpstr>sample_wld_az2_host4_vrms_ip</vt:lpstr>
      <vt:lpstr>sample_wld_az2_host5_fqdn</vt:lpstr>
      <vt:lpstr>sample_wld_az2_host5_mgmt_ip</vt:lpstr>
      <vt:lpstr>sample_wld_az2_host5_vrms_ip</vt:lpstr>
      <vt:lpstr>sample_wld_az2_host6_fqdn</vt:lpstr>
      <vt:lpstr>sample_wld_az2_host6_mgmt_ip</vt:lpstr>
      <vt:lpstr>sample_wld_az2_host6_vrms_ip</vt:lpstr>
      <vt:lpstr>sample_wld_az2_host7_fqdn</vt:lpstr>
      <vt:lpstr>sample_wld_az2_host7_mgmt_ip</vt:lpstr>
      <vt:lpstr>sample_wld_az2_host7_vrms_ip</vt:lpstr>
      <vt:lpstr>sample_wld_az2_host8_fqdn</vt:lpstr>
      <vt:lpstr>sample_wld_az2_host8_mgmt_ip</vt:lpstr>
      <vt:lpstr>sample_wld_az2_host8_vrms_ip</vt:lpstr>
      <vt:lpstr>sample_wld_az2_host9_fqdn</vt:lpstr>
      <vt:lpstr>sample_wld_az2_host9_mgmt_ip</vt:lpstr>
      <vt:lpstr>sample_wld_az2_host9_vrms_ip</vt:lpstr>
      <vt:lpstr>sample_wld_az2_mgmt_cidr</vt:lpstr>
      <vt:lpstr>sample_wld_az2_mgmt_gateway_ip</vt:lpstr>
      <vt:lpstr>sample_wld_az2_mgmt_mtu</vt:lpstr>
      <vt:lpstr>sample_wld_az2_mgmt_vlan</vt:lpstr>
      <vt:lpstr>sample_wld_az2_pool_name</vt:lpstr>
      <vt:lpstr>sample_wld_az2_principal_storage_gateway_ip</vt:lpstr>
      <vt:lpstr>sample_wld_az2_principal_storage_mask</vt:lpstr>
      <vt:lpstr>sample_wld_az2_principal_storage_mtu</vt:lpstr>
      <vt:lpstr>sample_wld_az2_principal_storage_network</vt:lpstr>
      <vt:lpstr>sample_wld_az2_principal_storage_pool_end_ip</vt:lpstr>
      <vt:lpstr>sample_wld_az2_principal_storage_pool_start_ip</vt:lpstr>
      <vt:lpstr>sample_wld_az2_principal_storage_vlan</vt:lpstr>
      <vt:lpstr>sample_wld_az2_secondary_storage_gateway_ip</vt:lpstr>
      <vt:lpstr>sample_wld_az2_secondary_storage_mask</vt:lpstr>
      <vt:lpstr>sample_wld_az2_secondary_storage_mtu</vt:lpstr>
      <vt:lpstr>sample_wld_az2_secondary_storage_network</vt:lpstr>
      <vt:lpstr>sample_wld_az2_secondary_storage_pool_end_ip</vt:lpstr>
      <vt:lpstr>sample_wld_az2_secondary_storage_pool_start_ip</vt:lpstr>
      <vt:lpstr>sample_wld_az2_secondary_storage_vlan</vt:lpstr>
      <vt:lpstr>sample_wld_az2_storage_cluster_gateway_ip</vt:lpstr>
      <vt:lpstr>sample_wld_az2_storage_cluster_mask</vt:lpstr>
      <vt:lpstr>sample_wld_az2_storage_cluster_mtu</vt:lpstr>
      <vt:lpstr>sample_wld_az2_storage_cluster_network</vt:lpstr>
      <vt:lpstr>sample_wld_az2_storage_cluster_pool_end_ip</vt:lpstr>
      <vt:lpstr>sample_wld_az2_storage_cluster_pool_start_ip</vt:lpstr>
      <vt:lpstr>sample_wld_az2_storage_cluster_vlan</vt:lpstr>
      <vt:lpstr>sample_wld_az2_tor1_peer_asn</vt:lpstr>
      <vt:lpstr>sample_wld_az2_tor1_peer_bgp_password</vt:lpstr>
      <vt:lpstr>sample_wld_az2_tor1_peer_ip</vt:lpstr>
      <vt:lpstr>sample_wld_az2_tor2_peer_asn</vt:lpstr>
      <vt:lpstr>sample_wld_az2_tor2_peer_bgp_password</vt:lpstr>
      <vt:lpstr>sample_wld_az2_tor2_peer_ip</vt:lpstr>
      <vt:lpstr>sample_wld_az2_vmotion_gateway_ip</vt:lpstr>
      <vt:lpstr>sample_wld_az2_vmotion_mask</vt:lpstr>
      <vt:lpstr>sample_wld_az2_vmotion_mtu</vt:lpstr>
      <vt:lpstr>sample_wld_az2_vmotion_network</vt:lpstr>
      <vt:lpstr>sample_wld_az2_vmotion_pool_end_ip</vt:lpstr>
      <vt:lpstr>sample_wld_az2_vmotion_pool_start_ip</vt:lpstr>
      <vt:lpstr>sample_wld_az2_vmotion_vlan</vt:lpstr>
      <vt:lpstr>sample_wld_bf_nsxt_admin_password</vt:lpstr>
      <vt:lpstr>sample_wld_bf_nsxt_audit_password</vt:lpstr>
      <vt:lpstr>sample_wld_bf_nsxt_mgra_fqdn</vt:lpstr>
      <vt:lpstr>sample_wld_bf_nsxt_mgrb_fqdn</vt:lpstr>
      <vt:lpstr>sample_wld_bf_nsxt_mgrc_fqdn</vt:lpstr>
      <vt:lpstr>sample_wld_bf_nsxt_root_password</vt:lpstr>
      <vt:lpstr>sample_wld_bf_nsxt_vip_fqdn</vt:lpstr>
      <vt:lpstr>sample_wld_bf_sddc_domain</vt:lpstr>
      <vt:lpstr>sample_wld_bf_vc_fqdn</vt:lpstr>
      <vt:lpstr>sample_wld_bf_vc_root_password</vt:lpstr>
      <vt:lpstr>sample_wld_bf_vc_sso_password</vt:lpstr>
      <vt:lpstr>sample_wld_bf_vc_sso_username</vt:lpstr>
      <vt:lpstr>sample_wld_cl01_az1_mgmt_pg</vt:lpstr>
      <vt:lpstr>sample_wld_cl01_az1_mgmt_vm_pg</vt:lpstr>
      <vt:lpstr>sample_wld_cl01_az1_nsx_uplink_count</vt:lpstr>
      <vt:lpstr>sample_wld_cl01_az1_principal_storage_pg</vt:lpstr>
      <vt:lpstr>sample_wld_cl01_az1_uplink01_pg</vt:lpstr>
      <vt:lpstr>sample_wld_cl01_az1_uplink02_pg</vt:lpstr>
      <vt:lpstr>sample_wld_cl01_az1_vmotion_pg</vt:lpstr>
      <vt:lpstr>sample_wld_cl01_az1_vsan_storage_client_pg</vt:lpstr>
      <vt:lpstr>sample_wld_cl01_cluster</vt:lpstr>
      <vt:lpstr>sample_wld_cl01_cluster_sddc_id</vt:lpstr>
      <vt:lpstr>sample_wld_cl01_cluster_zn_name</vt:lpstr>
      <vt:lpstr>sample_wld_cl01_evc_mode</vt:lpstr>
      <vt:lpstr>sample_wld_cl01_image_name</vt:lpstr>
      <vt:lpstr>sample_wld_cl01_nfs_datastore_name</vt:lpstr>
      <vt:lpstr>sample_wld_cl01_nfs_server_address</vt:lpstr>
      <vt:lpstr>sample_wld_cl01_nfs_share_path</vt:lpstr>
      <vt:lpstr>sample_wld_cl01_supervisor_control_plane_ip_range</vt:lpstr>
      <vt:lpstr>sample_wld_cl01_supervisor_dns</vt:lpstr>
      <vt:lpstr>sample_wld_cl01_supervisor_name</vt:lpstr>
      <vt:lpstr>sample_wld_cl01_supervisor_nsx_project</vt:lpstr>
      <vt:lpstr>sample_wld_cl01_supervisor_ntp</vt:lpstr>
      <vt:lpstr>sample_wld_cl01_supervisor_private_transit_gateway_cidr</vt:lpstr>
      <vt:lpstr>sample_wld_cl01_supervisor_service_cidr</vt:lpstr>
      <vt:lpstr>sample_wld_cl01_supervisor_vpc_profile</vt:lpstr>
      <vt:lpstr>sample_wld_cl01_vds01_lag_name</vt:lpstr>
      <vt:lpstr>sample_wld_cl01_vds01_mtu</vt:lpstr>
      <vt:lpstr>sample_wld_cl01_vds01_name</vt:lpstr>
      <vt:lpstr>sample_wld_cl01_vds01_pnics</vt:lpstr>
      <vt:lpstr>sample_wld_cl01_vds01_uplink_count</vt:lpstr>
      <vt:lpstr>sample_wld_cl01_vds02_lag_name</vt:lpstr>
      <vt:lpstr>sample_wld_cl01_vds02_mtu</vt:lpstr>
      <vt:lpstr>sample_wld_cl01_vds02_name</vt:lpstr>
      <vt:lpstr>sample_wld_cl01_vds02_pnics</vt:lpstr>
      <vt:lpstr>sample_wld_cl01_vds02_uplink_count</vt:lpstr>
      <vt:lpstr>sample_wld_cl01_vds03_lag_name</vt:lpstr>
      <vt:lpstr>sample_wld_cl01_vds03_mtu</vt:lpstr>
      <vt:lpstr>sample_wld_cl01_vds03_name</vt:lpstr>
      <vt:lpstr>sample_wld_cl01_vds03_pnics</vt:lpstr>
      <vt:lpstr>sample_wld_cl01_vds03_uplink_count</vt:lpstr>
      <vt:lpstr>sample_wld_cl01_vmfs_datastore_name</vt:lpstr>
      <vt:lpstr>sample_wld_cl01_vsan_datastore</vt:lpstr>
      <vt:lpstr>sample_wld_cl01_vsan_dit_rekey_custom_interval</vt:lpstr>
      <vt:lpstr>sample_wld_cl01_vsan_dit_rekey_default_interval</vt:lpstr>
      <vt:lpstr>sample_wld_datacenter</vt:lpstr>
      <vt:lpstr>sample_wld_day2_vnaa_cidr</vt:lpstr>
      <vt:lpstr>sample_wld_day2_vnaa_fqdn</vt:lpstr>
      <vt:lpstr>sample_wld_day2_vnab_cidr</vt:lpstr>
      <vt:lpstr>sample_wld_day2_vnab_fqdn</vt:lpstr>
      <vt:lpstr>sample_wld_ec_mtu</vt:lpstr>
      <vt:lpstr>sample_wld_ec_name</vt:lpstr>
      <vt:lpstr>sample_wld_ec_rp_name</vt:lpstr>
      <vt:lpstr>sample_wld_ec01_en01_host_group_affinity_rule_name</vt:lpstr>
      <vt:lpstr>sample_wld_ec01_en02_host_group_affinity_rule_name</vt:lpstr>
      <vt:lpstr>sample_wld_en_asn</vt:lpstr>
      <vt:lpstr>sample_wld_esx_root_password</vt:lpstr>
      <vt:lpstr>sample_wld_esx_root_username</vt:lpstr>
      <vt:lpstr>sample_wld_existing_active_nsx_gm</vt:lpstr>
      <vt:lpstr>sample_wld_existing_cross_instance_t0_name</vt:lpstr>
      <vt:lpstr>sample_wld_host_overlay_transportzone</vt:lpstr>
      <vt:lpstr>sample_wld_nsx_vlan_transport_zone_name</vt:lpstr>
      <vt:lpstr>sample_wld_nsxt_en_admin_password</vt:lpstr>
      <vt:lpstr>sample_wld_nsxt_en_root_password</vt:lpstr>
      <vt:lpstr>sample_wld_nsxt_federation_global_manager_name</vt:lpstr>
      <vt:lpstr>sample_wld_nsxt_federation_location_name</vt:lpstr>
      <vt:lpstr>sample_wld_nsxt_global_mgr_anti_affinity_rule_name</vt:lpstr>
      <vt:lpstr>sample_wld_nsxt_global_mgr_certificate_id</vt:lpstr>
      <vt:lpstr>sample_wld_nsxt_global_mgr_cluster_id</vt:lpstr>
      <vt:lpstr>sample_wld_nsxt_global_mgr_vmca_signed_thumbprint</vt:lpstr>
      <vt:lpstr>sample_wld_nsxt_global_mgra_fqdn</vt:lpstr>
      <vt:lpstr>sample_wld_nsxt_global_mgra_hostname</vt:lpstr>
      <vt:lpstr>sample_wld_nsxt_global_mgra_ip</vt:lpstr>
      <vt:lpstr>sample_wld_nsxt_global_mgrb_fqdn</vt:lpstr>
      <vt:lpstr>sample_wld_nsxt_global_mgrb_hostname</vt:lpstr>
      <vt:lpstr>sample_wld_nsxt_global_mgrb_ip</vt:lpstr>
      <vt:lpstr>sample_wld_nsxt_global_mgrc_fqdn</vt:lpstr>
      <vt:lpstr>sample_wld_nsxt_global_mgrc_hostname</vt:lpstr>
      <vt:lpstr>sample_wld_nsxt_global_mgrc_ip</vt:lpstr>
      <vt:lpstr>sample_wld_nsxt_gm_admin_password</vt:lpstr>
      <vt:lpstr>sample_wld_nsxt_gm_audit_password</vt:lpstr>
      <vt:lpstr>sample_wld_nsxt_gm_fingerprint</vt:lpstr>
      <vt:lpstr>sample_wld_nsxt_gm_root_password</vt:lpstr>
      <vt:lpstr>sample_wld_nsxt_gm_vip_fqdn</vt:lpstr>
      <vt:lpstr>sample_wld_nsxt_gm_vip_ip</vt:lpstr>
      <vt:lpstr>sample_wld_nsxt_lm_admin_password</vt:lpstr>
      <vt:lpstr>sample_wld_nsxt_lm_audit_password</vt:lpstr>
      <vt:lpstr>sample_wld_nsxt_lm_fingerprint</vt:lpstr>
      <vt:lpstr>sample_wld_nsxt_mgra_fqdn</vt:lpstr>
      <vt:lpstr>sample_wld_nsxt_mgra_ip</vt:lpstr>
      <vt:lpstr>sample_wld_nsxt_mgrb_fqdn</vt:lpstr>
      <vt:lpstr>sample_wld_nsxt_mgrb_ip</vt:lpstr>
      <vt:lpstr>sample_wld_nsxt_mgrc_fqdn</vt:lpstr>
      <vt:lpstr>sample_wld_nsxt_mgrc_ip</vt:lpstr>
      <vt:lpstr>sample_wld_nsxt_vip_fqdn</vt:lpstr>
      <vt:lpstr>sample_wld_nsxt_vip_ip</vt:lpstr>
      <vt:lpstr>sample_wld_nsxt_xreg_t1_name</vt:lpstr>
      <vt:lpstr>sample_wld_rack2_en_asn</vt:lpstr>
      <vt:lpstr>sample_wld_rack3_en_asn</vt:lpstr>
      <vt:lpstr>sample_wld_rack4_en_asn</vt:lpstr>
      <vt:lpstr>sample_wld_rack5_en_asn</vt:lpstr>
      <vt:lpstr>sample_wld_rack6_en_asn</vt:lpstr>
      <vt:lpstr>sample_wld_rack7_en_asn</vt:lpstr>
      <vt:lpstr>sample_wld_rack8_en_asn</vt:lpstr>
      <vt:lpstr>sample_wld_rtep_overlay_pool_end_ip</vt:lpstr>
      <vt:lpstr>sample_wld_rtep_overlay_pool_start_ip</vt:lpstr>
      <vt:lpstr>sample_wld_rwr_az1_vrms_gateway_ip</vt:lpstr>
      <vt:lpstr>sample_wld_rwr_az1_vrms_gateway_mask</vt:lpstr>
      <vt:lpstr>sample_wld_rwr_cl02_cluster</vt:lpstr>
      <vt:lpstr>sample_wld_rwr_cl02_vds01</vt:lpstr>
      <vt:lpstr>sample_wld_rwr_recovery_site_az1_vrms_cidr</vt:lpstr>
      <vt:lpstr>sample_wld_rwr_recovery_site_nsx_ec_name</vt:lpstr>
      <vt:lpstr>sample_wld_rwr_recovery_site_nsx_ec_t0_name</vt:lpstr>
      <vt:lpstr>sample_wld_rwr_recovery_site_nsx_ec_t1_name</vt:lpstr>
      <vt:lpstr>sample_wld_rwr_recovery_site_nsx_fqdn</vt:lpstr>
      <vt:lpstr>sample_wld_rwr_recovery_site_vc_fqdn</vt:lpstr>
      <vt:lpstr>sample_wld_rwr_recoverysite_fd</vt:lpstr>
      <vt:lpstr>sample_wld_rwr_vc_fqdn</vt:lpstr>
      <vt:lpstr>sample_wld_rwr_vcfops_vlsr_username</vt:lpstr>
      <vt:lpstr>sample_wld_rwr_vcfops_vr_username</vt:lpstr>
      <vt:lpstr>sample_wld_sddc_domain</vt:lpstr>
      <vt:lpstr>sample_wld_srm_admin_email</vt:lpstr>
      <vt:lpstr>sample_wld_srm_admin_password</vt:lpstr>
      <vt:lpstr>sample_wld_srm_database_password</vt:lpstr>
      <vt:lpstr>sample_wld_srm_hostname</vt:lpstr>
      <vt:lpstr>sample_wld_srm_ip</vt:lpstr>
      <vt:lpstr>sample_wld_srm_p12_password</vt:lpstr>
      <vt:lpstr>sample_wld_srm_recovery_vcenter_fqdn</vt:lpstr>
      <vt:lpstr>sample_wld_srm_recovery_vcenter_password</vt:lpstr>
      <vt:lpstr>sample_wld_srm_recovery_vcenter_username</vt:lpstr>
      <vt:lpstr>sample_wld_srm_root_password</vt:lpstr>
      <vt:lpstr>sample_wld_srm_site_name</vt:lpstr>
      <vt:lpstr>sample_wld_srm_sso_domain_membership</vt:lpstr>
      <vt:lpstr>sample_wld_srm_vm_folder</vt:lpstr>
      <vt:lpstr>sample_wld_sso_domain_name</vt:lpstr>
      <vt:lpstr>sample_wld_supvr_api_server_fqdn</vt:lpstr>
      <vt:lpstr>sample_wld_supvr_cp_storage_policy</vt:lpstr>
      <vt:lpstr>sample_wld_supvr_ed_storage_policy</vt:lpstr>
      <vt:lpstr>sample_wld_supvr_ic_storage_policy</vt:lpstr>
      <vt:lpstr>sample_wld_supvr_ip_address_range</vt:lpstr>
      <vt:lpstr>sample_wld_supvr_mgmt_dns_server</vt:lpstr>
      <vt:lpstr>sample_wld_supvr_mgmt_dns_zones</vt:lpstr>
      <vt:lpstr>sample_wld_supvr_mgmt_ntp_server</vt:lpstr>
      <vt:lpstr>sample_wld_supvr_name</vt:lpstr>
      <vt:lpstr>sample_wld_supvr_nsx_project</vt:lpstr>
      <vt:lpstr>sample_wld_supvr_vpc_connectivity_profile</vt:lpstr>
      <vt:lpstr>sample_wld_supvr_vpc_ext_ip_blocks_name</vt:lpstr>
      <vt:lpstr>sample_wld_supvr_vpc_priv_cidr</vt:lpstr>
      <vt:lpstr>sample_wld_supvr_vpc_priv_ip_blocks_name</vt:lpstr>
      <vt:lpstr>sample_wld_supvr_vpc_service_cidr</vt:lpstr>
      <vt:lpstr>sample_wld_supvr_wld_dns_server</vt:lpstr>
      <vt:lpstr>sample_wld_supvr_wld_ntp_server</vt:lpstr>
      <vt:lpstr>sample_wld_supvr_zone_name</vt:lpstr>
      <vt:lpstr>sample_wld_tier0_name</vt:lpstr>
      <vt:lpstr>sample_wld_vc_fqdn</vt:lpstr>
      <vt:lpstr>sample_wld_vc_ip</vt:lpstr>
      <vt:lpstr>sample_wld_vcenter_root_password</vt:lpstr>
      <vt:lpstr>sample_wld_vlr_admin_password</vt:lpstr>
      <vt:lpstr>sample_wld_vlr_fqdn</vt:lpstr>
      <vt:lpstr>sample_wld_vlr_hostname</vt:lpstr>
      <vt:lpstr>sample_wld_vlr_mgmt_ip</vt:lpstr>
      <vt:lpstr>sample_wld_vlr_replication_user</vt:lpstr>
      <vt:lpstr>sample_wld_vlr_root_password</vt:lpstr>
      <vt:lpstr>sample_wld_vna_rp_name</vt:lpstr>
      <vt:lpstr>sample_wld_vnaa_fqdn</vt:lpstr>
      <vt:lpstr>sample_wld_vnaa_ip</vt:lpstr>
      <vt:lpstr>sample_wld_vnab_fqdn</vt:lpstr>
      <vt:lpstr>sample_wld_vnab_ip</vt:lpstr>
      <vt:lpstr>sample_wld_vpc_ext_ip_blocks_cidr</vt:lpstr>
      <vt:lpstr>sample_wld_vpc_ext_ip_blocks_excluded_ips</vt:lpstr>
      <vt:lpstr>sample_wld_vpc_ext_ip_blocks_name</vt:lpstr>
      <vt:lpstr>sample_wld_vpc_ext_ip_blocks_reserved</vt:lpstr>
      <vt:lpstr>sample_wld_vpc_ext_ip_blocks_visability</vt:lpstr>
      <vt:lpstr>sample_wld_vpc_priv_ip_blocks_excluded_ips</vt:lpstr>
      <vt:lpstr>sample_wld_vpc_priv_ip_blocks_name</vt:lpstr>
      <vt:lpstr>sample_wld_vpc_priv_ip_blocks_reserved</vt:lpstr>
      <vt:lpstr>sample_wld_vpc_priv_ip_blocks_visability</vt:lpstr>
      <vt:lpstr>sample_wld_vpc_transit_gateway_ip_blocks_cidr</vt:lpstr>
      <vt:lpstr>sample_wld_vpc_vna_cluster_name</vt:lpstr>
      <vt:lpstr>sample_wld_vrms_admin_email</vt:lpstr>
      <vt:lpstr>sample_wld_vrms_admin_password</vt:lpstr>
      <vt:lpstr>sample_wld_vrms_hostname</vt:lpstr>
      <vt:lpstr>sample_wld_vrms_mgmt_ip</vt:lpstr>
      <vt:lpstr>sample_wld_vrms_p12_password</vt:lpstr>
      <vt:lpstr>sample_wld_vrms_pg</vt:lpstr>
      <vt:lpstr>sample_wld_vrms_recovery_replication_cidr</vt:lpstr>
      <vt:lpstr>sample_wld_vrms_root_password</vt:lpstr>
      <vt:lpstr>sample_wld_vrms_site_name</vt:lpstr>
      <vt:lpstr>sample_wld_vrms_vm_folder</vt:lpstr>
      <vt:lpstr>sample_wld_vrms_vrms_ip</vt:lpstr>
      <vt:lpstr>sample_wld_witness_cluster</vt:lpstr>
      <vt:lpstr>sample_wld_witness_dns1_ip</vt:lpstr>
      <vt:lpstr>sample_wld_witness_dns2_ip</vt:lpstr>
      <vt:lpstr>sample_wld_witness_fqdn</vt:lpstr>
      <vt:lpstr>sample_wld_witness_hostname</vt:lpstr>
      <vt:lpstr>sample_wld_witness_ip</vt:lpstr>
      <vt:lpstr>sample_wld_witness_mgmt_pg</vt:lpstr>
      <vt:lpstr>sample_wld_witness_ntp1_server</vt:lpstr>
      <vt:lpstr>sample_wld_witness_ntp2_server</vt:lpstr>
      <vt:lpstr>sample_wld_witness_root_password</vt:lpstr>
      <vt:lpstr>sample_wld_witness_vm_folder</vt:lpstr>
      <vt:lpstr>sample_wld_witness_vsan_datastore</vt:lpstr>
      <vt:lpstr>sample_wld_witness_zone_vc_fqdn</vt:lpstr>
      <vt:lpstr>sample_wld_witness_zone_vc_ip</vt:lpstr>
      <vt:lpstr>sample_wld_witnessaz_mgmt_cidr</vt:lpstr>
      <vt:lpstr>sample_wld_witnessaz_mgmt_gateway_ip</vt:lpstr>
      <vt:lpstr>sample_wld_witnessaz_mgmt_mtu</vt:lpstr>
      <vt:lpstr>sample_wld_witnessaz_mgmt_vlan</vt:lpstr>
      <vt:lpstr>sample_xreg_seg01_name</vt:lpstr>
      <vt:lpstr>sample_xreg_vra_admin_password</vt:lpstr>
      <vt:lpstr>sample_xreg_vra_virtual_fqdn</vt:lpstr>
      <vt:lpstr>sample_xreg_vra_virtual_ip</vt:lpstr>
      <vt:lpstr>sample_xreg_vra_vm_folder</vt:lpstr>
      <vt:lpstr>sample_xreg_vrops_admin_password</vt:lpstr>
      <vt:lpstr>sample_xreg_vrops_collector_fqdn</vt:lpstr>
      <vt:lpstr>sample_xreg_vrops_collector_ip</vt:lpstr>
      <vt:lpstr>sample_xreg_vrops_collector_root_password</vt:lpstr>
      <vt:lpstr>sample_xreg_vrops_nodea_fqdn</vt:lpstr>
      <vt:lpstr>sample_xreg_vrops_nodea_ip</vt:lpstr>
      <vt:lpstr>sample_xreg_vrops_nodeb_fqdn</vt:lpstr>
      <vt:lpstr>sample_xreg_vrops_nodeb_ip</vt:lpstr>
      <vt:lpstr>sample_xreg_vrops_nodec_fqdn</vt:lpstr>
      <vt:lpstr>sample_xreg_vrops_nodec_ip</vt:lpstr>
      <vt:lpstr>sample_xreg_vrops_root_password</vt:lpstr>
      <vt:lpstr>sample_xreg_vrops_srm_sso_password</vt:lpstr>
      <vt:lpstr>sample_xreg_vrops_srm_sso_username</vt:lpstr>
      <vt:lpstr>sample_xreg_vrops_virtual_fqdn</vt:lpstr>
      <vt:lpstr>sample_xreg_vrops_virtual_ip</vt:lpstr>
      <vt:lpstr>sample_xreg_vrops_vm_folder</vt:lpstr>
      <vt:lpstr>sample_xreg_vrops_vrms_sso_password</vt:lpstr>
      <vt:lpstr>sample_xreg_vrops_vrms_sso_username</vt:lpstr>
      <vt:lpstr>sample_xreg_wsa_vm_folder</vt:lpstr>
      <vt:lpstr>sample_xregion_dns1_ip</vt:lpstr>
      <vt:lpstr>sample_xregion_dns2_ip</vt:lpstr>
      <vt:lpstr>sample_xregion_ntp1_server</vt:lpstr>
      <vt:lpstr>sample_xregion_ntp2_server</vt:lpstr>
      <vt:lpstr>sddc_mgr_admin_local_password</vt:lpstr>
      <vt:lpstr>sddc_mgr_fqdn</vt:lpstr>
      <vt:lpstr>sddc_mgr_hostname</vt:lpstr>
      <vt:lpstr>sddc_mgr_ip</vt:lpstr>
      <vt:lpstr>sddc_mgr_root_password</vt:lpstr>
      <vt:lpstr>sddc_mgr_vcf_password</vt:lpstr>
      <vt:lpstr>sddc_mgr_vcf_username</vt:lpstr>
      <vt:lpstr>sftp_server</vt:lpstr>
      <vt:lpstr>sftp_server_backup_dir</vt:lpstr>
      <vt:lpstr>sftp_server_ip</vt:lpstr>
      <vt:lpstr>sftp_server_passphrase</vt:lpstr>
      <vt:lpstr>sftp_server_port</vt:lpstr>
      <vt:lpstr>sftp_server_protocol</vt:lpstr>
      <vt:lpstr>sftp_server_sshfingerprint</vt:lpstr>
      <vt:lpstr>shared_edge_and_compute</vt:lpstr>
      <vt:lpstr>sizing_advanced_m01_nsxt_appliance_size</vt:lpstr>
      <vt:lpstr>sizing_advanced_m01_nsxt_model</vt:lpstr>
      <vt:lpstr>sizing_advanced_m01_vcenter_appliance_size</vt:lpstr>
      <vt:lpstr>sizing_advanced_m01_vcenter_storage_size_chosen</vt:lpstr>
      <vt:lpstr>sizing_advanced_mgmt_chosen</vt:lpstr>
      <vt:lpstr>sizing_advanced_vcfauto_chosen</vt:lpstr>
      <vt:lpstr>sizing_advanced_vcfops_collector_chosen</vt:lpstr>
      <vt:lpstr>sizing_advanced_vcfops_model_chosen</vt:lpstr>
      <vt:lpstr>sizing_advanced_vcfops_size_chosen</vt:lpstr>
      <vt:lpstr>sizing_cbr_cpu</vt:lpstr>
      <vt:lpstr>sizing_cbr_disk</vt:lpstr>
      <vt:lpstr>sizing_cbr_ram</vt:lpstr>
      <vt:lpstr>sizing_ccm_hcx_cpu</vt:lpstr>
      <vt:lpstr>sizing_ccm_hcx_disk</vt:lpstr>
      <vt:lpstr>sizing_ccm_hcx_ram</vt:lpstr>
      <vt:lpstr>sizing_cpu_oversubscription</vt:lpstr>
      <vt:lpstr>sizing_disk_groups_per_host</vt:lpstr>
      <vt:lpstr>sizing_estimated_growth</vt:lpstr>
      <vt:lpstr>sizing_hrm_hvm_cpu</vt:lpstr>
      <vt:lpstr>sizing_hrm_hvm_disk</vt:lpstr>
      <vt:lpstr>sizing_hrm_hvm_ram</vt:lpstr>
      <vt:lpstr>sizing_inv_cpu</vt:lpstr>
      <vt:lpstr>sizing_inv_platform_node_cpu</vt:lpstr>
      <vt:lpstr>sizing_log_replicas_large</vt:lpstr>
      <vt:lpstr>sizing_log_replicas_medium</vt:lpstr>
      <vt:lpstr>sizing_log_replicas_small</vt:lpstr>
      <vt:lpstr>sizing_m01_included</vt:lpstr>
      <vt:lpstr>sizing_m01_nsxt_appliance_size</vt:lpstr>
      <vt:lpstr>sizing_m01_nsxt_edge_size</vt:lpstr>
      <vt:lpstr>sizing_m01_nsxt_gm_appliance_size</vt:lpstr>
      <vt:lpstr>sizing_m01_nsxt_gm_appliance_size_chosen</vt:lpstr>
      <vt:lpstr>sizing_m01_nsxt_model</vt:lpstr>
      <vt:lpstr>sizing_m01_ssp_chosen</vt:lpstr>
      <vt:lpstr>sizing_m01_vcenter_appliance_size</vt:lpstr>
      <vt:lpstr>sizing_m01_vcenter_storage_size_chosen</vt:lpstr>
      <vt:lpstr>sizing_mgmt_avi_lb_appliance_size</vt:lpstr>
      <vt:lpstr>sizing_mgmt_avilb_cluster_chosen</vt:lpstr>
      <vt:lpstr>sizing_mgmt_cluster_host_core_count</vt:lpstr>
      <vt:lpstr>sizing_mgmt_cluster_host_ram_count</vt:lpstr>
      <vt:lpstr>sizing_nsxt_edge_sizing_list</vt:lpstr>
      <vt:lpstr>sizing_nsxt_manager_size_list</vt:lpstr>
      <vt:lpstr>sizing_ram_oversubscription</vt:lpstr>
      <vt:lpstr>sizing_sddc_manager_cpu</vt:lpstr>
      <vt:lpstr>sizing_sddc_manager_disk</vt:lpstr>
      <vt:lpstr>sizing_sddc_manager_ram</vt:lpstr>
      <vt:lpstr>sizing_storage_type</vt:lpstr>
      <vt:lpstr>sizing_table_ssp_lic_cpu</vt:lpstr>
      <vt:lpstr>sizing_table_ssp_lic_disk</vt:lpstr>
      <vt:lpstr>sizing_table_ssp_lic_ram</vt:lpstr>
      <vt:lpstr>sizing_vcenter_appliance_size_list</vt:lpstr>
      <vt:lpstr>sizing_vcenter_storage_size_list</vt:lpstr>
      <vt:lpstr>sizing_vcf_deployment_model</vt:lpstr>
      <vt:lpstr>sizing_vcf_deployment_model_chosen</vt:lpstr>
      <vt:lpstr>sizing_vcf_deployment_model_small</vt:lpstr>
      <vt:lpstr>sizing_vcf_deployment_size_chosen</vt:lpstr>
      <vt:lpstr>sizing_vcf_instance_model</vt:lpstr>
      <vt:lpstr>sizing_vcfauto_chosen</vt:lpstr>
      <vt:lpstr>sizing_vcfms_chosen</vt:lpstr>
      <vt:lpstr>sizing_vcfops_collector_chosen</vt:lpstr>
      <vt:lpstr>sizing_vcfops_ha_chosen</vt:lpstr>
      <vt:lpstr>sizing_vcfops_logs_chosen</vt:lpstr>
      <vt:lpstr>sizing_vcfops_logs_replica_count_chosen</vt:lpstr>
      <vt:lpstr>sizing_vcfops_net_chosen</vt:lpstr>
      <vt:lpstr>sizing_vcfrtm_chosen</vt:lpstr>
      <vt:lpstr>sizing_vcfsd_chosen</vt:lpstr>
      <vt:lpstr>sizing_vcfvidb_chosen</vt:lpstr>
      <vt:lpstr>sizing_vdefend_licensing_hub_chosen</vt:lpstr>
      <vt:lpstr>sizing_virtual_machine_overhead</vt:lpstr>
      <vt:lpstr>sizing_vm_cpu_requirements</vt:lpstr>
      <vt:lpstr>sizing_vm_ram_requirements</vt:lpstr>
      <vt:lpstr>sizing_vm_storage_requirements</vt:lpstr>
      <vt:lpstr>sizing_w01_avi_appliance_size</vt:lpstr>
      <vt:lpstr>sizing_w01_chosen</vt:lpstr>
      <vt:lpstr>sizing_w01_gm_chosen</vt:lpstr>
      <vt:lpstr>sizing_w01_nsxt_appliance_size</vt:lpstr>
      <vt:lpstr>sizing_w01_nsxt_gm_appliance_size</vt:lpstr>
      <vt:lpstr>sizing_w01_nsxt_model</vt:lpstr>
      <vt:lpstr>sizing_w01_spr_chosen</vt:lpstr>
      <vt:lpstr>sizing_w01_ssp_chosen</vt:lpstr>
      <vt:lpstr>sizing_w01_vcenter_appliance_size</vt:lpstr>
      <vt:lpstr>sizing_w01_vcenter_storage_size</vt:lpstr>
      <vt:lpstr>sizing_w02_avi_appliance_size</vt:lpstr>
      <vt:lpstr>sizing_w02_chosen</vt:lpstr>
      <vt:lpstr>sizing_w02_gm_chosen</vt:lpstr>
      <vt:lpstr>sizing_w02_nsxt_appliance_size</vt:lpstr>
      <vt:lpstr>sizing_w02_nsxt_gm_appliance_size</vt:lpstr>
      <vt:lpstr>sizing_w02_nsxt_model</vt:lpstr>
      <vt:lpstr>sizing_w02_spr_chosen</vt:lpstr>
      <vt:lpstr>sizing_w02_ssp_chosen</vt:lpstr>
      <vt:lpstr>sizing_w02_vcenter_appliance_size</vt:lpstr>
      <vt:lpstr>sizing_w02_vcenter_storage_size</vt:lpstr>
      <vt:lpstr>sizing_w03_avi_appliance_size</vt:lpstr>
      <vt:lpstr>sizing_w03_chosen</vt:lpstr>
      <vt:lpstr>sizing_w03_gm_chosen</vt:lpstr>
      <vt:lpstr>sizing_w03_nsxt_appliance_size</vt:lpstr>
      <vt:lpstr>sizing_w03_nsxt_gm_appliance_size</vt:lpstr>
      <vt:lpstr>sizing_w03_nsxt_model</vt:lpstr>
      <vt:lpstr>sizing_w03_spr_chosen</vt:lpstr>
      <vt:lpstr>sizing_w03_ssp_chosen</vt:lpstr>
      <vt:lpstr>sizing_w03_vcenter_appliance_size</vt:lpstr>
      <vt:lpstr>sizing_w03_vcenter_storage_size</vt:lpstr>
      <vt:lpstr>sizing_w04_avi_appliance_size</vt:lpstr>
      <vt:lpstr>sizing_w04_chosen</vt:lpstr>
      <vt:lpstr>sizing_w04_gm_chosen</vt:lpstr>
      <vt:lpstr>sizing_w04_nsxt_appliance_size</vt:lpstr>
      <vt:lpstr>sizing_w04_nsxt_gm_appliance_size</vt:lpstr>
      <vt:lpstr>sizing_w04_nsxt_model</vt:lpstr>
      <vt:lpstr>sizing_w04_spr_chosen</vt:lpstr>
      <vt:lpstr>sizing_w04_ssp_chosen</vt:lpstr>
      <vt:lpstr>sizing_w04_vcenter_appliance_size</vt:lpstr>
      <vt:lpstr>sizing_w04_vcenter_storage_size</vt:lpstr>
      <vt:lpstr>sizing_w05_avi_appliance_size</vt:lpstr>
      <vt:lpstr>sizing_w05_chosen</vt:lpstr>
      <vt:lpstr>sizing_w05_gm_chosen</vt:lpstr>
      <vt:lpstr>sizing_w05_nsxt_appliance_size</vt:lpstr>
      <vt:lpstr>sizing_w05_nsxt_gm_appliance_size</vt:lpstr>
      <vt:lpstr>sizing_w05_nsxt_model</vt:lpstr>
      <vt:lpstr>sizing_w05_spr_chosen</vt:lpstr>
      <vt:lpstr>sizing_w05_ssp_chosen</vt:lpstr>
      <vt:lpstr>sizing_w05_vcenter_appliance_size</vt:lpstr>
      <vt:lpstr>sizing_w05_vcenter_storage_size</vt:lpstr>
      <vt:lpstr>sizing_w06_avi_appliance_size</vt:lpstr>
      <vt:lpstr>sizing_w06_chosen</vt:lpstr>
      <vt:lpstr>sizing_w06_gm_chosen</vt:lpstr>
      <vt:lpstr>sizing_w06_nsxt_appliance_size</vt:lpstr>
      <vt:lpstr>sizing_w06_nsxt_gm_appliance_size</vt:lpstr>
      <vt:lpstr>sizing_w06_nsxt_model</vt:lpstr>
      <vt:lpstr>sizing_w06_spr_chosen</vt:lpstr>
      <vt:lpstr>sizing_w06_ssp_chosen</vt:lpstr>
      <vt:lpstr>sizing_w06_vcenter_appliance_size</vt:lpstr>
      <vt:lpstr>sizing_w06_vcenter_storage_size</vt:lpstr>
      <vt:lpstr>sizing_w07_avi_appliance_size</vt:lpstr>
      <vt:lpstr>sizing_w07_chosen</vt:lpstr>
      <vt:lpstr>sizing_w07_gm_chosen</vt:lpstr>
      <vt:lpstr>sizing_w07_nsxt_appliance_size</vt:lpstr>
      <vt:lpstr>sizing_w07_nsxt_gm_appliance_size</vt:lpstr>
      <vt:lpstr>sizing_w07_nsxt_model</vt:lpstr>
      <vt:lpstr>sizing_w07_spr_chosen</vt:lpstr>
      <vt:lpstr>sizing_w07_ssp_chosen</vt:lpstr>
      <vt:lpstr>sizing_w07_vcenter_appliance_size</vt:lpstr>
      <vt:lpstr>sizing_w07_vcenter_storage_size</vt:lpstr>
      <vt:lpstr>sizing_w08_avi_appliance_size</vt:lpstr>
      <vt:lpstr>sizing_w08_chosen</vt:lpstr>
      <vt:lpstr>sizing_w08_gm_chosen</vt:lpstr>
      <vt:lpstr>sizing_w08_nsxt_appliance_size</vt:lpstr>
      <vt:lpstr>sizing_w08_nsxt_gm_appliance_size</vt:lpstr>
      <vt:lpstr>sizing_w08_nsxt_model</vt:lpstr>
      <vt:lpstr>sizing_w08_spr_chosen</vt:lpstr>
      <vt:lpstr>sizing_w08_ssp_chosen</vt:lpstr>
      <vt:lpstr>sizing_w08_vcenter_appliance_size</vt:lpstr>
      <vt:lpstr>sizing_w08_vcenter_storage_size</vt:lpstr>
      <vt:lpstr>sizing_w09_avi_appliance_size</vt:lpstr>
      <vt:lpstr>sizing_w09_chosen</vt:lpstr>
      <vt:lpstr>sizing_w09_gm_chosen</vt:lpstr>
      <vt:lpstr>sizing_w09_nsxt_appliance_size</vt:lpstr>
      <vt:lpstr>sizing_w09_nsxt_gm_appliance_size</vt:lpstr>
      <vt:lpstr>sizing_w09_nsxt_model</vt:lpstr>
      <vt:lpstr>sizing_w09_spr_chosen</vt:lpstr>
      <vt:lpstr>sizing_w09_ssp_chosen</vt:lpstr>
      <vt:lpstr>sizing_w09_vcenter_appliance_size</vt:lpstr>
      <vt:lpstr>sizing_w09_vcenter_storage_size</vt:lpstr>
      <vt:lpstr>sizing_w10_avi_appliance_size</vt:lpstr>
      <vt:lpstr>sizing_w10_chosen</vt:lpstr>
      <vt:lpstr>sizing_w10_gm_chosen</vt:lpstr>
      <vt:lpstr>sizing_w10_nsxt_appliance_size</vt:lpstr>
      <vt:lpstr>sizing_w10_nsxt_gm_appliance_size</vt:lpstr>
      <vt:lpstr>sizing_w10_nsxt_model</vt:lpstr>
      <vt:lpstr>sizing_w10_spr_chosen</vt:lpstr>
      <vt:lpstr>sizing_w10_ssp_chosen</vt:lpstr>
      <vt:lpstr>sizing_w10_vcenter_appliance_size</vt:lpstr>
      <vt:lpstr>sizing_w10_vcenter_storage_size</vt:lpstr>
      <vt:lpstr>sizing_w11_avi_appliance_size</vt:lpstr>
      <vt:lpstr>sizing_w11_chosen</vt:lpstr>
      <vt:lpstr>sizing_w11_gm_chosen</vt:lpstr>
      <vt:lpstr>sizing_w11_nsxt_appliance_size</vt:lpstr>
      <vt:lpstr>sizing_w11_nsxt_gm_appliance_size</vt:lpstr>
      <vt:lpstr>sizing_w11_nsxt_model</vt:lpstr>
      <vt:lpstr>sizing_w11_spr_chosen</vt:lpstr>
      <vt:lpstr>sizing_w11_ssp_chosen</vt:lpstr>
      <vt:lpstr>sizing_w11_vcenter_appliance_size</vt:lpstr>
      <vt:lpstr>sizing_w11_vcenter_storage_size</vt:lpstr>
      <vt:lpstr>sizing_w12_avi_appliance_size</vt:lpstr>
      <vt:lpstr>sizing_w12_chosen</vt:lpstr>
      <vt:lpstr>sizing_w12_gm_chosen</vt:lpstr>
      <vt:lpstr>sizing_w12_nsxt_appliance_size</vt:lpstr>
      <vt:lpstr>sizing_w12_nsxt_gm_appliance_size</vt:lpstr>
      <vt:lpstr>sizing_w12_nsxt_model</vt:lpstr>
      <vt:lpstr>sizing_w12_spr_chosen</vt:lpstr>
      <vt:lpstr>sizing_w12_ssp_chosen</vt:lpstr>
      <vt:lpstr>sizing_w12_vcenter_appliance_size</vt:lpstr>
      <vt:lpstr>sizing_w12_vcenter_storage_size</vt:lpstr>
      <vt:lpstr>sizing_w13_avi_appliance_size</vt:lpstr>
      <vt:lpstr>sizing_w13_chosen</vt:lpstr>
      <vt:lpstr>sizing_w13_gm_chosen</vt:lpstr>
      <vt:lpstr>sizing_w13_nsxt_appliance_size</vt:lpstr>
      <vt:lpstr>sizing_w13_nsxt_gm_appliance_size</vt:lpstr>
      <vt:lpstr>sizing_w13_nsxt_model</vt:lpstr>
      <vt:lpstr>sizing_w13_spr_chosen</vt:lpstr>
      <vt:lpstr>sizing_w13_ssp_chosen</vt:lpstr>
      <vt:lpstr>sizing_w13_vcenter_appliance_size</vt:lpstr>
      <vt:lpstr>sizing_w13_vcenter_storage_size</vt:lpstr>
      <vt:lpstr>sizing_w14_avi_appliance_size</vt:lpstr>
      <vt:lpstr>sizing_w14_chosen</vt:lpstr>
      <vt:lpstr>sizing_w14_gm_chosen</vt:lpstr>
      <vt:lpstr>sizing_w14_nsxt_appliance_size</vt:lpstr>
      <vt:lpstr>sizing_w14_nsxt_gm_appliance_size</vt:lpstr>
      <vt:lpstr>sizing_w14_nsxt_model</vt:lpstr>
      <vt:lpstr>sizing_w14_spr_chosen</vt:lpstr>
      <vt:lpstr>sizing_w14_ssp_chosen</vt:lpstr>
      <vt:lpstr>sizing_w14_vcenter_appliance_size</vt:lpstr>
      <vt:lpstr>sizing_w14_vcenter_storage_size</vt:lpstr>
      <vt:lpstr>sizing_w15_avi_appliance_size</vt:lpstr>
      <vt:lpstr>sizing_w15_chosen</vt:lpstr>
      <vt:lpstr>sizing_w15_gm_chosen</vt:lpstr>
      <vt:lpstr>sizing_w15_nsxt_appliance_size</vt:lpstr>
      <vt:lpstr>sizing_w15_nsxt_gm_appliance_size</vt:lpstr>
      <vt:lpstr>sizing_w15_nsxt_model</vt:lpstr>
      <vt:lpstr>sizing_w15_spr_chosen</vt:lpstr>
      <vt:lpstr>sizing_w15_ssp_chosen</vt:lpstr>
      <vt:lpstr>sizing_w15_vcenter_appliance_size</vt:lpstr>
      <vt:lpstr>sizing_w15_vcenter_storage_size</vt:lpstr>
      <vt:lpstr>sizing_w16_avi_appliance_size</vt:lpstr>
      <vt:lpstr>sizing_w16_chosen</vt:lpstr>
      <vt:lpstr>sizing_w16_gm_chosen</vt:lpstr>
      <vt:lpstr>sizing_w16_nsxt_appliance_size</vt:lpstr>
      <vt:lpstr>sizing_w16_nsxt_gm_appliance_size</vt:lpstr>
      <vt:lpstr>sizing_w16_nsxt_model</vt:lpstr>
      <vt:lpstr>sizing_w16_spr_chosen</vt:lpstr>
      <vt:lpstr>sizing_w16_ssp_chosen</vt:lpstr>
      <vt:lpstr>sizing_w16_vcenter_appliance_size</vt:lpstr>
      <vt:lpstr>sizing_w16_vcenter_storage_size</vt:lpstr>
      <vt:lpstr>sizing_w17_avi_appliance_size</vt:lpstr>
      <vt:lpstr>sizing_w17_chosen</vt:lpstr>
      <vt:lpstr>sizing_w17_gm_chosen</vt:lpstr>
      <vt:lpstr>sizing_w17_nsxt_appliance_size</vt:lpstr>
      <vt:lpstr>sizing_w17_nsxt_gm_appliance_size</vt:lpstr>
      <vt:lpstr>sizing_w17_nsxt_model</vt:lpstr>
      <vt:lpstr>sizing_w17_spr_chosen</vt:lpstr>
      <vt:lpstr>sizing_w17_ssp_chosen</vt:lpstr>
      <vt:lpstr>sizing_w17_vcenter_appliance_size</vt:lpstr>
      <vt:lpstr>sizing_w17_vcenter_storage_size</vt:lpstr>
      <vt:lpstr>sizing_w18_avi_appliance_size</vt:lpstr>
      <vt:lpstr>sizing_w18_chosen</vt:lpstr>
      <vt:lpstr>sizing_w18_gm_chosen</vt:lpstr>
      <vt:lpstr>sizing_w18_nsxt_appliance_size</vt:lpstr>
      <vt:lpstr>sizing_w18_nsxt_gm_appliance_size</vt:lpstr>
      <vt:lpstr>sizing_w18_nsxt_model</vt:lpstr>
      <vt:lpstr>sizing_w18_spr_chosen</vt:lpstr>
      <vt:lpstr>sizing_w18_ssp_chosen</vt:lpstr>
      <vt:lpstr>sizing_w18_vcenter_appliance_size</vt:lpstr>
      <vt:lpstr>sizing_w18_vcenter_storage_size</vt:lpstr>
      <vt:lpstr>sizing_w19_avi_appliance_size</vt:lpstr>
      <vt:lpstr>sizing_w19_chosen</vt:lpstr>
      <vt:lpstr>sizing_w19_gm_chosen</vt:lpstr>
      <vt:lpstr>sizing_w19_nsxt_appliance_size</vt:lpstr>
      <vt:lpstr>sizing_w19_nsxt_gm_appliance_size</vt:lpstr>
      <vt:lpstr>sizing_w19_nsxt_model</vt:lpstr>
      <vt:lpstr>sizing_w19_spr_chosen</vt:lpstr>
      <vt:lpstr>sizing_w19_ssp_chosen</vt:lpstr>
      <vt:lpstr>sizing_w19_vcenter_appliance_size</vt:lpstr>
      <vt:lpstr>sizing_w19_vcenter_storage_size</vt:lpstr>
      <vt:lpstr>sizing_w20_avi_appliance_size</vt:lpstr>
      <vt:lpstr>sizing_w20_chosen</vt:lpstr>
      <vt:lpstr>sizing_w20_gm_chosen</vt:lpstr>
      <vt:lpstr>sizing_w20_nsxt_appliance_size</vt:lpstr>
      <vt:lpstr>sizing_w20_nsxt_gm_appliance_size</vt:lpstr>
      <vt:lpstr>sizing_w20_nsxt_model</vt:lpstr>
      <vt:lpstr>sizing_w20_spr_chosen</vt:lpstr>
      <vt:lpstr>sizing_w20_ssp_chosen</vt:lpstr>
      <vt:lpstr>sizing_w20_vcenter_appliance_size</vt:lpstr>
      <vt:lpstr>sizing_w20_vcenter_storage_size</vt:lpstr>
      <vt:lpstr>sizing_w21_avi_appliance_size</vt:lpstr>
      <vt:lpstr>sizing_w21_chosen</vt:lpstr>
      <vt:lpstr>sizing_w21_gm_chosen</vt:lpstr>
      <vt:lpstr>sizing_w21_nsxt_appliance_size</vt:lpstr>
      <vt:lpstr>sizing_w21_nsxt_gm_appliance_size</vt:lpstr>
      <vt:lpstr>sizing_w21_nsxt_model</vt:lpstr>
      <vt:lpstr>sizing_w21_spr_chosen</vt:lpstr>
      <vt:lpstr>sizing_w21_ssp_chosen</vt:lpstr>
      <vt:lpstr>sizing_w21_vcenter_appliance_size</vt:lpstr>
      <vt:lpstr>sizing_w21_vcenter_storage_size</vt:lpstr>
      <vt:lpstr>sizing_w22_avi_appliance_size</vt:lpstr>
      <vt:lpstr>sizing_w22_chosen</vt:lpstr>
      <vt:lpstr>sizing_w22_gm_chosen</vt:lpstr>
      <vt:lpstr>sizing_w22_nsxt_appliance_size</vt:lpstr>
      <vt:lpstr>sizing_w22_nsxt_gm_appliance_size</vt:lpstr>
      <vt:lpstr>sizing_w22_nsxt_model</vt:lpstr>
      <vt:lpstr>sizing_w22_spr_chosen</vt:lpstr>
      <vt:lpstr>sizing_w22_ssp_chosen</vt:lpstr>
      <vt:lpstr>sizing_w22_vcenter_appliance_size</vt:lpstr>
      <vt:lpstr>sizing_w22_vcenter_storage_size</vt:lpstr>
      <vt:lpstr>sizing_w23_avi_appliance_size</vt:lpstr>
      <vt:lpstr>sizing_w23_chosen</vt:lpstr>
      <vt:lpstr>sizing_w23_gm_chosen</vt:lpstr>
      <vt:lpstr>sizing_w23_nsxt_appliance_size</vt:lpstr>
      <vt:lpstr>sizing_w23_nsxt_gm_appliance_size</vt:lpstr>
      <vt:lpstr>sizing_w23_nsxt_model</vt:lpstr>
      <vt:lpstr>sizing_w23_spr_chosen</vt:lpstr>
      <vt:lpstr>sizing_w23_ssp_chosen</vt:lpstr>
      <vt:lpstr>sizing_w23_vcenter_appliance_size</vt:lpstr>
      <vt:lpstr>sizing_w23_vcenter_storage_size</vt:lpstr>
      <vt:lpstr>sizing_w24_avi_appliance_size</vt:lpstr>
      <vt:lpstr>sizing_w24_chosen</vt:lpstr>
      <vt:lpstr>sizing_w24_gm_chosen</vt:lpstr>
      <vt:lpstr>sizing_w24_nsxt_appliance_size</vt:lpstr>
      <vt:lpstr>sizing_w24_nsxt_gm_appliance_size</vt:lpstr>
      <vt:lpstr>sizing_w24_nsxt_model</vt:lpstr>
      <vt:lpstr>sizing_w24_spr_chosen</vt:lpstr>
      <vt:lpstr>sizing_w24_ssp_chosen</vt:lpstr>
      <vt:lpstr>sizing_w24_vcenter_appliance_size</vt:lpstr>
      <vt:lpstr>sizing_w24_vcenter_storage_size</vt:lpstr>
      <vt:lpstr>sizing_w25_avi_appliance_size</vt:lpstr>
      <vt:lpstr>sizing_w25_chosen</vt:lpstr>
      <vt:lpstr>sizing_w25_gm_chosen</vt:lpstr>
      <vt:lpstr>sizing_w25_nsxt_appliance_size</vt:lpstr>
      <vt:lpstr>sizing_w25_nsxt_gm_appliance_size</vt:lpstr>
      <vt:lpstr>sizing_w25_nsxt_model</vt:lpstr>
      <vt:lpstr>sizing_w25_spr_chosen</vt:lpstr>
      <vt:lpstr>sizing_w25_ssp_chosen</vt:lpstr>
      <vt:lpstr>sizing_w25_vcenter_appliance_size</vt:lpstr>
      <vt:lpstr>sizing_w25_vcenter_storage_size</vt:lpstr>
      <vt:lpstr>sizing_w26_avi_appliance_size</vt:lpstr>
      <vt:lpstr>sizing_w26_chosen</vt:lpstr>
      <vt:lpstr>sizing_w26_gm_chosen</vt:lpstr>
      <vt:lpstr>sizing_w26_nsxt_appliance_size</vt:lpstr>
      <vt:lpstr>sizing_w26_nsxt_gm_appliance_size</vt:lpstr>
      <vt:lpstr>sizing_w26_nsxt_model</vt:lpstr>
      <vt:lpstr>sizing_w26_spr_chosen</vt:lpstr>
      <vt:lpstr>sizing_w26_ssp_chosen</vt:lpstr>
      <vt:lpstr>sizing_w26_vcenter_appliance_size</vt:lpstr>
      <vt:lpstr>sizing_w26_vcenter_storage_size</vt:lpstr>
      <vt:lpstr>sizing_w27_avi_appliance_size</vt:lpstr>
      <vt:lpstr>sizing_w27_chosen</vt:lpstr>
      <vt:lpstr>sizing_w27_gm_chosen</vt:lpstr>
      <vt:lpstr>sizing_w27_nsxt_appliance_size</vt:lpstr>
      <vt:lpstr>sizing_w27_nsxt_gm_appliance_size</vt:lpstr>
      <vt:lpstr>sizing_w27_nsxt_model</vt:lpstr>
      <vt:lpstr>sizing_w27_spr_chosen</vt:lpstr>
      <vt:lpstr>sizing_w27_ssp_chosen</vt:lpstr>
      <vt:lpstr>sizing_w27_vcenter_appliance_size</vt:lpstr>
      <vt:lpstr>sizing_w27_vcenter_storage_size</vt:lpstr>
      <vt:lpstr>sizing_w28_avi_appliance_size</vt:lpstr>
      <vt:lpstr>sizing_w28_chosen</vt:lpstr>
      <vt:lpstr>sizing_w28_gm_chosen</vt:lpstr>
      <vt:lpstr>sizing_w28_nsxt_appliance_size</vt:lpstr>
      <vt:lpstr>sizing_w28_nsxt_gm_appliance_size</vt:lpstr>
      <vt:lpstr>sizing_w28_nsxt_model</vt:lpstr>
      <vt:lpstr>sizing_w28_spr_chosen</vt:lpstr>
      <vt:lpstr>sizing_w28_ssp_chosen</vt:lpstr>
      <vt:lpstr>sizing_w28_vcenter_appliance_size</vt:lpstr>
      <vt:lpstr>sizing_w28_vcenter_storage_size</vt:lpstr>
      <vt:lpstr>sizing_w29_avi_appliance_size</vt:lpstr>
      <vt:lpstr>sizing_w29_chosen</vt:lpstr>
      <vt:lpstr>sizing_w29_gm_chosen</vt:lpstr>
      <vt:lpstr>sizing_w29_nsxt_appliance_size</vt:lpstr>
      <vt:lpstr>sizing_w29_nsxt_gm_appliance_size</vt:lpstr>
      <vt:lpstr>sizing_w29_nsxt_model</vt:lpstr>
      <vt:lpstr>sizing_w29_spr_chosen</vt:lpstr>
      <vt:lpstr>sizing_w29_ssp_chosen</vt:lpstr>
      <vt:lpstr>sizing_w29_vcenter_appliance_size</vt:lpstr>
      <vt:lpstr>sizing_w29_vcenter_storage_size</vt:lpstr>
      <vt:lpstr>sizing_w30_avi_appliance_size</vt:lpstr>
      <vt:lpstr>sizing_w30_chosen</vt:lpstr>
      <vt:lpstr>sizing_w30_gm_chosen</vt:lpstr>
      <vt:lpstr>sizing_w30_nsxt_appliance_size</vt:lpstr>
      <vt:lpstr>sizing_w30_nsxt_gm_appliance_size</vt:lpstr>
      <vt:lpstr>sizing_w30_nsxt_model</vt:lpstr>
      <vt:lpstr>sizing_w30_spr_chosen</vt:lpstr>
      <vt:lpstr>sizing_w30_ssp_chosen</vt:lpstr>
      <vt:lpstr>sizing_w30_vcenter_appliance_size</vt:lpstr>
      <vt:lpstr>sizing_w30_vcenter_storage_size</vt:lpstr>
      <vt:lpstr>sizing_w31_avi_appliance_size</vt:lpstr>
      <vt:lpstr>sizing_w31_chosen</vt:lpstr>
      <vt:lpstr>sizing_w31_gm_chosen</vt:lpstr>
      <vt:lpstr>sizing_w31_nsxt_appliance_size</vt:lpstr>
      <vt:lpstr>sizing_w31_nsxt_gm_appliance_size</vt:lpstr>
      <vt:lpstr>sizing_w31_nsxt_model</vt:lpstr>
      <vt:lpstr>sizing_w31_spr_chosen</vt:lpstr>
      <vt:lpstr>sizing_w31_ssp_chosen</vt:lpstr>
      <vt:lpstr>sizing_w31_vcenter_appliance_size</vt:lpstr>
      <vt:lpstr>sizing_w31_vcenter_storage_size</vt:lpstr>
      <vt:lpstr>sizing_w32_avi_appliance_size</vt:lpstr>
      <vt:lpstr>sizing_w32_chosen</vt:lpstr>
      <vt:lpstr>sizing_w32_gm_chosen</vt:lpstr>
      <vt:lpstr>sizing_w32_nsxt_appliance_size</vt:lpstr>
      <vt:lpstr>sizing_w32_nsxt_gm_appliance_size</vt:lpstr>
      <vt:lpstr>sizing_w32_nsxt_model</vt:lpstr>
      <vt:lpstr>sizing_w32_spr_chosen</vt:lpstr>
      <vt:lpstr>sizing_w32_ssp_chosen</vt:lpstr>
      <vt:lpstr>sizing_w32_vcenter_appliance_size</vt:lpstr>
      <vt:lpstr>sizing_w32_vcenter_storage_size</vt:lpstr>
      <vt:lpstr>sizing_w33_avi_appliance_size</vt:lpstr>
      <vt:lpstr>sizing_w33_chosen</vt:lpstr>
      <vt:lpstr>sizing_w33_gm_chosen</vt:lpstr>
      <vt:lpstr>sizing_w33_nsxt_appliance_size</vt:lpstr>
      <vt:lpstr>sizing_w33_nsxt_gm_appliance_size</vt:lpstr>
      <vt:lpstr>sizing_w33_nsxt_model</vt:lpstr>
      <vt:lpstr>sizing_w33_spr_chosen</vt:lpstr>
      <vt:lpstr>sizing_w33_ssp_chosen</vt:lpstr>
      <vt:lpstr>sizing_w33_vcenter_appliance_size</vt:lpstr>
      <vt:lpstr>sizing_w33_vcenter_storage_size</vt:lpstr>
      <vt:lpstr>sizing_w34_avi_appliance_size</vt:lpstr>
      <vt:lpstr>sizing_w34_chosen</vt:lpstr>
      <vt:lpstr>sizing_w34_gm_chosen</vt:lpstr>
      <vt:lpstr>sizing_w34_nsxt_appliance_size</vt:lpstr>
      <vt:lpstr>sizing_w34_nsxt_gm_appliance_size</vt:lpstr>
      <vt:lpstr>sizing_w34_nsxt_model</vt:lpstr>
      <vt:lpstr>sizing_w34_spr_chosen</vt:lpstr>
      <vt:lpstr>sizing_w34_ssp_chosen</vt:lpstr>
      <vt:lpstr>sizing_w34_vcenter_appliance_size</vt:lpstr>
      <vt:lpstr>sizing_w34_vcenter_storage_size</vt:lpstr>
      <vt:lpstr>sizing_w35_avi_appliance_size</vt:lpstr>
      <vt:lpstr>sizing_w35_chosen</vt:lpstr>
      <vt:lpstr>sizing_w35_gm_chosen</vt:lpstr>
      <vt:lpstr>sizing_w35_nsxt_appliance_size</vt:lpstr>
      <vt:lpstr>sizing_w35_nsxt_gm_appliance_size</vt:lpstr>
      <vt:lpstr>sizing_w35_nsxt_model</vt:lpstr>
      <vt:lpstr>sizing_w35_spr_chosen</vt:lpstr>
      <vt:lpstr>sizing_w35_ssp_chosen</vt:lpstr>
      <vt:lpstr>sizing_w35_vcenter_appliance_size</vt:lpstr>
      <vt:lpstr>sizing_w35_vcenter_storage_size</vt:lpstr>
      <vt:lpstr>sizing_wld_avilb_cluster_formfactor_chosen</vt:lpstr>
      <vt:lpstr>sizing_wld_nsxt_gm_appliance_size_chosen</vt:lpstr>
      <vt:lpstr>smtp_server</vt:lpstr>
      <vt:lpstr>smtp_server_port</vt:lpstr>
      <vt:lpstr>spr_chosen</vt:lpstr>
      <vt:lpstr>spr_mo_result</vt:lpstr>
      <vt:lpstr>spr_mw_result</vt:lpstr>
      <vt:lpstr>spr_result</vt:lpstr>
      <vt:lpstr>spr_wo_result</vt:lpstr>
      <vt:lpstr>srm_appliance_size</vt:lpstr>
      <vt:lpstr>sso_default_admin</vt:lpstr>
      <vt:lpstr>storage_autopolicy</vt:lpstr>
      <vt:lpstr>storage_ftt</vt:lpstr>
      <vt:lpstr>svc_cbr_vcdr_vsphere_password</vt:lpstr>
      <vt:lpstr>svc_cbr_vcdr_vsphere_user</vt:lpstr>
      <vt:lpstr>svc_my_vmware_password</vt:lpstr>
      <vt:lpstr>svc_vcf_bck_password</vt:lpstr>
      <vt:lpstr>svc_vra_nsx_password</vt:lpstr>
      <vt:lpstr>svc_vra_vcf_password</vt:lpstr>
      <vt:lpstr>svc_vra_vrops_password</vt:lpstr>
      <vt:lpstr>svc_vra_vsphere_password</vt:lpstr>
      <vt:lpstr>svc_vrli_vrops_password</vt:lpstr>
      <vt:lpstr>svc_vro_vsphere_password</vt:lpstr>
      <vt:lpstr>svc_vrops_nsx_password</vt:lpstr>
      <vt:lpstr>svc_vrops_vra_password</vt:lpstr>
      <vt:lpstr>svc_vrops_vsan_password</vt:lpstr>
      <vt:lpstr>svc_vrops_vsphere_password</vt:lpstr>
      <vt:lpstr>table_avi_lb_cpu</vt:lpstr>
      <vt:lpstr>table_avi_lb_disk</vt:lpstr>
      <vt:lpstr>table_avi_lb_ram</vt:lpstr>
      <vt:lpstr>table_cidr_to_mask</vt:lpstr>
      <vt:lpstr>table_identity_broker_cpu</vt:lpstr>
      <vt:lpstr>table_identity_broker_disk</vt:lpstr>
      <vt:lpstr>table_identity_broker_ram</vt:lpstr>
      <vt:lpstr>table_mask_to_cidr</vt:lpstr>
      <vt:lpstr>table_masks</vt:lpstr>
      <vt:lpstr>table_nsxt_deployment_model</vt:lpstr>
      <vt:lpstr>table_nsxt_deployment_model_dedicated</vt:lpstr>
      <vt:lpstr>table_nsxt_edge_cpu</vt:lpstr>
      <vt:lpstr>table_nsxt_edge_disk_gb</vt:lpstr>
      <vt:lpstr>table_nsxt_edge_ram</vt:lpstr>
      <vt:lpstr>table_nsxt_manager_cpu</vt:lpstr>
      <vt:lpstr>table_nsxt_manager_disk_gb</vt:lpstr>
      <vt:lpstr>table_nsxt_manager_ram</vt:lpstr>
      <vt:lpstr>table_srm_cpu</vt:lpstr>
      <vt:lpstr>table_srm_disk</vt:lpstr>
      <vt:lpstr>table_srm_ram</vt:lpstr>
      <vt:lpstr>table_ssp_cpu</vt:lpstr>
      <vt:lpstr>table_ssp_disk</vt:lpstr>
      <vt:lpstr>table_ssp_ram</vt:lpstr>
      <vt:lpstr>table_ssp_sizes</vt:lpstr>
      <vt:lpstr>table_vcenter_appliance_cpu</vt:lpstr>
      <vt:lpstr>table_vcenter_appliance_ram</vt:lpstr>
      <vt:lpstr>table_vcenter_disk_gb</vt:lpstr>
      <vt:lpstr>table_vcf_version5x_mgmt_vlcm_image</vt:lpstr>
      <vt:lpstr>table_vcf_version5x_mgmt_vlcm_type</vt:lpstr>
      <vt:lpstr>table_vcf_version5x_mgmt_vsan_type</vt:lpstr>
      <vt:lpstr>table_vcf_version5x_wld_storage_type</vt:lpstr>
      <vt:lpstr>table_vcf_version9x_cluster_storage_type</vt:lpstr>
      <vt:lpstr>table_vcfa_appliance_cpu</vt:lpstr>
      <vt:lpstr>table_vcfa_appliance_disk</vt:lpstr>
      <vt:lpstr>table_vcfa_appliance_ram</vt:lpstr>
      <vt:lpstr>table_vcfms_control_cpu</vt:lpstr>
      <vt:lpstr>table_vcfms_control_disk</vt:lpstr>
      <vt:lpstr>table_vcfms_control_nodes</vt:lpstr>
      <vt:lpstr>table_vcfms_control_ram</vt:lpstr>
      <vt:lpstr>table_vcfms_worker_cpu</vt:lpstr>
      <vt:lpstr>table_vcfms_worker_disk</vt:lpstr>
      <vt:lpstr>table_vcfms_worker_nodes</vt:lpstr>
      <vt:lpstr>table_vcfms_worker_ram</vt:lpstr>
      <vt:lpstr>table_vcfo_appliance_cpu</vt:lpstr>
      <vt:lpstr>table_vcfo_appliance_disk</vt:lpstr>
      <vt:lpstr>table_vcfo_appliance_ram</vt:lpstr>
      <vt:lpstr>table_vcfo_p_cpu</vt:lpstr>
      <vt:lpstr>table_vcfo_p_disk</vt:lpstr>
      <vt:lpstr>table_vcfo_p_ram</vt:lpstr>
      <vt:lpstr>table_vcfops_appliance_cpu</vt:lpstr>
      <vt:lpstr>table_vcfops_appliance_disk</vt:lpstr>
      <vt:lpstr>table_vcfops_appliance_ram</vt:lpstr>
      <vt:lpstr>table_vcfopsnet_appliance_cpu</vt:lpstr>
      <vt:lpstr>table_vcfopsnet_appliance_disk</vt:lpstr>
      <vt:lpstr>table_vcfopsnet_appliance_ram</vt:lpstr>
      <vt:lpstr>table_vcfopsnet_collector_cpu</vt:lpstr>
      <vt:lpstr>table_vcfopsnet_collector_disk</vt:lpstr>
      <vt:lpstr>table_vcfopsnet_collector_ram</vt:lpstr>
      <vt:lpstr>table_vrli_appliance_cpu</vt:lpstr>
      <vt:lpstr>table_vrli_appliance_disk</vt:lpstr>
      <vt:lpstr>table_vrli_appliance_ram</vt:lpstr>
      <vt:lpstr>table_vrms_cpu</vt:lpstr>
      <vt:lpstr>table_vrms_disk</vt:lpstr>
      <vt:lpstr>table_vrms_ram</vt:lpstr>
      <vt:lpstr>this_instance</vt:lpstr>
      <vt:lpstr>user_svc_vcf_bck</vt:lpstr>
      <vt:lpstr>user_svc_vcf_ca_vcf</vt:lpstr>
      <vt:lpstr>user_svc_vra_nsx</vt:lpstr>
      <vt:lpstr>user_svc_vra_vcf</vt:lpstr>
      <vt:lpstr>user_svc_vra_vrops</vt:lpstr>
      <vt:lpstr>user_svc_vra_vsphere</vt:lpstr>
      <vt:lpstr>user_svc_vrli_vrops</vt:lpstr>
      <vt:lpstr>user_svc_vrli_wsa</vt:lpstr>
      <vt:lpstr>user_svc_vro_vsphere</vt:lpstr>
      <vt:lpstr>user_svc_vrops_nsx</vt:lpstr>
      <vt:lpstr>user_svc_vrops_vra</vt:lpstr>
      <vt:lpstr>user_svc_vrops_vsan</vt:lpstr>
      <vt:lpstr>user_svc_vrops_vsphere</vt:lpstr>
      <vt:lpstr>vcenter_root_password</vt:lpstr>
      <vt:lpstr>vcenter_sizing_limits</vt:lpstr>
      <vt:lpstr>vcf_automation_additional_vips</vt:lpstr>
      <vt:lpstr>vcf_automation_admin_password</vt:lpstr>
      <vt:lpstr>vcf_automation_admin_password_alias</vt:lpstr>
      <vt:lpstr>vcf_automation_admin_password_description</vt:lpstr>
      <vt:lpstr>vcf_automation_admin_username</vt:lpstr>
      <vt:lpstr>vcf_automation_cert_alias</vt:lpstr>
      <vt:lpstr>vcf_automation_cert_common_name</vt:lpstr>
      <vt:lpstr>vcf_automation_cert_country_code</vt:lpstr>
      <vt:lpstr>vcf_automation_cert_file</vt:lpstr>
      <vt:lpstr>vcf_automation_cert_key_length_chosen</vt:lpstr>
      <vt:lpstr>vcf_automation_cert_locality</vt:lpstr>
      <vt:lpstr>vcf_automation_cert_organisation</vt:lpstr>
      <vt:lpstr>vcf_automation_cert_state</vt:lpstr>
      <vt:lpstr>vcf_automation_cert_type_chosen</vt:lpstr>
      <vt:lpstr>vcf_automation_folder</vt:lpstr>
      <vt:lpstr>vcf_automation_gateway_ip</vt:lpstr>
      <vt:lpstr>vcf_automation_internal_cidr_chosen</vt:lpstr>
      <vt:lpstr>vcf_automation_lb_type_chosen</vt:lpstr>
      <vt:lpstr>vcf_automation_mask</vt:lpstr>
      <vt:lpstr>vcf_automation_node_pool_chosen</vt:lpstr>
      <vt:lpstr>vcf_automation_node_pool_end_ip</vt:lpstr>
      <vt:lpstr>vcf_automation_node_pool_start_ip</vt:lpstr>
      <vt:lpstr>vcf_automation_node_prefix_chosen</vt:lpstr>
      <vt:lpstr>vcf_automation_nodea_ip</vt:lpstr>
      <vt:lpstr>vcf_automation_nodeb_ip</vt:lpstr>
      <vt:lpstr>vcf_automation_nodec_ip</vt:lpstr>
      <vt:lpstr>vcf_automation_noded_ip</vt:lpstr>
      <vt:lpstr>vcf_automation_ou_cert</vt:lpstr>
      <vt:lpstr>vcf_automation_portgroup</vt:lpstr>
      <vt:lpstr>vcf_automation_resource_pool</vt:lpstr>
      <vt:lpstr>vcf_automation_root_password</vt:lpstr>
      <vt:lpstr>vcf_automation_root_password_alias</vt:lpstr>
      <vt:lpstr>vcf_automation_root_password_description</vt:lpstr>
      <vt:lpstr>vcf_automation_root_username</vt:lpstr>
      <vt:lpstr>vcf_automation_runtime_cidr</vt:lpstr>
      <vt:lpstr>vcf_automation_size_chosen</vt:lpstr>
      <vt:lpstr>vcf_automation_sr_fqdn</vt:lpstr>
      <vt:lpstr>vcf_automation_sr_ip</vt:lpstr>
      <vt:lpstr>vcf_automation_time_sync_mode_chosen</vt:lpstr>
      <vt:lpstr>vcf_automation_type_chosen</vt:lpstr>
      <vt:lpstr>vcf_automation_version</vt:lpstr>
      <vt:lpstr>vcf_automation_vip_fqdn</vt:lpstr>
      <vt:lpstr>vcf_automation_vip_ip</vt:lpstr>
      <vt:lpstr>vcf_granular_option_chosen</vt:lpstr>
      <vt:lpstr>vcf_granular_option_result</vt:lpstr>
      <vt:lpstr>vcf_installer_fqdn</vt:lpstr>
      <vt:lpstr>vcf_installer_hostname</vt:lpstr>
      <vt:lpstr>vcf_installer_ip</vt:lpstr>
      <vt:lpstr>vcf_instance_name</vt:lpstr>
      <vt:lpstr>vcf_pnp_option_no</vt:lpstr>
      <vt:lpstr>vcf_pnp_option_yes</vt:lpstr>
      <vt:lpstr>vcf_pnp_result_exclude</vt:lpstr>
      <vt:lpstr>vcf_pnp_result_excluded</vt:lpstr>
      <vt:lpstr>vcf_pnp_result_include</vt:lpstr>
      <vt:lpstr>vcf_pnp_result_included</vt:lpstr>
      <vt:lpstr>vcf_version</vt:lpstr>
      <vt:lpstr>vcf_version_chosen</vt:lpstr>
      <vt:lpstr>vcf_version_result</vt:lpstr>
      <vt:lpstr>vcf_vi_isolated_domain_count</vt:lpstr>
      <vt:lpstr>vcf_vi_wld_domain_count</vt:lpstr>
      <vt:lpstr>vcf_vidm_size_chosen</vt:lpstr>
      <vt:lpstr>vcfms_system_password</vt:lpstr>
      <vt:lpstr>vi_only_viable</vt:lpstr>
      <vt:lpstr>VMware_Cloud_Foundation</vt:lpstr>
      <vt:lpstr>VMware_vSphere_Foundation</vt:lpstr>
      <vt:lpstr>vrms_appliance_size</vt:lpstr>
      <vt:lpstr>vrslcm_xreg_vm_folder</vt:lpstr>
      <vt:lpstr>vs_dr_site_pair</vt:lpstr>
      <vt:lpstr>vsphere_8u1_evc_table</vt:lpstr>
      <vt:lpstr>vvf_mgmt_cl01_vds_standard_preconfigured_profiles</vt:lpstr>
      <vt:lpstr>vvs_dr_dns1_ip</vt:lpstr>
      <vt:lpstr>vvs_dr_dns2_ip</vt:lpstr>
      <vt:lpstr>vvs_dr_flt_auto_fqdn</vt:lpstr>
      <vt:lpstr>vvs_dr_flt_fleet_manager_fqdn</vt:lpstr>
      <vt:lpstr>vvs_dr_flt_fleet_manager_hostname</vt:lpstr>
      <vt:lpstr>vvs_dr_flt_logs_nodea_fqdn</vt:lpstr>
      <vt:lpstr>vvs_dr_flt_logs_nodea_hostname</vt:lpstr>
      <vt:lpstr>vvs_dr_flt_logs_nodeb_fqdn</vt:lpstr>
      <vt:lpstr>vvs_dr_flt_logs_nodeb_hostname</vt:lpstr>
      <vt:lpstr>vvs_dr_flt_logs_nodec_fqdn</vt:lpstr>
      <vt:lpstr>vvs_dr_flt_logs_nodec_hostname</vt:lpstr>
      <vt:lpstr>vvs_dr_flt_net_nodea_fqdn</vt:lpstr>
      <vt:lpstr>vvs_dr_flt_net_nodea_hostname</vt:lpstr>
      <vt:lpstr>vvs_dr_flt_net_nodeb_fqdn</vt:lpstr>
      <vt:lpstr>vvs_dr_flt_net_nodeb_hostname</vt:lpstr>
      <vt:lpstr>vvs_dr_flt_net_nodec_fqdn</vt:lpstr>
      <vt:lpstr>vvs_dr_flt_net_nodec_hostname</vt:lpstr>
      <vt:lpstr>vvs_dr_flt_ops_nodea_fqdn</vt:lpstr>
      <vt:lpstr>vvs_dr_flt_ops_nodea_hostname</vt:lpstr>
      <vt:lpstr>vvs_dr_flt_ops_nodeb_fqdn</vt:lpstr>
      <vt:lpstr>vvs_dr_flt_ops_nodeb_hostname</vt:lpstr>
      <vt:lpstr>vvs_dr_flt_ops_nodec_fqdn</vt:lpstr>
      <vt:lpstr>vvs_dr_flt_ops_nodec_hostname</vt:lpstr>
      <vt:lpstr>vvs_dr_mgmt_cl01_cluster</vt:lpstr>
      <vt:lpstr>vvs_dr_mgmt_cl01_datastore</vt:lpstr>
      <vt:lpstr>vvs_dr_mgmt_vc_fqdn</vt:lpstr>
      <vt:lpstr>vvs_dr_ntp1_server</vt:lpstr>
      <vt:lpstr>vvs_dr_parent_dns_zone</vt:lpstr>
      <vt:lpstr>vvs_dr_sso_domain</vt:lpstr>
      <vt:lpstr>vvs_dr_vr_password</vt:lpstr>
      <vt:lpstr>vvs_dr_vr_username</vt:lpstr>
      <vt:lpstr>vvs_mgmt_dr_vlr_fqdn</vt:lpstr>
      <vt:lpstr>vvs_mgmt_dr_vlr_hostname</vt:lpstr>
      <vt:lpstr>witness_dns_zone</vt:lpstr>
      <vt:lpstr>witness_dns1_ip</vt:lpstr>
      <vt:lpstr>witness_dns2_ip</vt:lpstr>
      <vt:lpstr>witness_ntp1_server</vt:lpstr>
      <vt:lpstr>witness_ntp2_server</vt:lpstr>
      <vt:lpstr>wld_administrator_vsphere_local_password</vt:lpstr>
      <vt:lpstr>wld_avi_loadbalancer_chosen</vt:lpstr>
      <vt:lpstr>wld_avi_loadbalancer_result</vt:lpstr>
      <vt:lpstr>wld_avilb_cluster_name</vt:lpstr>
      <vt:lpstr>wld_avilb_cluster_version</vt:lpstr>
      <vt:lpstr>wld_avilb_fqdn</vt:lpstr>
      <vt:lpstr>wld_avilb_hostname</vt:lpstr>
      <vt:lpstr>wld_avilb_ip</vt:lpstr>
      <vt:lpstr>wld_avilb_mgra_ip</vt:lpstr>
      <vt:lpstr>wld_avilb_mgrb_ip</vt:lpstr>
      <vt:lpstr>wld_avilb_mgrc_ip</vt:lpstr>
      <vt:lpstr>wld_az1_dtgw_gateway_cidr</vt:lpstr>
      <vt:lpstr>wld_az1_dtgw_vlan</vt:lpstr>
      <vt:lpstr>wld_az1_ec01_password_creation_chosen</vt:lpstr>
      <vt:lpstr>wld_az1_edge_overlay_cidr</vt:lpstr>
      <vt:lpstr>wld_az1_edge_overlay_gateway_ip</vt:lpstr>
      <vt:lpstr>wld_az1_edge_overlay_mask</vt:lpstr>
      <vt:lpstr>wld_az1_edge_overlay_mtu</vt:lpstr>
      <vt:lpstr>wld_az1_edge_overlay_network</vt:lpstr>
      <vt:lpstr>wld_az1_edge_overlay_network_pool_name</vt:lpstr>
      <vt:lpstr>wld_az1_edge_overlay_pg</vt:lpstr>
      <vt:lpstr>wld_az1_edge_overlay_pool_end_ip</vt:lpstr>
      <vt:lpstr>wld_az1_edge_overlay_pool_start_ip</vt:lpstr>
      <vt:lpstr>wld_az1_edge_overlay_vlan</vt:lpstr>
      <vt:lpstr>wld_az1_en1_edge_overlay_interface_ip_1_ip</vt:lpstr>
      <vt:lpstr>wld_az1_en1_edge_overlay_interface_ip_2_ip</vt:lpstr>
      <vt:lpstr>wld_az1_en1_edge_overlay_network_ip_allocation_chosen</vt:lpstr>
      <vt:lpstr>wld_az1_en1_eth0_uplink0</vt:lpstr>
      <vt:lpstr>wld_az1_en1_eth0_uplink1</vt:lpstr>
      <vt:lpstr>wld_az1_en1_eth1_uplink0</vt:lpstr>
      <vt:lpstr>wld_az1_en1_eth1_uplink1</vt:lpstr>
      <vt:lpstr>wld_az1_en1_fqdn</vt:lpstr>
      <vt:lpstr>wld_az1_en1_hostname</vt:lpstr>
      <vt:lpstr>wld_az1_en1_ip_allocation_chosen</vt:lpstr>
      <vt:lpstr>wld_az1_en1_mgmt_cidr</vt:lpstr>
      <vt:lpstr>wld_az1_en1_mgmt_ip</vt:lpstr>
      <vt:lpstr>wld_az1_en1_uplink_ip_assignment_chosen</vt:lpstr>
      <vt:lpstr>wld_az1_en1_uplink01_interface_cidr</vt:lpstr>
      <vt:lpstr>wld_az1_en1_uplink02_interface_cidr</vt:lpstr>
      <vt:lpstr>wld_az1_en2_edge_overlay_interface_ip_1_ip</vt:lpstr>
      <vt:lpstr>wld_az1_en2_edge_overlay_interface_ip_2_ip</vt:lpstr>
      <vt:lpstr>wld_az1_en2_eth0_uplink0</vt:lpstr>
      <vt:lpstr>wld_az1_en2_eth0_uplink1</vt:lpstr>
      <vt:lpstr>wld_az1_en2_eth1_uplink0</vt:lpstr>
      <vt:lpstr>wld_az1_en2_eth1_uplink1</vt:lpstr>
      <vt:lpstr>wld_az1_en2_fqdn</vt:lpstr>
      <vt:lpstr>wld_az1_en2_hostname</vt:lpstr>
      <vt:lpstr>wld_az1_en2_ip_allocation_chosen</vt:lpstr>
      <vt:lpstr>wld_az1_en2_mgmt_cidr</vt:lpstr>
      <vt:lpstr>wld_az1_en2_mgmt_ip</vt:lpstr>
      <vt:lpstr>wld_az1_en2_uplink01_interface_cidr</vt:lpstr>
      <vt:lpstr>wld_az1_en2_uplink02_interface_cidr</vt:lpstr>
      <vt:lpstr>wld_az1_host_fqdns</vt:lpstr>
      <vt:lpstr>wld_az1_host_hostnames</vt:lpstr>
      <vt:lpstr>wld_az1_host_mgmt_ips</vt:lpstr>
      <vt:lpstr>wld_az1_host_overlay_cidr</vt:lpstr>
      <vt:lpstr>wld_az1_host_overlay_gateway_ip</vt:lpstr>
      <vt:lpstr>wld_az1_host_overlay_mask</vt:lpstr>
      <vt:lpstr>wld_az1_host_overlay_mtu</vt:lpstr>
      <vt:lpstr>wld_az1_host_overlay_network</vt:lpstr>
      <vt:lpstr>wld_az1_host_overlay_network_pool_description</vt:lpstr>
      <vt:lpstr>wld_az1_host_overlay_network_pool_name</vt:lpstr>
      <vt:lpstr>wld_az1_host_overlay_network_profile_name</vt:lpstr>
      <vt:lpstr>wld_az1_host_overlay_new_pool_chosen</vt:lpstr>
      <vt:lpstr>wld_az1_host_overlay_pg</vt:lpstr>
      <vt:lpstr>wld_az1_host_overlay_pool_end_ip</vt:lpstr>
      <vt:lpstr>wld_az1_host_overlay_pool_start_ip</vt:lpstr>
      <vt:lpstr>wld_az1_host_overlay_transport_zone</vt:lpstr>
      <vt:lpstr>wld_az1_host_overlay_uplink_profile_name</vt:lpstr>
      <vt:lpstr>wld_az1_host_overlay_vlan</vt:lpstr>
      <vt:lpstr>wld_az1_host1_fqdn</vt:lpstr>
      <vt:lpstr>wld_az1_host1_hostname</vt:lpstr>
      <vt:lpstr>wld_az1_host1_mgmt_ip</vt:lpstr>
      <vt:lpstr>wld_az1_host1_vrms_ip</vt:lpstr>
      <vt:lpstr>wld_az1_host10_fqdn</vt:lpstr>
      <vt:lpstr>wld_az1_host10_hostname</vt:lpstr>
      <vt:lpstr>wld_az1_host10_mgmt_ip</vt:lpstr>
      <vt:lpstr>wld_az1_host10_vrms_ip</vt:lpstr>
      <vt:lpstr>wld_az1_host11_fqdn</vt:lpstr>
      <vt:lpstr>wld_az1_host11_hostname</vt:lpstr>
      <vt:lpstr>wld_az1_host11_mgmt_ip</vt:lpstr>
      <vt:lpstr>wld_az1_host11_vrms_ip</vt:lpstr>
      <vt:lpstr>wld_az1_host12_fqdn</vt:lpstr>
      <vt:lpstr>wld_az1_host12_hostname</vt:lpstr>
      <vt:lpstr>wld_az1_host12_mgmt_ip</vt:lpstr>
      <vt:lpstr>wld_az1_host12_vrms_ip</vt:lpstr>
      <vt:lpstr>wld_az1_host13_fqdn</vt:lpstr>
      <vt:lpstr>wld_az1_host13_hostname</vt:lpstr>
      <vt:lpstr>wld_az1_host13_mgmt_ip</vt:lpstr>
      <vt:lpstr>wld_az1_host13_vrms_ip</vt:lpstr>
      <vt:lpstr>wld_az1_host14_fqdn</vt:lpstr>
      <vt:lpstr>wld_az1_host14_hostname</vt:lpstr>
      <vt:lpstr>wld_az1_host14_mgmt_ip</vt:lpstr>
      <vt:lpstr>wld_az1_host14_vrms_ip</vt:lpstr>
      <vt:lpstr>wld_az1_host15_fqdn</vt:lpstr>
      <vt:lpstr>wld_az1_host15_hostname</vt:lpstr>
      <vt:lpstr>wld_az1_host15_mgmt_ip</vt:lpstr>
      <vt:lpstr>wld_az1_host15_vrms_ip</vt:lpstr>
      <vt:lpstr>wld_az1_host16_fqdn</vt:lpstr>
      <vt:lpstr>wld_az1_host16_hostname</vt:lpstr>
      <vt:lpstr>wld_az1_host16_mgmt_ip</vt:lpstr>
      <vt:lpstr>wld_az1_host16_vrms_ip</vt:lpstr>
      <vt:lpstr>wld_az1_host2_fqdn</vt:lpstr>
      <vt:lpstr>wld_az1_host2_hostname</vt:lpstr>
      <vt:lpstr>wld_az1_host2_mgmt_ip</vt:lpstr>
      <vt:lpstr>wld_az1_host2_vrms_ip</vt:lpstr>
      <vt:lpstr>wld_az1_host3_fqdn</vt:lpstr>
      <vt:lpstr>wld_az1_host3_hostname</vt:lpstr>
      <vt:lpstr>wld_az1_host3_mgmt_ip</vt:lpstr>
      <vt:lpstr>wld_az1_host3_vrms_ip</vt:lpstr>
      <vt:lpstr>wld_az1_host4_fqdn</vt:lpstr>
      <vt:lpstr>wld_az1_host4_hostname</vt:lpstr>
      <vt:lpstr>wld_az1_host4_mgmt_ip</vt:lpstr>
      <vt:lpstr>wld_az1_host4_vrms_ip</vt:lpstr>
      <vt:lpstr>wld_az1_host5_fqdn</vt:lpstr>
      <vt:lpstr>wld_az1_host5_hostname</vt:lpstr>
      <vt:lpstr>wld_az1_host5_mgmt_ip</vt:lpstr>
      <vt:lpstr>wld_az1_host5_vrms_ip</vt:lpstr>
      <vt:lpstr>wld_az1_host6_fqdn</vt:lpstr>
      <vt:lpstr>wld_az1_host6_hostname</vt:lpstr>
      <vt:lpstr>wld_az1_host6_mgmt_ip</vt:lpstr>
      <vt:lpstr>wld_az1_host6_vrms_ip</vt:lpstr>
      <vt:lpstr>wld_az1_host7_fqdn</vt:lpstr>
      <vt:lpstr>wld_az1_host7_hostname</vt:lpstr>
      <vt:lpstr>wld_az1_host7_mgmt_ip</vt:lpstr>
      <vt:lpstr>wld_az1_host7_vrms_ip</vt:lpstr>
      <vt:lpstr>wld_az1_host8_fqdn</vt:lpstr>
      <vt:lpstr>wld_az1_host8_hostname</vt:lpstr>
      <vt:lpstr>wld_az1_host8_mgmt_ip</vt:lpstr>
      <vt:lpstr>wld_az1_host8_vrms_ip</vt:lpstr>
      <vt:lpstr>wld_az1_host9_fqdn</vt:lpstr>
      <vt:lpstr>wld_az1_host9_hostname</vt:lpstr>
      <vt:lpstr>wld_az1_host9_mgmt_ip</vt:lpstr>
      <vt:lpstr>wld_az1_host9_vrms_ip</vt:lpstr>
      <vt:lpstr>wld_az1_mgmt_cidr</vt:lpstr>
      <vt:lpstr>wld_az1_mgmt_gateway_cidr</vt:lpstr>
      <vt:lpstr>wld_az1_mgmt_gateway_ip</vt:lpstr>
      <vt:lpstr>wld_az1_mgmt_mask</vt:lpstr>
      <vt:lpstr>wld_az1_mgmt_mtu</vt:lpstr>
      <vt:lpstr>wld_az1_mgmt_network</vt:lpstr>
      <vt:lpstr>wld_az1_mgmt_vlan</vt:lpstr>
      <vt:lpstr>wld_az1_mgmt_vm_cidr</vt:lpstr>
      <vt:lpstr>wld_az1_mgmt_vm_gateway_cidr</vt:lpstr>
      <vt:lpstr>wld_az1_mgmt_vm_gateway_ip</vt:lpstr>
      <vt:lpstr>wld_az1_mgmt_vm_mask</vt:lpstr>
      <vt:lpstr>wld_az1_mgmt_vm_mtu</vt:lpstr>
      <vt:lpstr>wld_az1_mgmt_vm_network</vt:lpstr>
      <vt:lpstr>wld_az1_mgmt_vm_vlan</vt:lpstr>
      <vt:lpstr>wld_az1_nsx_uplink1_active_chosen</vt:lpstr>
      <vt:lpstr>wld_az1_nsx_uplink2_active_chosen</vt:lpstr>
      <vt:lpstr>wld_az1_pool_name</vt:lpstr>
      <vt:lpstr>wld_az1_principal_storage_cidr</vt:lpstr>
      <vt:lpstr>wld_az1_principal_storage_gateway_cidr</vt:lpstr>
      <vt:lpstr>wld_az1_principal_storage_gateway_ip</vt:lpstr>
      <vt:lpstr>wld_az1_principal_storage_ip_assignment_chosen</vt:lpstr>
      <vt:lpstr>wld_az1_principal_storage_ip_scheme_chosen</vt:lpstr>
      <vt:lpstr>wld_az1_principal_storage_mask</vt:lpstr>
      <vt:lpstr>wld_az1_principal_storage_mtu</vt:lpstr>
      <vt:lpstr>wld_az1_principal_storage_network</vt:lpstr>
      <vt:lpstr>wld_az1_principal_storage_pool_end_ip</vt:lpstr>
      <vt:lpstr>wld_az1_principal_storage_pool_start_ip</vt:lpstr>
      <vt:lpstr>wld_az1_principal_storage_vlan</vt:lpstr>
      <vt:lpstr>wld_az1_rack2_edge_overlay_cidr</vt:lpstr>
      <vt:lpstr>wld_az1_rack2_edge_overlay_gateway_cidr</vt:lpstr>
      <vt:lpstr>wld_az1_rack2_edge_overlay_gateway_ip</vt:lpstr>
      <vt:lpstr>wld_az1_rack2_edge_overlay_mask</vt:lpstr>
      <vt:lpstr>wld_az1_rack2_edge_overlay_mtu</vt:lpstr>
      <vt:lpstr>wld_az1_rack2_edge_overlay_network</vt:lpstr>
      <vt:lpstr>wld_az1_rack2_edge_overlay_network_pool_name</vt:lpstr>
      <vt:lpstr>wld_az1_rack2_edge_overlay_pool_end_ip</vt:lpstr>
      <vt:lpstr>wld_az1_rack2_edge_overlay_pool_start_ip</vt:lpstr>
      <vt:lpstr>wld_az1_rack2_edge_overlay_vlan</vt:lpstr>
      <vt:lpstr>wld_az1_rack2_en1_edge_overlay_interface_ip_1_ip</vt:lpstr>
      <vt:lpstr>wld_az1_rack2_en1_edge_overlay_interface_ip_2_ip</vt:lpstr>
      <vt:lpstr>wld_az1_rack2_en1_fqdn</vt:lpstr>
      <vt:lpstr>wld_az1_rack2_en1_hostname</vt:lpstr>
      <vt:lpstr>wld_az1_rack2_en1_mgmt_ip</vt:lpstr>
      <vt:lpstr>wld_az1_rack2_en1_uplink01_interface_ip</vt:lpstr>
      <vt:lpstr>wld_az1_rack2_en1_uplink02_interface_ip</vt:lpstr>
      <vt:lpstr>wld_az1_rack2_en2_fqdn</vt:lpstr>
      <vt:lpstr>wld_az1_rack2_en2_hostname</vt:lpstr>
      <vt:lpstr>wld_az1_rack2_en2_mgmt_ip</vt:lpstr>
      <vt:lpstr>wld_az1_rack2_en2_uplink01_interface_ip</vt:lpstr>
      <vt:lpstr>wld_az1_rack2_en2_uplink02_interface_ip</vt:lpstr>
      <vt:lpstr>wld_az1_rack2_host_fqdns</vt:lpstr>
      <vt:lpstr>wld_az1_rack2_host_hostnames</vt:lpstr>
      <vt:lpstr>wld_az1_rack2_host_mgmt_ips</vt:lpstr>
      <vt:lpstr>wld_az1_rack2_host_overlay_cidr</vt:lpstr>
      <vt:lpstr>wld_az1_rack2_host_overlay_gateway_cidr</vt:lpstr>
      <vt:lpstr>wld_az1_rack2_host_overlay_gateway_ip</vt:lpstr>
      <vt:lpstr>wld_az1_rack2_host_overlay_mask</vt:lpstr>
      <vt:lpstr>wld_az1_rack2_host_overlay_mtu</vt:lpstr>
      <vt:lpstr>wld_az1_rack2_host_overlay_network</vt:lpstr>
      <vt:lpstr>wld_az1_rack2_host_overlay_network_pool_name</vt:lpstr>
      <vt:lpstr>wld_az1_rack2_host_overlay_network_profile_name</vt:lpstr>
      <vt:lpstr>wld_az1_rack2_host_overlay_new_pool_chosen</vt:lpstr>
      <vt:lpstr>wld_az1_rack2_host_overlay_pool_end_ip</vt:lpstr>
      <vt:lpstr>wld_az1_rack2_host_overlay_pool_start_ip</vt:lpstr>
      <vt:lpstr>wld_az1_rack2_host_overlay_uplink_profile_name</vt:lpstr>
      <vt:lpstr>wld_az1_rack2_host_overlay_vlan</vt:lpstr>
      <vt:lpstr>wld_az1_rack2_host1_fqdn</vt:lpstr>
      <vt:lpstr>wld_az1_rack2_host1_hostname</vt:lpstr>
      <vt:lpstr>wld_az1_rack2_host1_mgmt_ip</vt:lpstr>
      <vt:lpstr>wld_az1_rack2_host10_fqdn</vt:lpstr>
      <vt:lpstr>wld_az1_rack2_host10_hostname</vt:lpstr>
      <vt:lpstr>wld_az1_rack2_host10_mgmt_ip</vt:lpstr>
      <vt:lpstr>wld_az1_rack2_host11_fqdn</vt:lpstr>
      <vt:lpstr>wld_az1_rack2_host11_hostname</vt:lpstr>
      <vt:lpstr>wld_az1_rack2_host11_mgmt_ip</vt:lpstr>
      <vt:lpstr>wld_az1_rack2_host12_fqdn</vt:lpstr>
      <vt:lpstr>wld_az1_rack2_host12_hostname</vt:lpstr>
      <vt:lpstr>wld_az1_rack2_host12_mgmt_ip</vt:lpstr>
      <vt:lpstr>wld_az1_rack2_host13_fqdn</vt:lpstr>
      <vt:lpstr>wld_az1_rack2_host13_hostname</vt:lpstr>
      <vt:lpstr>wld_az1_rack2_host13_mgmt_ip</vt:lpstr>
      <vt:lpstr>wld_az1_rack2_host14_fqdn</vt:lpstr>
      <vt:lpstr>wld_az1_rack2_host14_hostname</vt:lpstr>
      <vt:lpstr>wld_az1_rack2_host14_mgmt_ip</vt:lpstr>
      <vt:lpstr>wld_az1_rack2_host15_fqdn</vt:lpstr>
      <vt:lpstr>wld_az1_rack2_host15_hostname</vt:lpstr>
      <vt:lpstr>wld_az1_rack2_host15_mgmt_ip</vt:lpstr>
      <vt:lpstr>wld_az1_rack2_host16_fqdn</vt:lpstr>
      <vt:lpstr>wld_az1_rack2_host16_hostname</vt:lpstr>
      <vt:lpstr>wld_az1_rack2_host16_mgmt_ip</vt:lpstr>
      <vt:lpstr>wld_az1_rack2_host2_fqdn</vt:lpstr>
      <vt:lpstr>wld_az1_rack2_host2_hostname</vt:lpstr>
      <vt:lpstr>wld_az1_rack2_host2_mgmt_ip</vt:lpstr>
      <vt:lpstr>wld_az1_rack2_host3_fqdn</vt:lpstr>
      <vt:lpstr>wld_az1_rack2_host3_hostname</vt:lpstr>
      <vt:lpstr>wld_az1_rack2_host3_mgmt_ip</vt:lpstr>
      <vt:lpstr>wld_az1_rack2_host4_fqdn</vt:lpstr>
      <vt:lpstr>wld_az1_rack2_host4_hostname</vt:lpstr>
      <vt:lpstr>wld_az1_rack2_host4_mgmt_ip</vt:lpstr>
      <vt:lpstr>wld_az1_rack2_host5_fqdn</vt:lpstr>
      <vt:lpstr>wld_az1_rack2_host5_hostname</vt:lpstr>
      <vt:lpstr>wld_az1_rack2_host5_mgmt_ip</vt:lpstr>
      <vt:lpstr>wld_az1_rack2_host6_fqdn</vt:lpstr>
      <vt:lpstr>wld_az1_rack2_host6_hostname</vt:lpstr>
      <vt:lpstr>wld_az1_rack2_host6_mgmt_ip</vt:lpstr>
      <vt:lpstr>wld_az1_rack2_host7_fqdn</vt:lpstr>
      <vt:lpstr>wld_az1_rack2_host7_hostname</vt:lpstr>
      <vt:lpstr>wld_az1_rack2_host7_mgmt_ip</vt:lpstr>
      <vt:lpstr>wld_az1_rack2_host8_fqdn</vt:lpstr>
      <vt:lpstr>wld_az1_rack2_host8_hostname</vt:lpstr>
      <vt:lpstr>wld_az1_rack2_host8_mgmt_ip</vt:lpstr>
      <vt:lpstr>wld_az1_rack2_host9_fqdn</vt:lpstr>
      <vt:lpstr>wld_az1_rack2_host9_hostname</vt:lpstr>
      <vt:lpstr>wld_az1_rack2_host9_mgmt_ip</vt:lpstr>
      <vt:lpstr>wld_az1_rack2_mgmt_cidr</vt:lpstr>
      <vt:lpstr>wld_az1_rack2_mgmt_gateway_cidr</vt:lpstr>
      <vt:lpstr>wld_az1_rack2_mgmt_gateway_ip</vt:lpstr>
      <vt:lpstr>wld_az1_rack2_mgmt_mask</vt:lpstr>
      <vt:lpstr>wld_az1_rack2_mgmt_mtu</vt:lpstr>
      <vt:lpstr>wld_az1_rack2_mgmt_network</vt:lpstr>
      <vt:lpstr>wld_az1_rack2_mgmt_pg</vt:lpstr>
      <vt:lpstr>wld_az1_rack2_mgmt_vlan</vt:lpstr>
      <vt:lpstr>wld_az1_rack2_mgmt_vm_cidr</vt:lpstr>
      <vt:lpstr>wld_az1_rack2_mgmt_vm_gateway_ip</vt:lpstr>
      <vt:lpstr>wld_az1_rack2_mgmt_vm_mask</vt:lpstr>
      <vt:lpstr>wld_az1_rack2_mgmt_vm_mtu</vt:lpstr>
      <vt:lpstr>wld_az1_rack2_mgmt_vm_pg</vt:lpstr>
      <vt:lpstr>wld_az1_rack2_mgmt_vm_vlan</vt:lpstr>
      <vt:lpstr>wld_az1_rack2_pool_name</vt:lpstr>
      <vt:lpstr>wld_az1_rack2_principal_storage_cidr</vt:lpstr>
      <vt:lpstr>wld_az1_rack2_principal_storage_gateway_cidr</vt:lpstr>
      <vt:lpstr>wld_az1_rack2_principal_storage_gateway_ip</vt:lpstr>
      <vt:lpstr>wld_az1_rack2_principal_storage_mask</vt:lpstr>
      <vt:lpstr>wld_az1_rack2_principal_storage_mtu</vt:lpstr>
      <vt:lpstr>wld_az1_rack2_principal_storage_network</vt:lpstr>
      <vt:lpstr>wld_az1_rack2_principal_storage_pg</vt:lpstr>
      <vt:lpstr>wld_az1_rack2_principal_storage_pool_end_ip</vt:lpstr>
      <vt:lpstr>wld_az1_rack2_principal_storage_pool_start_ip</vt:lpstr>
      <vt:lpstr>wld_az1_rack2_principal_storage_vlan</vt:lpstr>
      <vt:lpstr>wld_az1_rack2_reuse_vcf_networkpool_chosen</vt:lpstr>
      <vt:lpstr>wld_az1_rack2_rtep_ip_pool_name</vt:lpstr>
      <vt:lpstr>wld_az1_rack2_rtep_overlay_cidr</vt:lpstr>
      <vt:lpstr>wld_az1_rack2_rtep_overlay_gateway_ip</vt:lpstr>
      <vt:lpstr>wld_az1_rack2_rtep_overlay_mtu</vt:lpstr>
      <vt:lpstr>wld_az1_rack2_rtep_overlay_pool_end_ip</vt:lpstr>
      <vt:lpstr>wld_az1_rack2_rtep_overlay_pool_start_ip</vt:lpstr>
      <vt:lpstr>wld_az1_rack2_rtep_overlay_vlan</vt:lpstr>
      <vt:lpstr>wld_az1_rack2_secondary_storage_cidr</vt:lpstr>
      <vt:lpstr>wld_az1_rack2_secondary_storage_gateway_cidr</vt:lpstr>
      <vt:lpstr>wld_az1_rack2_secondary_storage_gateway_ip</vt:lpstr>
      <vt:lpstr>wld_az1_rack2_secondary_storage_mask</vt:lpstr>
      <vt:lpstr>wld_az1_rack2_secondary_storage_mtu</vt:lpstr>
      <vt:lpstr>wld_az1_rack2_secondary_storage_network</vt:lpstr>
      <vt:lpstr>wld_az1_rack2_secondary_storage_pool_end_ip</vt:lpstr>
      <vt:lpstr>wld_az1_rack2_secondary_storage_pool_start_ip</vt:lpstr>
      <vt:lpstr>wld_az1_rack2_secondary_storage_vlan</vt:lpstr>
      <vt:lpstr>wld_az1_rack2_tor1_peer_asn</vt:lpstr>
      <vt:lpstr>wld_az1_rack2_tor1_peer_bgp_password</vt:lpstr>
      <vt:lpstr>wld_az1_rack2_tor1_peer_ip</vt:lpstr>
      <vt:lpstr>wld_az1_rack2_tor2_peer_asn</vt:lpstr>
      <vt:lpstr>wld_az1_rack2_tor2_peer_bgp_password</vt:lpstr>
      <vt:lpstr>wld_az1_rack2_tor2_peer_ip</vt:lpstr>
      <vt:lpstr>wld_az1_rack2_uplink01_cidr</vt:lpstr>
      <vt:lpstr>wld_az1_rack2_uplink01_gateway_cidr</vt:lpstr>
      <vt:lpstr>wld_az1_rack2_uplink01_gateway_ip</vt:lpstr>
      <vt:lpstr>wld_az1_rack2_uplink01_mask</vt:lpstr>
      <vt:lpstr>wld_az1_rack2_uplink01_mtu</vt:lpstr>
      <vt:lpstr>wld_az1_rack2_uplink01_network</vt:lpstr>
      <vt:lpstr>wld_az1_rack2_uplink01_pg</vt:lpstr>
      <vt:lpstr>wld_az1_rack2_uplink01_vlan</vt:lpstr>
      <vt:lpstr>wld_az1_rack2_uplink02_cidr</vt:lpstr>
      <vt:lpstr>wld_az1_rack2_uplink02_gateway_cidr</vt:lpstr>
      <vt:lpstr>wld_az1_rack2_uplink02_gateway_ip</vt:lpstr>
      <vt:lpstr>wld_az1_rack2_uplink02_mask</vt:lpstr>
      <vt:lpstr>wld_az1_rack2_uplink02_mtu</vt:lpstr>
      <vt:lpstr>wld_az1_rack2_uplink02_network</vt:lpstr>
      <vt:lpstr>wld_az1_rack2_uplink02_pg</vt:lpstr>
      <vt:lpstr>wld_az1_rack2_uplink02_vlan</vt:lpstr>
      <vt:lpstr>wld_az1_rack2_vmotion_cidr</vt:lpstr>
      <vt:lpstr>wld_az1_rack2_vmotion_gateway_cidr</vt:lpstr>
      <vt:lpstr>wld_az1_rack2_vmotion_gateway_ip</vt:lpstr>
      <vt:lpstr>wld_az1_rack2_vmotion_mask</vt:lpstr>
      <vt:lpstr>wld_az1_rack2_vmotion_mtu</vt:lpstr>
      <vt:lpstr>wld_az1_rack2_vmotion_network</vt:lpstr>
      <vt:lpstr>wld_az1_rack2_vmotion_pg</vt:lpstr>
      <vt:lpstr>wld_az1_rack2_vmotion_pool_end_ip</vt:lpstr>
      <vt:lpstr>wld_az1_rack2_vmotion_pool_start_ip</vt:lpstr>
      <vt:lpstr>wld_az1_rack2_vmotion_vlan</vt:lpstr>
      <vt:lpstr>wld_az1_rack2_vrms_cidr</vt:lpstr>
      <vt:lpstr>wld_az1_rack2_vrms_gateway_ip</vt:lpstr>
      <vt:lpstr>wld_az1_rack2_vrms_mtu</vt:lpstr>
      <vt:lpstr>wld_az1_rack2_vrms_vlan</vt:lpstr>
      <vt:lpstr>wld_az1_rack2_vsan_fault_domain</vt:lpstr>
      <vt:lpstr>wld_az1_rack3_edge_overlay_cidr</vt:lpstr>
      <vt:lpstr>wld_az1_rack3_edge_overlay_gateway_cidr</vt:lpstr>
      <vt:lpstr>wld_az1_rack3_edge_overlay_gateway_ip</vt:lpstr>
      <vt:lpstr>wld_az1_rack3_edge_overlay_mask</vt:lpstr>
      <vt:lpstr>wld_az1_rack3_edge_overlay_mtu</vt:lpstr>
      <vt:lpstr>wld_az1_rack3_edge_overlay_network</vt:lpstr>
      <vt:lpstr>wld_az1_rack3_edge_overlay_network_pool_name</vt:lpstr>
      <vt:lpstr>wld_az1_rack3_edge_overlay_pool_end_ip</vt:lpstr>
      <vt:lpstr>wld_az1_rack3_edge_overlay_pool_start_ip</vt:lpstr>
      <vt:lpstr>wld_az1_rack3_edge_overlay_vlan</vt:lpstr>
      <vt:lpstr>wld_az1_rack3_en1_edge_overlay_interface_ip_1_ip</vt:lpstr>
      <vt:lpstr>wld_az1_rack3_en1_edge_overlay_interface_ip_2_ip</vt:lpstr>
      <vt:lpstr>wld_az1_rack3_en1_fqdn</vt:lpstr>
      <vt:lpstr>wld_az1_rack3_en1_hostname</vt:lpstr>
      <vt:lpstr>wld_az1_rack3_en1_mgmt_ip</vt:lpstr>
      <vt:lpstr>wld_az1_rack3_en1_uplink01_interface_ip</vt:lpstr>
      <vt:lpstr>wld_az1_rack3_en1_uplink02_interface_ip</vt:lpstr>
      <vt:lpstr>wld_az1_rack3_en2_fqdn</vt:lpstr>
      <vt:lpstr>wld_az1_rack3_en2_hostname</vt:lpstr>
      <vt:lpstr>wld_az1_rack3_en2_mgmt_ip</vt:lpstr>
      <vt:lpstr>wld_az1_rack3_en2_uplink01_interface_ip</vt:lpstr>
      <vt:lpstr>wld_az1_rack3_en2_uplink02_interface_ip</vt:lpstr>
      <vt:lpstr>wld_az1_rack3_host_fqdns</vt:lpstr>
      <vt:lpstr>wld_az1_rack3_host_hostnames</vt:lpstr>
      <vt:lpstr>wld_az1_rack3_host_mgmt_ips</vt:lpstr>
      <vt:lpstr>wld_az1_rack3_host_overlay_cidr</vt:lpstr>
      <vt:lpstr>wld_az1_rack3_host_overlay_gateway_cidr</vt:lpstr>
      <vt:lpstr>wld_az1_rack3_host_overlay_gateway_ip</vt:lpstr>
      <vt:lpstr>wld_az1_rack3_host_overlay_mask</vt:lpstr>
      <vt:lpstr>wld_az1_rack3_host_overlay_mtu</vt:lpstr>
      <vt:lpstr>wld_az1_rack3_host_overlay_network</vt:lpstr>
      <vt:lpstr>wld_az1_rack3_host_overlay_network_pool_name</vt:lpstr>
      <vt:lpstr>wld_az1_rack3_host_overlay_network_profile_name</vt:lpstr>
      <vt:lpstr>wld_az1_rack3_host_overlay_new_pool_chosen</vt:lpstr>
      <vt:lpstr>wld_az1_rack3_host_overlay_pool_end_ip</vt:lpstr>
      <vt:lpstr>wld_az1_rack3_host_overlay_pool_start_ip</vt:lpstr>
      <vt:lpstr>wld_az1_rack3_host_overlay_uplink_profile_name</vt:lpstr>
      <vt:lpstr>wld_az1_rack3_host_overlay_vlan</vt:lpstr>
      <vt:lpstr>wld_az1_rack3_host1_fqdn</vt:lpstr>
      <vt:lpstr>wld_az1_rack3_host1_hostname</vt:lpstr>
      <vt:lpstr>wld_az1_rack3_host1_mgmt_ip</vt:lpstr>
      <vt:lpstr>wld_az1_rack3_host10_fqdn</vt:lpstr>
      <vt:lpstr>wld_az1_rack3_host10_hostname</vt:lpstr>
      <vt:lpstr>wld_az1_rack3_host10_mgmt_ip</vt:lpstr>
      <vt:lpstr>wld_az1_rack3_host11_fqdn</vt:lpstr>
      <vt:lpstr>wld_az1_rack3_host11_hostname</vt:lpstr>
      <vt:lpstr>wld_az1_rack3_host11_mgmt_ip</vt:lpstr>
      <vt:lpstr>wld_az1_rack3_host12_fqdn</vt:lpstr>
      <vt:lpstr>wld_az1_rack3_host12_hostname</vt:lpstr>
      <vt:lpstr>wld_az1_rack3_host12_mgmt_ip</vt:lpstr>
      <vt:lpstr>wld_az1_rack3_host13_fqdn</vt:lpstr>
      <vt:lpstr>wld_az1_rack3_host13_hostname</vt:lpstr>
      <vt:lpstr>wld_az1_rack3_host13_mgmt_ip</vt:lpstr>
      <vt:lpstr>wld_az1_rack3_host14_fqdn</vt:lpstr>
      <vt:lpstr>wld_az1_rack3_host14_hostname</vt:lpstr>
      <vt:lpstr>wld_az1_rack3_host14_mgmt_ip</vt:lpstr>
      <vt:lpstr>wld_az1_rack3_host15_fqdn</vt:lpstr>
      <vt:lpstr>wld_az1_rack3_host15_hostname</vt:lpstr>
      <vt:lpstr>wld_az1_rack3_host15_mgmt_ip</vt:lpstr>
      <vt:lpstr>wld_az1_rack3_host16_fqdn</vt:lpstr>
      <vt:lpstr>wld_az1_rack3_host16_hostname</vt:lpstr>
      <vt:lpstr>wld_az1_rack3_host16_mgmt_ip</vt:lpstr>
      <vt:lpstr>wld_az1_rack3_host2_fqdn</vt:lpstr>
      <vt:lpstr>wld_az1_rack3_host2_hostname</vt:lpstr>
      <vt:lpstr>wld_az1_rack3_host2_mgmt_ip</vt:lpstr>
      <vt:lpstr>wld_az1_rack3_host3_fqdn</vt:lpstr>
      <vt:lpstr>wld_az1_rack3_host3_hostname</vt:lpstr>
      <vt:lpstr>wld_az1_rack3_host3_mgmt_ip</vt:lpstr>
      <vt:lpstr>wld_az1_rack3_host4_fqdn</vt:lpstr>
      <vt:lpstr>wld_az1_rack3_host4_hostname</vt:lpstr>
      <vt:lpstr>wld_az1_rack3_host4_mgmt_ip</vt:lpstr>
      <vt:lpstr>wld_az1_rack3_host5_fqdn</vt:lpstr>
      <vt:lpstr>wld_az1_rack3_host5_hostname</vt:lpstr>
      <vt:lpstr>wld_az1_rack3_host5_mgmt_ip</vt:lpstr>
      <vt:lpstr>wld_az1_rack3_host6_fqdn</vt:lpstr>
      <vt:lpstr>wld_az1_rack3_host6_hostname</vt:lpstr>
      <vt:lpstr>wld_az1_rack3_host6_mgmt_ip</vt:lpstr>
      <vt:lpstr>wld_az1_rack3_host7_fqdn</vt:lpstr>
      <vt:lpstr>wld_az1_rack3_host7_hostname</vt:lpstr>
      <vt:lpstr>wld_az1_rack3_host7_mgmt_ip</vt:lpstr>
      <vt:lpstr>wld_az1_rack3_host8_fqdn</vt:lpstr>
      <vt:lpstr>wld_az1_rack3_host8_hostname</vt:lpstr>
      <vt:lpstr>wld_az1_rack3_host8_mgmt_ip</vt:lpstr>
      <vt:lpstr>wld_az1_rack3_host9_fqdn</vt:lpstr>
      <vt:lpstr>wld_az1_rack3_host9_hostname</vt:lpstr>
      <vt:lpstr>wld_az1_rack3_host9_mgmt_ip</vt:lpstr>
      <vt:lpstr>wld_az1_rack3_mgmt_cidr</vt:lpstr>
      <vt:lpstr>wld_az1_rack3_mgmt_gateway_cidr</vt:lpstr>
      <vt:lpstr>wld_az1_rack3_mgmt_gateway_ip</vt:lpstr>
      <vt:lpstr>wld_az1_rack3_mgmt_mask</vt:lpstr>
      <vt:lpstr>wld_az1_rack3_mgmt_mtu</vt:lpstr>
      <vt:lpstr>wld_az1_rack3_mgmt_network</vt:lpstr>
      <vt:lpstr>wld_az1_rack3_mgmt_pg</vt:lpstr>
      <vt:lpstr>wld_az1_rack3_mgmt_vlan</vt:lpstr>
      <vt:lpstr>wld_az1_rack3_mgmt_vm_cidr</vt:lpstr>
      <vt:lpstr>wld_az1_rack3_mgmt_vm_gateway_cidr</vt:lpstr>
      <vt:lpstr>wld_az1_rack3_mgmt_vm_gateway_ip</vt:lpstr>
      <vt:lpstr>wld_az1_rack3_mgmt_vm_mask</vt:lpstr>
      <vt:lpstr>wld_az1_rack3_mgmt_vm_mtu</vt:lpstr>
      <vt:lpstr>wld_az1_rack3_mgmt_vm_pg</vt:lpstr>
      <vt:lpstr>wld_az1_rack3_mgmt_vm_vlan</vt:lpstr>
      <vt:lpstr>wld_az1_rack3_pool_name</vt:lpstr>
      <vt:lpstr>wld_az1_rack3_principal_storage_cidr</vt:lpstr>
      <vt:lpstr>wld_az1_rack3_principal_storage_gateway_cidr</vt:lpstr>
      <vt:lpstr>wld_az1_rack3_principal_storage_gateway_ip</vt:lpstr>
      <vt:lpstr>wld_az1_rack3_principal_storage_mask</vt:lpstr>
      <vt:lpstr>wld_az1_rack3_principal_storage_mtu</vt:lpstr>
      <vt:lpstr>wld_az1_rack3_principal_storage_network</vt:lpstr>
      <vt:lpstr>wld_az1_rack3_principal_storage_pool_end_ip</vt:lpstr>
      <vt:lpstr>wld_az1_rack3_principal_storage_pool_start_ip</vt:lpstr>
      <vt:lpstr>wld_az1_rack3_principal_storage_vlan</vt:lpstr>
      <vt:lpstr>wld_az1_rack3_reuse_vcf_networkpool_chosen</vt:lpstr>
      <vt:lpstr>wld_az1_rack3_rtep_ip_pool_name</vt:lpstr>
      <vt:lpstr>wld_az1_rack3_rtep_overlay_cidr</vt:lpstr>
      <vt:lpstr>wld_az1_rack3_rtep_overlay_gateway_ip</vt:lpstr>
      <vt:lpstr>wld_az1_rack3_rtep_overlay_mtu</vt:lpstr>
      <vt:lpstr>wld_az1_rack3_rtep_overlay_pool_end_ip</vt:lpstr>
      <vt:lpstr>wld_az1_rack3_rtep_overlay_pool_start_ip</vt:lpstr>
      <vt:lpstr>wld_az1_rack3_rtep_overlay_vlan</vt:lpstr>
      <vt:lpstr>wld_az1_rack3_secondary_storage_cidr</vt:lpstr>
      <vt:lpstr>wld_az1_rack3_secondary_storage_gateway_cidr</vt:lpstr>
      <vt:lpstr>wld_az1_rack3_secondary_storage_gateway_ip</vt:lpstr>
      <vt:lpstr>wld_az1_rack3_secondary_storage_mask</vt:lpstr>
      <vt:lpstr>wld_az1_rack3_secondary_storage_mtu</vt:lpstr>
      <vt:lpstr>wld_az1_rack3_secondary_storage_network</vt:lpstr>
      <vt:lpstr>wld_az1_rack3_secondary_storage_pool_end_ip</vt:lpstr>
      <vt:lpstr>wld_az1_rack3_secondary_storage_pool_start_ip</vt:lpstr>
      <vt:lpstr>wld_az1_rack3_secondary_storage_vlan</vt:lpstr>
      <vt:lpstr>wld_az1_rack3_tor1_peer_asn</vt:lpstr>
      <vt:lpstr>wld_az1_rack3_tor1_peer_bgp_password</vt:lpstr>
      <vt:lpstr>wld_az1_rack3_tor1_peer_ip</vt:lpstr>
      <vt:lpstr>wld_az1_rack3_tor2_peer_asn</vt:lpstr>
      <vt:lpstr>wld_az1_rack3_tor2_peer_bgp_password</vt:lpstr>
      <vt:lpstr>wld_az1_rack3_tor2_peer_ip</vt:lpstr>
      <vt:lpstr>wld_az1_rack3_uplink01_cidr</vt:lpstr>
      <vt:lpstr>wld_az1_rack3_uplink01_gateway_cidr</vt:lpstr>
      <vt:lpstr>wld_az1_rack3_uplink01_gateway_ip</vt:lpstr>
      <vt:lpstr>wld_az1_rack3_uplink01_mask</vt:lpstr>
      <vt:lpstr>wld_az1_rack3_uplink01_mtu</vt:lpstr>
      <vt:lpstr>wld_az1_rack3_uplink01_network</vt:lpstr>
      <vt:lpstr>wld_az1_rack3_uplink01_pg</vt:lpstr>
      <vt:lpstr>wld_az1_rack3_uplink01_vlan</vt:lpstr>
      <vt:lpstr>wld_az1_rack3_uplink02_cidr</vt:lpstr>
      <vt:lpstr>wld_az1_rack3_uplink02_gateway_cidr</vt:lpstr>
      <vt:lpstr>wld_az1_rack3_uplink02_gateway_ip</vt:lpstr>
      <vt:lpstr>wld_az1_rack3_uplink02_mask</vt:lpstr>
      <vt:lpstr>wld_az1_rack3_uplink02_mtu</vt:lpstr>
      <vt:lpstr>wld_az1_rack3_uplink02_network</vt:lpstr>
      <vt:lpstr>wld_az1_rack3_uplink02_pg</vt:lpstr>
      <vt:lpstr>wld_az1_rack3_uplink02_vlan</vt:lpstr>
      <vt:lpstr>wld_az1_rack3_vmotion_cidr</vt:lpstr>
      <vt:lpstr>wld_az1_rack3_vmotion_gateway_cidr</vt:lpstr>
      <vt:lpstr>wld_az1_rack3_vmotion_gateway_ip</vt:lpstr>
      <vt:lpstr>wld_az1_rack3_vmotion_mask</vt:lpstr>
      <vt:lpstr>wld_az1_rack3_vmotion_mtu</vt:lpstr>
      <vt:lpstr>wld_az1_rack3_vmotion_network</vt:lpstr>
      <vt:lpstr>wld_az1_rack3_vmotion_pg</vt:lpstr>
      <vt:lpstr>wld_az1_rack3_vmotion_pool_end_ip</vt:lpstr>
      <vt:lpstr>wld_az1_rack3_vmotion_pool_start_ip</vt:lpstr>
      <vt:lpstr>wld_az1_rack3_vmotion_vlan</vt:lpstr>
      <vt:lpstr>wld_az1_rack3_vrms_cidr</vt:lpstr>
      <vt:lpstr>wld_az1_rack3_vrms_gateway_ip</vt:lpstr>
      <vt:lpstr>wld_az1_rack3_vrms_mtu</vt:lpstr>
      <vt:lpstr>wld_az1_rack3_vrms_vlan</vt:lpstr>
      <vt:lpstr>wld_az1_rack3_vsan_fault_domain</vt:lpstr>
      <vt:lpstr>wld_az1_rack4_edge_overlay_cidr</vt:lpstr>
      <vt:lpstr>wld_az1_rack4_edge_overlay_gateway_ip</vt:lpstr>
      <vt:lpstr>wld_az1_rack4_edge_overlay_mask</vt:lpstr>
      <vt:lpstr>wld_az1_rack4_edge_overlay_mtu</vt:lpstr>
      <vt:lpstr>wld_az1_rack4_edge_overlay_network</vt:lpstr>
      <vt:lpstr>wld_az1_rack4_edge_overlay_network_pool_name</vt:lpstr>
      <vt:lpstr>wld_az1_rack4_edge_overlay_pool_end_ip</vt:lpstr>
      <vt:lpstr>wld_az1_rack4_edge_overlay_pool_start_ip</vt:lpstr>
      <vt:lpstr>wld_az1_rack4_edge_overlay_vlan</vt:lpstr>
      <vt:lpstr>wld_az1_rack4_en1_edge_overlay_interface_ip_1_ip</vt:lpstr>
      <vt:lpstr>wld_az1_rack4_en1_edge_overlay_interface_ip_2_ip</vt:lpstr>
      <vt:lpstr>wld_az1_rack4_en1_fqdn</vt:lpstr>
      <vt:lpstr>wld_az1_rack4_en1_hostname</vt:lpstr>
      <vt:lpstr>wld_az1_rack4_en1_mgmt_ip</vt:lpstr>
      <vt:lpstr>wld_az1_rack4_en1_uplink01_interface_ip</vt:lpstr>
      <vt:lpstr>wld_az1_rack4_en1_uplink02_interface_ip</vt:lpstr>
      <vt:lpstr>wld_az1_rack4_en2_fqdn</vt:lpstr>
      <vt:lpstr>wld_az1_rack4_en2_hostname</vt:lpstr>
      <vt:lpstr>wld_az1_rack4_en2_mgmt_ip</vt:lpstr>
      <vt:lpstr>wld_az1_rack4_en2_uplink01_interface_ip</vt:lpstr>
      <vt:lpstr>wld_az1_rack4_en2_uplink02_interface_ip</vt:lpstr>
      <vt:lpstr>wld_az1_rack4_host_fqdns</vt:lpstr>
      <vt:lpstr>wld_az1_rack4_host_hostnames</vt:lpstr>
      <vt:lpstr>wld_az1_rack4_host_mgmt_ips</vt:lpstr>
      <vt:lpstr>wld_az1_rack4_host_overlay_cidr</vt:lpstr>
      <vt:lpstr>wld_az1_rack4_host_overlay_gateway_cidr</vt:lpstr>
      <vt:lpstr>wld_az1_rack4_host_overlay_gateway_ip</vt:lpstr>
      <vt:lpstr>wld_az1_rack4_host_overlay_mask</vt:lpstr>
      <vt:lpstr>wld_az1_rack4_host_overlay_mtu</vt:lpstr>
      <vt:lpstr>wld_az1_rack4_host_overlay_network</vt:lpstr>
      <vt:lpstr>wld_az1_rack4_host_overlay_network_pool_name</vt:lpstr>
      <vt:lpstr>wld_az1_rack4_host_overlay_network_profile_name</vt:lpstr>
      <vt:lpstr>wld_az1_rack4_host_overlay_new_pool_chosen</vt:lpstr>
      <vt:lpstr>wld_az1_rack4_host_overlay_pool_end_ip</vt:lpstr>
      <vt:lpstr>wld_az1_rack4_host_overlay_pool_start_ip</vt:lpstr>
      <vt:lpstr>wld_az1_rack4_host_overlay_uplink_profile_name</vt:lpstr>
      <vt:lpstr>wld_az1_rack4_host_overlay_vlan</vt:lpstr>
      <vt:lpstr>wld_az1_rack4_host1_fqdn</vt:lpstr>
      <vt:lpstr>wld_az1_rack4_host1_hostname</vt:lpstr>
      <vt:lpstr>wld_az1_rack4_host1_mgmt_ip</vt:lpstr>
      <vt:lpstr>wld_az1_rack4_host10_fqdn</vt:lpstr>
      <vt:lpstr>wld_az1_rack4_host10_hostname</vt:lpstr>
      <vt:lpstr>wld_az1_rack4_host10_mgmt_ip</vt:lpstr>
      <vt:lpstr>wld_az1_rack4_host11_fqdn</vt:lpstr>
      <vt:lpstr>wld_az1_rack4_host11_hostname</vt:lpstr>
      <vt:lpstr>wld_az1_rack4_host11_mgmt_ip</vt:lpstr>
      <vt:lpstr>wld_az1_rack4_host12_fqdn</vt:lpstr>
      <vt:lpstr>wld_az1_rack4_host12_hostname</vt:lpstr>
      <vt:lpstr>wld_az1_rack4_host12_mgmt_ip</vt:lpstr>
      <vt:lpstr>wld_az1_rack4_host13_fqdn</vt:lpstr>
      <vt:lpstr>wld_az1_rack4_host13_hostname</vt:lpstr>
      <vt:lpstr>wld_az1_rack4_host13_mgmt_ip</vt:lpstr>
      <vt:lpstr>wld_az1_rack4_host14_fqdn</vt:lpstr>
      <vt:lpstr>wld_az1_rack4_host14_hostname</vt:lpstr>
      <vt:lpstr>wld_az1_rack4_host14_mgmt_ip</vt:lpstr>
      <vt:lpstr>wld_az1_rack4_host15_fqdn</vt:lpstr>
      <vt:lpstr>wld_az1_rack4_host15_hostname</vt:lpstr>
      <vt:lpstr>wld_az1_rack4_host15_mgmt_ip</vt:lpstr>
      <vt:lpstr>wld_az1_rack4_host16_fqdn</vt:lpstr>
      <vt:lpstr>wld_az1_rack4_host16_hostname</vt:lpstr>
      <vt:lpstr>wld_az1_rack4_host16_mgmt_ip</vt:lpstr>
      <vt:lpstr>wld_az1_rack4_host2_fqdn</vt:lpstr>
      <vt:lpstr>wld_az1_rack4_host2_hostname</vt:lpstr>
      <vt:lpstr>wld_az1_rack4_host2_mgmt_ip</vt:lpstr>
      <vt:lpstr>wld_az1_rack4_host3_fqdn</vt:lpstr>
      <vt:lpstr>wld_az1_rack4_host3_hostname</vt:lpstr>
      <vt:lpstr>wld_az1_rack4_host3_mgmt_ip</vt:lpstr>
      <vt:lpstr>wld_az1_rack4_host4_fqdn</vt:lpstr>
      <vt:lpstr>wld_az1_rack4_host4_hostname</vt:lpstr>
      <vt:lpstr>wld_az1_rack4_host4_mgmt_ip</vt:lpstr>
      <vt:lpstr>wld_az1_rack4_host5_fqdn</vt:lpstr>
      <vt:lpstr>wld_az1_rack4_host5_hostname</vt:lpstr>
      <vt:lpstr>wld_az1_rack4_host5_mgmt_ip</vt:lpstr>
      <vt:lpstr>wld_az1_rack4_host6_fqdn</vt:lpstr>
      <vt:lpstr>wld_az1_rack4_host6_hostname</vt:lpstr>
      <vt:lpstr>wld_az1_rack4_host6_mgmt_ip</vt:lpstr>
      <vt:lpstr>wld_az1_rack4_host7_fqdn</vt:lpstr>
      <vt:lpstr>wld_az1_rack4_host7_hostname</vt:lpstr>
      <vt:lpstr>wld_az1_rack4_host7_mgmt_ip</vt:lpstr>
      <vt:lpstr>wld_az1_rack4_host8_fqdn</vt:lpstr>
      <vt:lpstr>wld_az1_rack4_host8_hostname</vt:lpstr>
      <vt:lpstr>wld_az1_rack4_host8_mgmt_ip</vt:lpstr>
      <vt:lpstr>wld_az1_rack4_host9_fqdn</vt:lpstr>
      <vt:lpstr>wld_az1_rack4_host9_hostname</vt:lpstr>
      <vt:lpstr>wld_az1_rack4_host9_mgmt_ip</vt:lpstr>
      <vt:lpstr>wld_az1_rack4_mgmt_cidr</vt:lpstr>
      <vt:lpstr>wld_az1_rack4_mgmt_gateway_cidr</vt:lpstr>
      <vt:lpstr>wld_az1_rack4_mgmt_gateway_ip</vt:lpstr>
      <vt:lpstr>wld_az1_rack4_mgmt_mask</vt:lpstr>
      <vt:lpstr>wld_az1_rack4_mgmt_mtu</vt:lpstr>
      <vt:lpstr>wld_az1_rack4_mgmt_network</vt:lpstr>
      <vt:lpstr>wld_az1_rack4_mgmt_pg</vt:lpstr>
      <vt:lpstr>wld_az1_rack4_mgmt_vlan</vt:lpstr>
      <vt:lpstr>wld_az1_rack4_mgmt_vm_cidr</vt:lpstr>
      <vt:lpstr>wld_az1_rack4_mgmt_vm_gateway_cidr</vt:lpstr>
      <vt:lpstr>wld_az1_rack4_mgmt_vm_gateway_ip</vt:lpstr>
      <vt:lpstr>wld_az1_rack4_mgmt_vm_mask</vt:lpstr>
      <vt:lpstr>wld_az1_rack4_mgmt_vm_mtu</vt:lpstr>
      <vt:lpstr>wld_az1_rack4_mgmt_vm_pg</vt:lpstr>
      <vt:lpstr>wld_az1_rack4_mgmt_vm_vlan</vt:lpstr>
      <vt:lpstr>wld_az1_rack4_pool_name</vt:lpstr>
      <vt:lpstr>wld_az1_rack4_principal_storage_cidr</vt:lpstr>
      <vt:lpstr>wld_az1_rack4_principal_storage_gateway_cidr</vt:lpstr>
      <vt:lpstr>wld_az1_rack4_principal_storage_gateway_ip</vt:lpstr>
      <vt:lpstr>wld_az1_rack4_principal_storage_mask</vt:lpstr>
      <vt:lpstr>wld_az1_rack4_principal_storage_mtu</vt:lpstr>
      <vt:lpstr>wld_az1_rack4_principal_storage_network</vt:lpstr>
      <vt:lpstr>wld_az1_rack4_principal_storage_pg</vt:lpstr>
      <vt:lpstr>wld_az1_rack4_principal_storage_pool_end_ip</vt:lpstr>
      <vt:lpstr>wld_az1_rack4_principal_storage_pool_start_ip</vt:lpstr>
      <vt:lpstr>wld_az1_rack4_principal_storage_vlan</vt:lpstr>
      <vt:lpstr>wld_az1_rack4_reuse_vcf_networkpool_chosen</vt:lpstr>
      <vt:lpstr>wld_az1_rack4_rtep_ip_pool_name</vt:lpstr>
      <vt:lpstr>wld_az1_rack4_rtep_overlay_cidr</vt:lpstr>
      <vt:lpstr>wld_az1_rack4_rtep_overlay_gateway_ip</vt:lpstr>
      <vt:lpstr>wld_az1_rack4_rtep_overlay_mtu</vt:lpstr>
      <vt:lpstr>wld_az1_rack4_rtep_overlay_pool_end_ip</vt:lpstr>
      <vt:lpstr>wld_az1_rack4_rtep_overlay_pool_start_ip</vt:lpstr>
      <vt:lpstr>wld_az1_rack4_rtep_overlay_vlan</vt:lpstr>
      <vt:lpstr>wld_az1_rack4_secondary_storage_cidr</vt:lpstr>
      <vt:lpstr>wld_az1_rack4_secondary_storage_gateway_cidr</vt:lpstr>
      <vt:lpstr>wld_az1_rack4_secondary_storage_gateway_ip</vt:lpstr>
      <vt:lpstr>wld_az1_rack4_secondary_storage_mask</vt:lpstr>
      <vt:lpstr>wld_az1_rack4_secondary_storage_mtu</vt:lpstr>
      <vt:lpstr>wld_az1_rack4_secondary_storage_network</vt:lpstr>
      <vt:lpstr>wld_az1_rack4_secondary_storage_pool_end_ip</vt:lpstr>
      <vt:lpstr>wld_az1_rack4_secondary_storage_pool_start_ip</vt:lpstr>
      <vt:lpstr>wld_az1_rack4_secondary_storage_vlan</vt:lpstr>
      <vt:lpstr>wld_az1_rack4_tor1_peer_asn</vt:lpstr>
      <vt:lpstr>wld_az1_rack4_tor1_peer_bgp_password</vt:lpstr>
      <vt:lpstr>wld_az1_rack4_tor1_peer_ip</vt:lpstr>
      <vt:lpstr>wld_az1_rack4_tor2_peer_asn</vt:lpstr>
      <vt:lpstr>wld_az1_rack4_tor2_peer_bgp_password</vt:lpstr>
      <vt:lpstr>wld_az1_rack4_tor2_peer_ip</vt:lpstr>
      <vt:lpstr>wld_az1_rack4_uplink01_cidr</vt:lpstr>
      <vt:lpstr>wld_az1_rack4_uplink01_gateway_cidr</vt:lpstr>
      <vt:lpstr>wld_az1_rack4_uplink01_gateway_ip</vt:lpstr>
      <vt:lpstr>wld_az1_rack4_uplink01_mask</vt:lpstr>
      <vt:lpstr>wld_az1_rack4_uplink01_mtu</vt:lpstr>
      <vt:lpstr>wld_az1_rack4_uplink01_network</vt:lpstr>
      <vt:lpstr>wld_az1_rack4_uplink01_pg</vt:lpstr>
      <vt:lpstr>wld_az1_rack4_uplink01_vlan</vt:lpstr>
      <vt:lpstr>wld_az1_rack4_uplink02_cidr</vt:lpstr>
      <vt:lpstr>wld_az1_rack4_uplink02_gateway_cidr</vt:lpstr>
      <vt:lpstr>wld_az1_rack4_uplink02_gateway_ip</vt:lpstr>
      <vt:lpstr>wld_az1_rack4_uplink02_mask</vt:lpstr>
      <vt:lpstr>wld_az1_rack4_uplink02_mtu</vt:lpstr>
      <vt:lpstr>wld_az1_rack4_uplink02_network</vt:lpstr>
      <vt:lpstr>wld_az1_rack4_uplink02_pg</vt:lpstr>
      <vt:lpstr>wld_az1_rack4_uplink02_vlan</vt:lpstr>
      <vt:lpstr>wld_az1_rack4_vmotion_cidr</vt:lpstr>
      <vt:lpstr>wld_az1_rack4_vmotion_gateway_cidr</vt:lpstr>
      <vt:lpstr>wld_az1_rack4_vmotion_gateway_ip</vt:lpstr>
      <vt:lpstr>wld_az1_rack4_vmotion_mask</vt:lpstr>
      <vt:lpstr>wld_az1_rack4_vmotion_mtu</vt:lpstr>
      <vt:lpstr>wld_az1_rack4_vmotion_network</vt:lpstr>
      <vt:lpstr>wld_az1_rack4_vmotion_pg</vt:lpstr>
      <vt:lpstr>wld_az1_rack4_vmotion_pool_end_ip</vt:lpstr>
      <vt:lpstr>wld_az1_rack4_vmotion_pool_start_ip</vt:lpstr>
      <vt:lpstr>wld_az1_rack4_vmotion_vlan</vt:lpstr>
      <vt:lpstr>wld_az1_rack4_vrms_cidr</vt:lpstr>
      <vt:lpstr>wld_az1_rack4_vrms_gateway_ip</vt:lpstr>
      <vt:lpstr>wld_az1_rack4_vrms_mtu</vt:lpstr>
      <vt:lpstr>wld_az1_rack4_vrms_vlan</vt:lpstr>
      <vt:lpstr>wld_az1_rack4_vsan_fault_domain</vt:lpstr>
      <vt:lpstr>wld_az1_rack5_edge_overlay_cidr</vt:lpstr>
      <vt:lpstr>wld_az1_rack5_edge_overlay_gateway_cidr</vt:lpstr>
      <vt:lpstr>wld_az1_rack5_edge_overlay_gateway_ip</vt:lpstr>
      <vt:lpstr>wld_az1_rack5_edge_overlay_mask</vt:lpstr>
      <vt:lpstr>wld_az1_rack5_edge_overlay_mtu</vt:lpstr>
      <vt:lpstr>wld_az1_rack5_edge_overlay_network</vt:lpstr>
      <vt:lpstr>wld_az1_rack5_edge_overlay_network_pool_name</vt:lpstr>
      <vt:lpstr>wld_az1_rack5_edge_overlay_pool_end_ip</vt:lpstr>
      <vt:lpstr>wld_az1_rack5_edge_overlay_pool_start_ip</vt:lpstr>
      <vt:lpstr>wld_az1_rack5_edge_overlay_vlan</vt:lpstr>
      <vt:lpstr>wld_az1_rack5_en1_edge_overlay_interface_ip_1_ip</vt:lpstr>
      <vt:lpstr>wld_az1_rack5_en1_edge_overlay_interface_ip_2_ip</vt:lpstr>
      <vt:lpstr>wld_az1_rack5_en1_fqdn</vt:lpstr>
      <vt:lpstr>wld_az1_rack5_en1_hostname</vt:lpstr>
      <vt:lpstr>wld_az1_rack5_en1_mgmt_ip</vt:lpstr>
      <vt:lpstr>wld_az1_rack5_en1_uplink01_interface_ip</vt:lpstr>
      <vt:lpstr>wld_az1_rack5_en1_uplink02_interface_ip</vt:lpstr>
      <vt:lpstr>wld_az1_rack5_en2_fqdn</vt:lpstr>
      <vt:lpstr>wld_az1_rack5_en2_hostname</vt:lpstr>
      <vt:lpstr>wld_az1_rack5_en2_mgmt_ip</vt:lpstr>
      <vt:lpstr>wld_az1_rack5_en2_uplink01_interface_ip</vt:lpstr>
      <vt:lpstr>wld_az1_rack5_en2_uplink02_interface_ip</vt:lpstr>
      <vt:lpstr>wld_az1_rack5_host_fqdns</vt:lpstr>
      <vt:lpstr>wld_az1_rack5_host_hostnames</vt:lpstr>
      <vt:lpstr>wld_az1_rack5_host_mgmt_ips</vt:lpstr>
      <vt:lpstr>wld_az1_rack5_host_overlay_cidr</vt:lpstr>
      <vt:lpstr>wld_az1_rack5_host_overlay_gateway_cidr</vt:lpstr>
      <vt:lpstr>wld_az1_rack5_host_overlay_gateway_ip</vt:lpstr>
      <vt:lpstr>wld_az1_rack5_host_overlay_mask</vt:lpstr>
      <vt:lpstr>wld_az1_rack5_host_overlay_mtu</vt:lpstr>
      <vt:lpstr>wld_az1_rack5_host_overlay_network</vt:lpstr>
      <vt:lpstr>wld_az1_rack5_host_overlay_network_pool_name</vt:lpstr>
      <vt:lpstr>wld_az1_rack5_host_overlay_network_profile_name</vt:lpstr>
      <vt:lpstr>wld_az1_rack5_host_overlay_new_pool_chosen</vt:lpstr>
      <vt:lpstr>wld_az1_rack5_host_overlay_pool_end_ip</vt:lpstr>
      <vt:lpstr>wld_az1_rack5_host_overlay_pool_start_ip</vt:lpstr>
      <vt:lpstr>wld_az1_rack5_host_overlay_uplink_profile_name</vt:lpstr>
      <vt:lpstr>wld_az1_rack5_host_overlay_vlan</vt:lpstr>
      <vt:lpstr>wld_az1_rack5_host1_fqdn</vt:lpstr>
      <vt:lpstr>wld_az1_rack5_host1_hostname</vt:lpstr>
      <vt:lpstr>wld_az1_rack5_host1_mgmt_ip</vt:lpstr>
      <vt:lpstr>wld_az1_rack5_host10_fqdn</vt:lpstr>
      <vt:lpstr>wld_az1_rack5_host10_hostname</vt:lpstr>
      <vt:lpstr>wld_az1_rack5_host10_mgmt_ip</vt:lpstr>
      <vt:lpstr>wld_az1_rack5_host11_fqdn</vt:lpstr>
      <vt:lpstr>wld_az1_rack5_host11_hostname</vt:lpstr>
      <vt:lpstr>wld_az1_rack5_host11_mgmt_ip</vt:lpstr>
      <vt:lpstr>wld_az1_rack5_host12_fqdn</vt:lpstr>
      <vt:lpstr>wld_az1_rack5_host12_hostname</vt:lpstr>
      <vt:lpstr>wld_az1_rack5_host12_mgmt_ip</vt:lpstr>
      <vt:lpstr>wld_az1_rack5_host13_fqdn</vt:lpstr>
      <vt:lpstr>wld_az1_rack5_host13_hostname</vt:lpstr>
      <vt:lpstr>wld_az1_rack5_host13_mgmt_ip</vt:lpstr>
      <vt:lpstr>wld_az1_rack5_host14_fqdn</vt:lpstr>
      <vt:lpstr>wld_az1_rack5_host14_hostname</vt:lpstr>
      <vt:lpstr>wld_az1_rack5_host14_mgmt_ip</vt:lpstr>
      <vt:lpstr>wld_az1_rack5_host15_fqdn</vt:lpstr>
      <vt:lpstr>wld_az1_rack5_host15_hostname</vt:lpstr>
      <vt:lpstr>wld_az1_rack5_host15_mgmt_ip</vt:lpstr>
      <vt:lpstr>wld_az1_rack5_host16_fqdn</vt:lpstr>
      <vt:lpstr>wld_az1_rack5_host16_hostname</vt:lpstr>
      <vt:lpstr>wld_az1_rack5_host16_mgmt_ip</vt:lpstr>
      <vt:lpstr>wld_az1_rack5_host2_fqdn</vt:lpstr>
      <vt:lpstr>wld_az1_rack5_host2_hostname</vt:lpstr>
      <vt:lpstr>wld_az1_rack5_host2_mgmt_ip</vt:lpstr>
      <vt:lpstr>wld_az1_rack5_host3_fqdn</vt:lpstr>
      <vt:lpstr>wld_az1_rack5_host3_hostname</vt:lpstr>
      <vt:lpstr>wld_az1_rack5_host3_mgmt_ip</vt:lpstr>
      <vt:lpstr>wld_az1_rack5_host4_fqdn</vt:lpstr>
      <vt:lpstr>wld_az1_rack5_host4_hostname</vt:lpstr>
      <vt:lpstr>wld_az1_rack5_host4_mgmt_ip</vt:lpstr>
      <vt:lpstr>wld_az1_rack5_host5_fqdn</vt:lpstr>
      <vt:lpstr>wld_az1_rack5_host5_hostname</vt:lpstr>
      <vt:lpstr>wld_az1_rack5_host5_mgmt_ip</vt:lpstr>
      <vt:lpstr>wld_az1_rack5_host6_fqdn</vt:lpstr>
      <vt:lpstr>wld_az1_rack5_host6_hostname</vt:lpstr>
      <vt:lpstr>wld_az1_rack5_host6_mgmt_ip</vt:lpstr>
      <vt:lpstr>wld_az1_rack5_host7_fqdn</vt:lpstr>
      <vt:lpstr>wld_az1_rack5_host7_hostname</vt:lpstr>
      <vt:lpstr>wld_az1_rack5_host7_mgmt_ip</vt:lpstr>
      <vt:lpstr>wld_az1_rack5_host8_fqdn</vt:lpstr>
      <vt:lpstr>wld_az1_rack5_host8_hostname</vt:lpstr>
      <vt:lpstr>wld_az1_rack5_host8_mgmt_ip</vt:lpstr>
      <vt:lpstr>wld_az1_rack5_host9_fqdn</vt:lpstr>
      <vt:lpstr>wld_az1_rack5_host9_hostname</vt:lpstr>
      <vt:lpstr>wld_az1_rack5_host9_mgmt_ip</vt:lpstr>
      <vt:lpstr>wld_az1_rack5_mgmt_cidr</vt:lpstr>
      <vt:lpstr>wld_az1_rack5_mgmt_gateway_cidr</vt:lpstr>
      <vt:lpstr>wld_az1_rack5_mgmt_gateway_ip</vt:lpstr>
      <vt:lpstr>wld_az1_rack5_mgmt_mask</vt:lpstr>
      <vt:lpstr>wld_az1_rack5_mgmt_mtu</vt:lpstr>
      <vt:lpstr>wld_az1_rack5_mgmt_network</vt:lpstr>
      <vt:lpstr>wld_az1_rack5_mgmt_pg</vt:lpstr>
      <vt:lpstr>wld_az1_rack5_mgmt_vlan</vt:lpstr>
      <vt:lpstr>wld_az1_rack5_mgmt_vm_cidr</vt:lpstr>
      <vt:lpstr>wld_az1_rack5_mgmt_vm_gateway_cidr</vt:lpstr>
      <vt:lpstr>wld_az1_rack5_mgmt_vm_gateway_ip</vt:lpstr>
      <vt:lpstr>wld_az1_rack5_mgmt_vm_mask</vt:lpstr>
      <vt:lpstr>wld_az1_rack5_mgmt_vm_mtu</vt:lpstr>
      <vt:lpstr>wld_az1_rack5_mgmt_vm_pg</vt:lpstr>
      <vt:lpstr>wld_az1_rack5_mgmt_vm_vlan</vt:lpstr>
      <vt:lpstr>wld_az1_rack5_pool_name</vt:lpstr>
      <vt:lpstr>wld_az1_rack5_principal_storage_cidr</vt:lpstr>
      <vt:lpstr>wld_az1_rack5_principal_storage_gateway_cidr</vt:lpstr>
      <vt:lpstr>wld_az1_rack5_principal_storage_gateway_ip</vt:lpstr>
      <vt:lpstr>wld_az1_rack5_principal_storage_mask</vt:lpstr>
      <vt:lpstr>wld_az1_rack5_principal_storage_mtu</vt:lpstr>
      <vt:lpstr>wld_az1_rack5_principal_storage_network</vt:lpstr>
      <vt:lpstr>wld_az1_rack5_principal_storage_pg</vt:lpstr>
      <vt:lpstr>wld_az1_rack5_principal_storage_pool_end_ip</vt:lpstr>
      <vt:lpstr>wld_az1_rack5_principal_storage_pool_start_ip</vt:lpstr>
      <vt:lpstr>wld_az1_rack5_principal_storage_vlan</vt:lpstr>
      <vt:lpstr>wld_az1_rack5_reuse_vcf_networkpool_chosen</vt:lpstr>
      <vt:lpstr>wld_az1_rack5_rtep_ip_pool_name</vt:lpstr>
      <vt:lpstr>wld_az1_rack5_rtep_overlay_cidr</vt:lpstr>
      <vt:lpstr>wld_az1_rack5_rtep_overlay_gateway_ip</vt:lpstr>
      <vt:lpstr>wld_az1_rack5_rtep_overlay_mtu</vt:lpstr>
      <vt:lpstr>wld_az1_rack5_rtep_overlay_pool_end_ip</vt:lpstr>
      <vt:lpstr>wld_az1_rack5_rtep_overlay_pool_start_ip</vt:lpstr>
      <vt:lpstr>wld_az1_rack5_rtep_overlay_vlan</vt:lpstr>
      <vt:lpstr>wld_az1_rack5_secondary_storage_cidr</vt:lpstr>
      <vt:lpstr>wld_az1_rack5_secondary_storage_gateway_cidr</vt:lpstr>
      <vt:lpstr>wld_az1_rack5_secondary_storage_gateway_ip</vt:lpstr>
      <vt:lpstr>wld_az1_rack5_secondary_storage_mask</vt:lpstr>
      <vt:lpstr>wld_az1_rack5_secondary_storage_mtu</vt:lpstr>
      <vt:lpstr>wld_az1_rack5_secondary_storage_network</vt:lpstr>
      <vt:lpstr>wld_az1_rack5_secondary_storage_pool_end_ip</vt:lpstr>
      <vt:lpstr>wld_az1_rack5_secondary_storage_pool_start_ip</vt:lpstr>
      <vt:lpstr>wld_az1_rack5_secondary_storage_vlan</vt:lpstr>
      <vt:lpstr>wld_az1_rack5_tor1_peer_asn</vt:lpstr>
      <vt:lpstr>wld_az1_rack5_tor1_peer_bgp_password</vt:lpstr>
      <vt:lpstr>wld_az1_rack5_tor1_peer_ip</vt:lpstr>
      <vt:lpstr>wld_az1_rack5_tor2_peer_asn</vt:lpstr>
      <vt:lpstr>wld_az1_rack5_tor2_peer_bgp_password</vt:lpstr>
      <vt:lpstr>wld_az1_rack5_tor2_peer_ip</vt:lpstr>
      <vt:lpstr>wld_az1_rack5_uplink01_cidr</vt:lpstr>
      <vt:lpstr>wld_az1_rack5_uplink01_gateway_cidr</vt:lpstr>
      <vt:lpstr>wld_az1_rack5_uplink01_gateway_ip</vt:lpstr>
      <vt:lpstr>wld_az1_rack5_uplink01_mask</vt:lpstr>
      <vt:lpstr>wld_az1_rack5_uplink01_mtu</vt:lpstr>
      <vt:lpstr>wld_az1_rack5_uplink01_network</vt:lpstr>
      <vt:lpstr>wld_az1_rack5_uplink01_pg</vt:lpstr>
      <vt:lpstr>wld_az1_rack5_uplink01_vlan</vt:lpstr>
      <vt:lpstr>wld_az1_rack5_uplink02_cidr</vt:lpstr>
      <vt:lpstr>wld_az1_rack5_uplink02_gateway_cidr</vt:lpstr>
      <vt:lpstr>wld_az1_rack5_uplink02_gateway_ip</vt:lpstr>
      <vt:lpstr>wld_az1_rack5_uplink02_mask</vt:lpstr>
      <vt:lpstr>wld_az1_rack5_uplink02_mtu</vt:lpstr>
      <vt:lpstr>wld_az1_rack5_uplink02_network</vt:lpstr>
      <vt:lpstr>wld_az1_rack5_uplink02_pg</vt:lpstr>
      <vt:lpstr>wld_az1_rack5_uplink02_vlan</vt:lpstr>
      <vt:lpstr>wld_az1_rack5_vmotion_cidr</vt:lpstr>
      <vt:lpstr>wld_az1_rack5_vmotion_gateway_cidr</vt:lpstr>
      <vt:lpstr>wld_az1_rack5_vmotion_gateway_ip</vt:lpstr>
      <vt:lpstr>wld_az1_rack5_vmotion_mask</vt:lpstr>
      <vt:lpstr>wld_az1_rack5_vmotion_mtu</vt:lpstr>
      <vt:lpstr>wld_az1_rack5_vmotion_network</vt:lpstr>
      <vt:lpstr>wld_az1_rack5_vmotion_pg</vt:lpstr>
      <vt:lpstr>wld_az1_rack5_vmotion_pool_end_ip</vt:lpstr>
      <vt:lpstr>wld_az1_rack5_vmotion_pool_start_ip</vt:lpstr>
      <vt:lpstr>wld_az1_rack5_vmotion_vlan</vt:lpstr>
      <vt:lpstr>wld_az1_rack5_vrms_cidr</vt:lpstr>
      <vt:lpstr>wld_az1_rack5_vrms_gateway_ip</vt:lpstr>
      <vt:lpstr>wld_az1_rack5_vrms_mtu</vt:lpstr>
      <vt:lpstr>wld_az1_rack5_vrms_vlan</vt:lpstr>
      <vt:lpstr>wld_az1_rack5_vsan_fault_domain</vt:lpstr>
      <vt:lpstr>wld_az1_rack6_edge_overlay_cidr</vt:lpstr>
      <vt:lpstr>wld_az1_rack6_edge_overlay_gateway_cidr</vt:lpstr>
      <vt:lpstr>wld_az1_rack6_edge_overlay_gateway_ip</vt:lpstr>
      <vt:lpstr>wld_az1_rack6_edge_overlay_mask</vt:lpstr>
      <vt:lpstr>wld_az1_rack6_edge_overlay_mtu</vt:lpstr>
      <vt:lpstr>wld_az1_rack6_edge_overlay_network</vt:lpstr>
      <vt:lpstr>wld_az1_rack6_edge_overlay_network_pool_name</vt:lpstr>
      <vt:lpstr>wld_az1_rack6_edge_overlay_pool_end_ip</vt:lpstr>
      <vt:lpstr>wld_az1_rack6_edge_overlay_pool_start_ip</vt:lpstr>
      <vt:lpstr>wld_az1_rack6_edge_overlay_vlan</vt:lpstr>
      <vt:lpstr>wld_az1_rack6_en1_edge_overlay_interface_ip_1_ip</vt:lpstr>
      <vt:lpstr>wld_az1_rack6_en1_edge_overlay_interface_ip_2_ip</vt:lpstr>
      <vt:lpstr>wld_az1_rack6_en1_fqdn</vt:lpstr>
      <vt:lpstr>wld_az1_rack6_en1_hostname</vt:lpstr>
      <vt:lpstr>wld_az1_rack6_en1_mgmt_ip</vt:lpstr>
      <vt:lpstr>wld_az1_rack6_en1_uplink01_interface_ip</vt:lpstr>
      <vt:lpstr>wld_az1_rack6_en1_uplink02_interface_ip</vt:lpstr>
      <vt:lpstr>wld_az1_rack6_en2_fqdn</vt:lpstr>
      <vt:lpstr>wld_az1_rack6_en2_hostname</vt:lpstr>
      <vt:lpstr>wld_az1_rack6_en2_mgmt_ip</vt:lpstr>
      <vt:lpstr>wld_az1_rack6_en2_uplink01_interface_ip</vt:lpstr>
      <vt:lpstr>wld_az1_rack6_en2_uplink02_interface_ip</vt:lpstr>
      <vt:lpstr>wld_az1_rack6_host_fqdns</vt:lpstr>
      <vt:lpstr>wld_az1_rack6_host_hostnames</vt:lpstr>
      <vt:lpstr>wld_az1_rack6_host_mgmt_ips</vt:lpstr>
      <vt:lpstr>wld_az1_rack6_host_overlay_cidr</vt:lpstr>
      <vt:lpstr>wld_az1_rack6_host_overlay_gateway_cidr</vt:lpstr>
      <vt:lpstr>wld_az1_rack6_host_overlay_gateway_ip</vt:lpstr>
      <vt:lpstr>wld_az1_rack6_host_overlay_mask</vt:lpstr>
      <vt:lpstr>wld_az1_rack6_host_overlay_mtu</vt:lpstr>
      <vt:lpstr>wld_az1_rack6_host_overlay_network</vt:lpstr>
      <vt:lpstr>wld_az1_rack6_host_overlay_network_pool_name</vt:lpstr>
      <vt:lpstr>wld_az1_rack6_host_overlay_network_profile_name</vt:lpstr>
      <vt:lpstr>wld_az1_rack6_host_overlay_new_pool_chosen</vt:lpstr>
      <vt:lpstr>wld_az1_rack6_host_overlay_pool_end_ip</vt:lpstr>
      <vt:lpstr>wld_az1_rack6_host_overlay_pool_start_ip</vt:lpstr>
      <vt:lpstr>wld_az1_rack6_host_overlay_uplink_profile_name</vt:lpstr>
      <vt:lpstr>wld_az1_rack6_host_overlay_vlan</vt:lpstr>
      <vt:lpstr>wld_az1_rack6_host1_fqdn</vt:lpstr>
      <vt:lpstr>wld_az1_rack6_host1_hostname</vt:lpstr>
      <vt:lpstr>wld_az1_rack6_host1_mgmt_ip</vt:lpstr>
      <vt:lpstr>wld_az1_rack6_host10_fqdn</vt:lpstr>
      <vt:lpstr>wld_az1_rack6_host10_hostname</vt:lpstr>
      <vt:lpstr>wld_az1_rack6_host10_mgmt_ip</vt:lpstr>
      <vt:lpstr>wld_az1_rack6_host11_fqdn</vt:lpstr>
      <vt:lpstr>wld_az1_rack6_host11_hostname</vt:lpstr>
      <vt:lpstr>wld_az1_rack6_host11_mgmt_ip</vt:lpstr>
      <vt:lpstr>wld_az1_rack6_host12_fqdn</vt:lpstr>
      <vt:lpstr>wld_az1_rack6_host12_hostname</vt:lpstr>
      <vt:lpstr>wld_az1_rack6_host12_mgmt_ip</vt:lpstr>
      <vt:lpstr>wld_az1_rack6_host13_fqdn</vt:lpstr>
      <vt:lpstr>wld_az1_rack6_host13_hostname</vt:lpstr>
      <vt:lpstr>wld_az1_rack6_host13_mgmt_ip</vt:lpstr>
      <vt:lpstr>wld_az1_rack6_host14_fqdn</vt:lpstr>
      <vt:lpstr>wld_az1_rack6_host14_hostname</vt:lpstr>
      <vt:lpstr>wld_az1_rack6_host14_mgmt_ip</vt:lpstr>
      <vt:lpstr>wld_az1_rack6_host15_fqdn</vt:lpstr>
      <vt:lpstr>wld_az1_rack6_host15_hostname</vt:lpstr>
      <vt:lpstr>wld_az1_rack6_host15_mgmt_ip</vt:lpstr>
      <vt:lpstr>wld_az1_rack6_host16_fqdn</vt:lpstr>
      <vt:lpstr>wld_az1_rack6_host16_hostname</vt:lpstr>
      <vt:lpstr>wld_az1_rack6_host16_mgmt_ip</vt:lpstr>
      <vt:lpstr>wld_az1_rack6_host2_fqdn</vt:lpstr>
      <vt:lpstr>wld_az1_rack6_host2_hostname</vt:lpstr>
      <vt:lpstr>wld_az1_rack6_host2_mgmt_ip</vt:lpstr>
      <vt:lpstr>wld_az1_rack6_host3_fqdn</vt:lpstr>
      <vt:lpstr>wld_az1_rack6_host3_hostname</vt:lpstr>
      <vt:lpstr>wld_az1_rack6_host3_mgmt_ip</vt:lpstr>
      <vt:lpstr>wld_az1_rack6_host4_fqdn</vt:lpstr>
      <vt:lpstr>wld_az1_rack6_host4_hostname</vt:lpstr>
      <vt:lpstr>wld_az1_rack6_host4_mgmt_ip</vt:lpstr>
      <vt:lpstr>wld_az1_rack6_host5_fqdn</vt:lpstr>
      <vt:lpstr>wld_az1_rack6_host5_hostname</vt:lpstr>
      <vt:lpstr>wld_az1_rack6_host5_mgmt_ip</vt:lpstr>
      <vt:lpstr>wld_az1_rack6_host6_fqdn</vt:lpstr>
      <vt:lpstr>wld_az1_rack6_host6_hostname</vt:lpstr>
      <vt:lpstr>wld_az1_rack6_host6_mgmt_ip</vt:lpstr>
      <vt:lpstr>wld_az1_rack6_host7_fqdn</vt:lpstr>
      <vt:lpstr>wld_az1_rack6_host7_hostname</vt:lpstr>
      <vt:lpstr>wld_az1_rack6_host7_mgmt_ip</vt:lpstr>
      <vt:lpstr>wld_az1_rack6_host8_fqdn</vt:lpstr>
      <vt:lpstr>wld_az1_rack6_host8_hostname</vt:lpstr>
      <vt:lpstr>wld_az1_rack6_host8_mgmt_ip</vt:lpstr>
      <vt:lpstr>wld_az1_rack6_host9_fqdn</vt:lpstr>
      <vt:lpstr>wld_az1_rack6_host9_hostname</vt:lpstr>
      <vt:lpstr>wld_az1_rack6_host9_mgmt_ip</vt:lpstr>
      <vt:lpstr>wld_az1_rack6_mgmt_cidr</vt:lpstr>
      <vt:lpstr>wld_az1_rack6_mgmt_gateway_cidr</vt:lpstr>
      <vt:lpstr>wld_az1_rack6_mgmt_gateway_ip</vt:lpstr>
      <vt:lpstr>wld_az1_rack6_mgmt_mask</vt:lpstr>
      <vt:lpstr>wld_az1_rack6_mgmt_mtu</vt:lpstr>
      <vt:lpstr>wld_az1_rack6_mgmt_network</vt:lpstr>
      <vt:lpstr>wld_az1_rack6_mgmt_pg</vt:lpstr>
      <vt:lpstr>wld_az1_rack6_mgmt_vlan</vt:lpstr>
      <vt:lpstr>wld_az1_rack6_mgmt_vm_cidr</vt:lpstr>
      <vt:lpstr>wld_az1_rack6_mgmt_vm_gateway_cidr</vt:lpstr>
      <vt:lpstr>wld_az1_rack6_mgmt_vm_gateway_ip</vt:lpstr>
      <vt:lpstr>wld_az1_rack6_mgmt_vm_mask</vt:lpstr>
      <vt:lpstr>wld_az1_rack6_mgmt_vm_mtu</vt:lpstr>
      <vt:lpstr>wld_az1_rack6_mgmt_vm_pg</vt:lpstr>
      <vt:lpstr>wld_az1_rack6_mgmt_vm_vlan</vt:lpstr>
      <vt:lpstr>wld_az1_rack6_pool_name</vt:lpstr>
      <vt:lpstr>wld_az1_rack6_principal_storage_cidr</vt:lpstr>
      <vt:lpstr>wld_az1_rack6_principal_storage_gateway_cidr</vt:lpstr>
      <vt:lpstr>wld_az1_rack6_principal_storage_gateway_ip</vt:lpstr>
      <vt:lpstr>wld_az1_rack6_principal_storage_mask</vt:lpstr>
      <vt:lpstr>wld_az1_rack6_principal_storage_mtu</vt:lpstr>
      <vt:lpstr>wld_az1_rack6_principal_storage_network</vt:lpstr>
      <vt:lpstr>wld_az1_rack6_principal_storage_pg</vt:lpstr>
      <vt:lpstr>wld_az1_rack6_principal_storage_pool_end_ip</vt:lpstr>
      <vt:lpstr>wld_az1_rack6_principal_storage_pool_start_ip</vt:lpstr>
      <vt:lpstr>wld_az1_rack6_principal_storage_vlan</vt:lpstr>
      <vt:lpstr>wld_az1_rack6_reuse_vcf_networkpool_chosen</vt:lpstr>
      <vt:lpstr>wld_az1_rack6_rtep_ip_pool_name</vt:lpstr>
      <vt:lpstr>wld_az1_rack6_rtep_overlay_cidr</vt:lpstr>
      <vt:lpstr>wld_az1_rack6_rtep_overlay_gateway_ip</vt:lpstr>
      <vt:lpstr>wld_az1_rack6_rtep_overlay_mtu</vt:lpstr>
      <vt:lpstr>wld_az1_rack6_rtep_overlay_pool_end_ip</vt:lpstr>
      <vt:lpstr>wld_az1_rack6_rtep_overlay_pool_start_ip</vt:lpstr>
      <vt:lpstr>wld_az1_rack6_rtep_overlay_vlan</vt:lpstr>
      <vt:lpstr>wld_az1_rack6_secondary_storage_cidr</vt:lpstr>
      <vt:lpstr>wld_az1_rack6_secondary_storage_gateway_cidr</vt:lpstr>
      <vt:lpstr>wld_az1_rack6_secondary_storage_gateway_ip</vt:lpstr>
      <vt:lpstr>wld_az1_rack6_secondary_storage_mask</vt:lpstr>
      <vt:lpstr>wld_az1_rack6_secondary_storage_mtu</vt:lpstr>
      <vt:lpstr>wld_az1_rack6_secondary_storage_network</vt:lpstr>
      <vt:lpstr>wld_az1_rack6_secondary_storage_pool_end_ip</vt:lpstr>
      <vt:lpstr>wld_az1_rack6_secondary_storage_pool_start_ip</vt:lpstr>
      <vt:lpstr>wld_az1_rack6_secondary_storage_vlan</vt:lpstr>
      <vt:lpstr>wld_az1_rack6_tor1_peer_asn</vt:lpstr>
      <vt:lpstr>wld_az1_rack6_tor1_peer_bgp_password</vt:lpstr>
      <vt:lpstr>wld_az1_rack6_tor1_peer_ip</vt:lpstr>
      <vt:lpstr>wld_az1_rack6_tor2_peer_asn</vt:lpstr>
      <vt:lpstr>wld_az1_rack6_tor2_peer_bgp_password</vt:lpstr>
      <vt:lpstr>wld_az1_rack6_tor2_peer_ip</vt:lpstr>
      <vt:lpstr>wld_az1_rack6_uplink01_cidr</vt:lpstr>
      <vt:lpstr>wld_az1_rack6_uplink01_gateway_cidr</vt:lpstr>
      <vt:lpstr>wld_az1_rack6_uplink01_gateway_ip</vt:lpstr>
      <vt:lpstr>wld_az1_rack6_uplink01_mask</vt:lpstr>
      <vt:lpstr>wld_az1_rack6_uplink01_mtu</vt:lpstr>
      <vt:lpstr>wld_az1_rack6_uplink01_network</vt:lpstr>
      <vt:lpstr>wld_az1_rack6_uplink01_pg</vt:lpstr>
      <vt:lpstr>wld_az1_rack6_uplink01_vlan</vt:lpstr>
      <vt:lpstr>wld_az1_rack6_uplink02_cidr</vt:lpstr>
      <vt:lpstr>wld_az1_rack6_uplink02_gateway_cidr</vt:lpstr>
      <vt:lpstr>wld_az1_rack6_uplink02_gateway_ip</vt:lpstr>
      <vt:lpstr>wld_az1_rack6_uplink02_mask</vt:lpstr>
      <vt:lpstr>wld_az1_rack6_uplink02_mtu</vt:lpstr>
      <vt:lpstr>wld_az1_rack6_uplink02_network</vt:lpstr>
      <vt:lpstr>wld_az1_rack6_uplink02_pg</vt:lpstr>
      <vt:lpstr>wld_az1_rack6_uplink02_vlan</vt:lpstr>
      <vt:lpstr>wld_az1_rack6_vmotion_cidr</vt:lpstr>
      <vt:lpstr>wld_az1_rack6_vmotion_gateway_cidr</vt:lpstr>
      <vt:lpstr>wld_az1_rack6_vmotion_gateway_ip</vt:lpstr>
      <vt:lpstr>wld_az1_rack6_vmotion_mask</vt:lpstr>
      <vt:lpstr>wld_az1_rack6_vmotion_mtu</vt:lpstr>
      <vt:lpstr>wld_az1_rack6_vmotion_network</vt:lpstr>
      <vt:lpstr>wld_az1_rack6_vmotion_pg</vt:lpstr>
      <vt:lpstr>wld_az1_rack6_vmotion_pool_end_ip</vt:lpstr>
      <vt:lpstr>wld_az1_rack6_vmotion_pool_start_ip</vt:lpstr>
      <vt:lpstr>wld_az1_rack6_vmotion_vlan</vt:lpstr>
      <vt:lpstr>wld_az1_rack6_vrms_cidr</vt:lpstr>
      <vt:lpstr>wld_az1_rack6_vrms_gateway_ip</vt:lpstr>
      <vt:lpstr>wld_az1_rack6_vrms_mtu</vt:lpstr>
      <vt:lpstr>wld_az1_rack6_vrms_vlan</vt:lpstr>
      <vt:lpstr>wld_az1_rack6_vsan_fault_domain</vt:lpstr>
      <vt:lpstr>wld_az1_rack7_edge_overlay_cidr</vt:lpstr>
      <vt:lpstr>wld_az1_rack7_edge_overlay_gateway_cidr</vt:lpstr>
      <vt:lpstr>wld_az1_rack7_edge_overlay_gateway_ip</vt:lpstr>
      <vt:lpstr>wld_az1_rack7_edge_overlay_mask</vt:lpstr>
      <vt:lpstr>wld_az1_rack7_edge_overlay_mtu</vt:lpstr>
      <vt:lpstr>wld_az1_rack7_edge_overlay_network</vt:lpstr>
      <vt:lpstr>wld_az1_rack7_edge_overlay_network_pool_name</vt:lpstr>
      <vt:lpstr>wld_az1_rack7_edge_overlay_pool_end_ip</vt:lpstr>
      <vt:lpstr>wld_az1_rack7_edge_overlay_pool_start_ip</vt:lpstr>
      <vt:lpstr>wld_az1_rack7_edge_overlay_vlan</vt:lpstr>
      <vt:lpstr>wld_az1_rack7_en1_edge_overlay_interface_ip_1_ip</vt:lpstr>
      <vt:lpstr>wld_az1_rack7_en1_edge_overlay_interface_ip_2_ip</vt:lpstr>
      <vt:lpstr>wld_az1_rack7_en1_fqdn</vt:lpstr>
      <vt:lpstr>wld_az1_rack7_en1_hostname</vt:lpstr>
      <vt:lpstr>wld_az1_rack7_en1_mgmt_ip</vt:lpstr>
      <vt:lpstr>wld_az1_rack7_en1_uplink01_interface_ip</vt:lpstr>
      <vt:lpstr>wld_az1_rack7_en1_uplink02_interface_ip</vt:lpstr>
      <vt:lpstr>wld_az1_rack7_en2_fqdn</vt:lpstr>
      <vt:lpstr>wld_az1_rack7_en2_hostname</vt:lpstr>
      <vt:lpstr>wld_az1_rack7_en2_mgmt_ip</vt:lpstr>
      <vt:lpstr>wld_az1_rack7_en2_uplink01_interface_ip</vt:lpstr>
      <vt:lpstr>wld_az1_rack7_en2_uplink02_interface_ip</vt:lpstr>
      <vt:lpstr>wld_az1_rack7_host_fqdns</vt:lpstr>
      <vt:lpstr>wld_az1_rack7_host_hostnames</vt:lpstr>
      <vt:lpstr>wld_az1_rack7_host_mgmt_ips</vt:lpstr>
      <vt:lpstr>wld_az1_rack7_host_overlay_cidr</vt:lpstr>
      <vt:lpstr>wld_az1_rack7_host_overlay_gateway_cidr</vt:lpstr>
      <vt:lpstr>wld_az1_rack7_host_overlay_gateway_ip</vt:lpstr>
      <vt:lpstr>wld_az1_rack7_host_overlay_mask</vt:lpstr>
      <vt:lpstr>wld_az1_rack7_host_overlay_mtu</vt:lpstr>
      <vt:lpstr>wld_az1_rack7_host_overlay_network</vt:lpstr>
      <vt:lpstr>wld_az1_rack7_host_overlay_network_pool_name</vt:lpstr>
      <vt:lpstr>wld_az1_rack7_host_overlay_network_profile_name</vt:lpstr>
      <vt:lpstr>wld_az1_rack7_host_overlay_new_pool_chosen</vt:lpstr>
      <vt:lpstr>wld_az1_rack7_host_overlay_pool_end_ip</vt:lpstr>
      <vt:lpstr>wld_az1_rack7_host_overlay_pool_start_ip</vt:lpstr>
      <vt:lpstr>wld_az1_rack7_host_overlay_uplink_profile_name</vt:lpstr>
      <vt:lpstr>wld_az1_rack7_host_overlay_vlan</vt:lpstr>
      <vt:lpstr>wld_az1_rack7_host1_fqdn</vt:lpstr>
      <vt:lpstr>wld_az1_rack7_host1_hostname</vt:lpstr>
      <vt:lpstr>wld_az1_rack7_host1_mgmt_ip</vt:lpstr>
      <vt:lpstr>wld_az1_rack7_host10_fqdn</vt:lpstr>
      <vt:lpstr>wld_az1_rack7_host10_hostname</vt:lpstr>
      <vt:lpstr>wld_az1_rack7_host10_mgmt_ip</vt:lpstr>
      <vt:lpstr>wld_az1_rack7_host11_fqdn</vt:lpstr>
      <vt:lpstr>wld_az1_rack7_host11_hostname</vt:lpstr>
      <vt:lpstr>wld_az1_rack7_host11_mgmt_ip</vt:lpstr>
      <vt:lpstr>wld_az1_rack7_host12_fqdn</vt:lpstr>
      <vt:lpstr>wld_az1_rack7_host12_hostname</vt:lpstr>
      <vt:lpstr>wld_az1_rack7_host12_mgmt_ip</vt:lpstr>
      <vt:lpstr>wld_az1_rack7_host13_fqdn</vt:lpstr>
      <vt:lpstr>wld_az1_rack7_host13_hostname</vt:lpstr>
      <vt:lpstr>wld_az1_rack7_host13_mgmt_ip</vt:lpstr>
      <vt:lpstr>wld_az1_rack7_host14_fqdn</vt:lpstr>
      <vt:lpstr>wld_az1_rack7_host14_hostname</vt:lpstr>
      <vt:lpstr>wld_az1_rack7_host14_mgmt_ip</vt:lpstr>
      <vt:lpstr>wld_az1_rack7_host15_fqdn</vt:lpstr>
      <vt:lpstr>wld_az1_rack7_host15_hostname</vt:lpstr>
      <vt:lpstr>wld_az1_rack7_host15_mgmt_ip</vt:lpstr>
      <vt:lpstr>wld_az1_rack7_host16_fqdn</vt:lpstr>
      <vt:lpstr>wld_az1_rack7_host16_hostname</vt:lpstr>
      <vt:lpstr>wld_az1_rack7_host16_mgmt_ip</vt:lpstr>
      <vt:lpstr>wld_az1_rack7_host2_fqdn</vt:lpstr>
      <vt:lpstr>wld_az1_rack7_host2_hostname</vt:lpstr>
      <vt:lpstr>wld_az1_rack7_host2_mgmt_ip</vt:lpstr>
      <vt:lpstr>wld_az1_rack7_host3_fqdn</vt:lpstr>
      <vt:lpstr>wld_az1_rack7_host3_hostname</vt:lpstr>
      <vt:lpstr>wld_az1_rack7_host3_mgmt_ip</vt:lpstr>
      <vt:lpstr>wld_az1_rack7_host4_fqdn</vt:lpstr>
      <vt:lpstr>wld_az1_rack7_host4_hostname</vt:lpstr>
      <vt:lpstr>wld_az1_rack7_host4_mgmt_ip</vt:lpstr>
      <vt:lpstr>wld_az1_rack7_host5_fqdn</vt:lpstr>
      <vt:lpstr>wld_az1_rack7_host5_hostname</vt:lpstr>
      <vt:lpstr>wld_az1_rack7_host5_mgmt_ip</vt:lpstr>
      <vt:lpstr>wld_az1_rack7_host6_fqdn</vt:lpstr>
      <vt:lpstr>wld_az1_rack7_host6_hostname</vt:lpstr>
      <vt:lpstr>wld_az1_rack7_host6_mgmt_ip</vt:lpstr>
      <vt:lpstr>wld_az1_rack7_host7_fqdn</vt:lpstr>
      <vt:lpstr>wld_az1_rack7_host7_hostname</vt:lpstr>
      <vt:lpstr>wld_az1_rack7_host7_mgmt_ip</vt:lpstr>
      <vt:lpstr>wld_az1_rack7_host8_fqdn</vt:lpstr>
      <vt:lpstr>wld_az1_rack7_host8_hostname</vt:lpstr>
      <vt:lpstr>wld_az1_rack7_host8_mgmt_ip</vt:lpstr>
      <vt:lpstr>wld_az1_rack7_host9_fqdn</vt:lpstr>
      <vt:lpstr>wld_az1_rack7_host9_hostname</vt:lpstr>
      <vt:lpstr>wld_az1_rack7_host9_mgmt_ip</vt:lpstr>
      <vt:lpstr>wld_az1_rack7_mgmt_cidr</vt:lpstr>
      <vt:lpstr>wld_az1_rack7_mgmt_gateway_cidr</vt:lpstr>
      <vt:lpstr>wld_az1_rack7_mgmt_gateway_ip</vt:lpstr>
      <vt:lpstr>wld_az1_rack7_mgmt_mask</vt:lpstr>
      <vt:lpstr>wld_az1_rack7_mgmt_mtu</vt:lpstr>
      <vt:lpstr>wld_az1_rack7_mgmt_network</vt:lpstr>
      <vt:lpstr>wld_az1_rack7_mgmt_pg</vt:lpstr>
      <vt:lpstr>wld_az1_rack7_mgmt_vlan</vt:lpstr>
      <vt:lpstr>wld_az1_rack7_mgmt_vm_cidr</vt:lpstr>
      <vt:lpstr>wld_az1_rack7_mgmt_vm_gateway_cidr</vt:lpstr>
      <vt:lpstr>wld_az1_rack7_mgmt_vm_gateway_ip</vt:lpstr>
      <vt:lpstr>wld_az1_rack7_mgmt_vm_mask</vt:lpstr>
      <vt:lpstr>wld_az1_rack7_mgmt_vm_mtu</vt:lpstr>
      <vt:lpstr>wld_az1_rack7_mgmt_vm_pg</vt:lpstr>
      <vt:lpstr>wld_az1_rack7_mgmt_vm_vlan</vt:lpstr>
      <vt:lpstr>wld_az1_rack7_pool_name</vt:lpstr>
      <vt:lpstr>wld_az1_rack7_principal_storage_cidr</vt:lpstr>
      <vt:lpstr>wld_az1_rack7_principal_storage_gateway_cidr</vt:lpstr>
      <vt:lpstr>wld_az1_rack7_principal_storage_gateway_ip</vt:lpstr>
      <vt:lpstr>wld_az1_rack7_principal_storage_mask</vt:lpstr>
      <vt:lpstr>wld_az1_rack7_principal_storage_mtu</vt:lpstr>
      <vt:lpstr>wld_az1_rack7_principal_storage_network</vt:lpstr>
      <vt:lpstr>wld_az1_rack7_principal_storage_pg</vt:lpstr>
      <vt:lpstr>wld_az1_rack7_principal_storage_pool_end_ip</vt:lpstr>
      <vt:lpstr>wld_az1_rack7_principal_storage_pool_start_ip</vt:lpstr>
      <vt:lpstr>wld_az1_rack7_principal_storage_vlan</vt:lpstr>
      <vt:lpstr>wld_az1_rack7_reuse_vcf_networkpool_chosen</vt:lpstr>
      <vt:lpstr>wld_az1_rack7_rtep_ip_pool_name</vt:lpstr>
      <vt:lpstr>wld_az1_rack7_rtep_overlay_cidr</vt:lpstr>
      <vt:lpstr>wld_az1_rack7_rtep_overlay_gateway_ip</vt:lpstr>
      <vt:lpstr>wld_az1_rack7_rtep_overlay_mtu</vt:lpstr>
      <vt:lpstr>wld_az1_rack7_rtep_overlay_pool_end_ip</vt:lpstr>
      <vt:lpstr>wld_az1_rack7_rtep_overlay_pool_start_ip</vt:lpstr>
      <vt:lpstr>wld_az1_rack7_rtep_overlay_vlan</vt:lpstr>
      <vt:lpstr>wld_az1_rack7_secondary_storage_cidr</vt:lpstr>
      <vt:lpstr>wld_az1_rack7_secondary_storage_gateway_cidr</vt:lpstr>
      <vt:lpstr>wld_az1_rack7_secondary_storage_gateway_ip</vt:lpstr>
      <vt:lpstr>wld_az1_rack7_secondary_storage_mask</vt:lpstr>
      <vt:lpstr>wld_az1_rack7_secondary_storage_mtu</vt:lpstr>
      <vt:lpstr>wld_az1_rack7_secondary_storage_network</vt:lpstr>
      <vt:lpstr>wld_az1_rack7_secondary_storage_pool_end_ip</vt:lpstr>
      <vt:lpstr>wld_az1_rack7_secondary_storage_pool_start_ip</vt:lpstr>
      <vt:lpstr>wld_az1_rack7_secondary_storage_vlan</vt:lpstr>
      <vt:lpstr>wld_az1_rack7_tor1_peer_asn</vt:lpstr>
      <vt:lpstr>wld_az1_rack7_tor1_peer_bgp_password</vt:lpstr>
      <vt:lpstr>wld_az1_rack7_tor1_peer_ip</vt:lpstr>
      <vt:lpstr>wld_az1_rack7_tor2_peer_asn</vt:lpstr>
      <vt:lpstr>wld_az1_rack7_tor2_peer_bgp_password</vt:lpstr>
      <vt:lpstr>wld_az1_rack7_tor2_peer_ip</vt:lpstr>
      <vt:lpstr>wld_az1_rack7_uplink01_cidr</vt:lpstr>
      <vt:lpstr>wld_az1_rack7_uplink01_gateway_cidr</vt:lpstr>
      <vt:lpstr>wld_az1_rack7_uplink01_gateway_ip</vt:lpstr>
      <vt:lpstr>wld_az1_rack7_uplink01_mask</vt:lpstr>
      <vt:lpstr>wld_az1_rack7_uplink01_mtu</vt:lpstr>
      <vt:lpstr>wld_az1_rack7_uplink01_network</vt:lpstr>
      <vt:lpstr>wld_az1_rack7_uplink01_pg</vt:lpstr>
      <vt:lpstr>wld_az1_rack7_uplink01_vlan</vt:lpstr>
      <vt:lpstr>wld_az1_rack7_uplink02_cidr</vt:lpstr>
      <vt:lpstr>wld_az1_rack7_uplink02_gateway_cidr</vt:lpstr>
      <vt:lpstr>wld_az1_rack7_uplink02_gateway_ip</vt:lpstr>
      <vt:lpstr>wld_az1_rack7_uplink02_mask</vt:lpstr>
      <vt:lpstr>wld_az1_rack7_uplink02_mtu</vt:lpstr>
      <vt:lpstr>wld_az1_rack7_uplink02_network</vt:lpstr>
      <vt:lpstr>wld_az1_rack7_uplink02_pg</vt:lpstr>
      <vt:lpstr>wld_az1_rack7_uplink02_vlan</vt:lpstr>
      <vt:lpstr>wld_az1_rack7_vmotion_cidr</vt:lpstr>
      <vt:lpstr>wld_az1_rack7_vmotion_gateway_cidr</vt:lpstr>
      <vt:lpstr>wld_az1_rack7_vmotion_gateway_ip</vt:lpstr>
      <vt:lpstr>wld_az1_rack7_vmotion_mask</vt:lpstr>
      <vt:lpstr>wld_az1_rack7_vmotion_mtu</vt:lpstr>
      <vt:lpstr>wld_az1_rack7_vmotion_network</vt:lpstr>
      <vt:lpstr>wld_az1_rack7_vmotion_pg</vt:lpstr>
      <vt:lpstr>wld_az1_rack7_vmotion_pool_end_ip</vt:lpstr>
      <vt:lpstr>wld_az1_rack7_vmotion_pool_start_ip</vt:lpstr>
      <vt:lpstr>wld_az1_rack7_vmotion_vlan</vt:lpstr>
      <vt:lpstr>wld_az1_rack7_vrms_cidr</vt:lpstr>
      <vt:lpstr>wld_az1_rack7_vrms_gateway_ip</vt:lpstr>
      <vt:lpstr>wld_az1_rack7_vrms_mtu</vt:lpstr>
      <vt:lpstr>wld_az1_rack7_vrms_vlan</vt:lpstr>
      <vt:lpstr>wld_az1_rack7_vsan_fault_domain</vt:lpstr>
      <vt:lpstr>wld_az1_rack8_edge_overlay_cidr</vt:lpstr>
      <vt:lpstr>wld_az1_rack8_edge_overlay_gateway_cidr</vt:lpstr>
      <vt:lpstr>wld_az1_rack8_edge_overlay_gateway_ip</vt:lpstr>
      <vt:lpstr>wld_az1_rack8_edge_overlay_mask</vt:lpstr>
      <vt:lpstr>wld_az1_rack8_edge_overlay_mtu</vt:lpstr>
      <vt:lpstr>wld_az1_rack8_edge_overlay_network</vt:lpstr>
      <vt:lpstr>wld_az1_rack8_edge_overlay_network_pool_name</vt:lpstr>
      <vt:lpstr>wld_az1_rack8_edge_overlay_pool_end_ip</vt:lpstr>
      <vt:lpstr>wld_az1_rack8_edge_overlay_pool_start_ip</vt:lpstr>
      <vt:lpstr>wld_az1_rack8_edge_overlay_vlan</vt:lpstr>
      <vt:lpstr>wld_az1_rack8_en1_edge_overlay_interface_ip_1_ip</vt:lpstr>
      <vt:lpstr>wld_az1_rack8_en1_edge_overlay_interface_ip_2_ip</vt:lpstr>
      <vt:lpstr>wld_az1_rack8_en1_fqdn</vt:lpstr>
      <vt:lpstr>wld_az1_rack8_en1_hostname</vt:lpstr>
      <vt:lpstr>wld_az1_rack8_en1_mgmt_ip</vt:lpstr>
      <vt:lpstr>wld_az1_rack8_en1_uplink01_interface_ip</vt:lpstr>
      <vt:lpstr>wld_az1_rack8_en1_uplink02_interface_ip</vt:lpstr>
      <vt:lpstr>wld_az1_rack8_en2_fqdn</vt:lpstr>
      <vt:lpstr>wld_az1_rack8_en2_hostname</vt:lpstr>
      <vt:lpstr>wld_az1_rack8_en2_mgmt_ip</vt:lpstr>
      <vt:lpstr>wld_az1_rack8_en2_uplink01_interface_ip</vt:lpstr>
      <vt:lpstr>wld_az1_rack8_en2_uplink02_interface_ip</vt:lpstr>
      <vt:lpstr>wld_az1_rack8_host_fqdns</vt:lpstr>
      <vt:lpstr>wld_az1_rack8_host_hostnames</vt:lpstr>
      <vt:lpstr>wld_az1_rack8_host_mgmt_ips</vt:lpstr>
      <vt:lpstr>wld_az1_rack8_host_overlay_cidr</vt:lpstr>
      <vt:lpstr>wld_az1_rack8_host_overlay_gateway_cidr</vt:lpstr>
      <vt:lpstr>wld_az1_rack8_host_overlay_gateway_ip</vt:lpstr>
      <vt:lpstr>wld_az1_rack8_host_overlay_mask</vt:lpstr>
      <vt:lpstr>wld_az1_rack8_host_overlay_mtu</vt:lpstr>
      <vt:lpstr>wld_az1_rack8_host_overlay_network</vt:lpstr>
      <vt:lpstr>wld_az1_rack8_host_overlay_network_pool_name</vt:lpstr>
      <vt:lpstr>wld_az1_rack8_host_overlay_network_profile_name</vt:lpstr>
      <vt:lpstr>wld_az1_rack8_host_overlay_new_pool_chosen</vt:lpstr>
      <vt:lpstr>wld_az1_rack8_host_overlay_pool_end_ip</vt:lpstr>
      <vt:lpstr>wld_az1_rack8_host_overlay_pool_start_ip</vt:lpstr>
      <vt:lpstr>wld_az1_rack8_host_overlay_uplink_profile_name</vt:lpstr>
      <vt:lpstr>wld_az1_rack8_host_overlay_vlan</vt:lpstr>
      <vt:lpstr>wld_az1_rack8_host1_fqdn</vt:lpstr>
      <vt:lpstr>wld_az1_rack8_host1_hostname</vt:lpstr>
      <vt:lpstr>wld_az1_rack8_host1_mgmt_ip</vt:lpstr>
      <vt:lpstr>wld_az1_rack8_host10_fqdn</vt:lpstr>
      <vt:lpstr>wld_az1_rack8_host10_hostname</vt:lpstr>
      <vt:lpstr>wld_az1_rack8_host10_mgmt_ip</vt:lpstr>
      <vt:lpstr>wld_az1_rack8_host11_fqdn</vt:lpstr>
      <vt:lpstr>wld_az1_rack8_host11_hostname</vt:lpstr>
      <vt:lpstr>wld_az1_rack8_host11_mgmt_ip</vt:lpstr>
      <vt:lpstr>wld_az1_rack8_host12_fqdn</vt:lpstr>
      <vt:lpstr>wld_az1_rack8_host12_hostname</vt:lpstr>
      <vt:lpstr>wld_az1_rack8_host12_mgmt_ip</vt:lpstr>
      <vt:lpstr>wld_az1_rack8_host13_fqdn</vt:lpstr>
      <vt:lpstr>wld_az1_rack8_host13_hostname</vt:lpstr>
      <vt:lpstr>wld_az1_rack8_host13_mgmt_ip</vt:lpstr>
      <vt:lpstr>wld_az1_rack8_host14_fqdn</vt:lpstr>
      <vt:lpstr>wld_az1_rack8_host14_hostname</vt:lpstr>
      <vt:lpstr>wld_az1_rack8_host14_mgmt_ip</vt:lpstr>
      <vt:lpstr>wld_az1_rack8_host15_fqdn</vt:lpstr>
      <vt:lpstr>wld_az1_rack8_host15_hostname</vt:lpstr>
      <vt:lpstr>wld_az1_rack8_host15_mgmt_ip</vt:lpstr>
      <vt:lpstr>wld_az1_rack8_host16_fqdn</vt:lpstr>
      <vt:lpstr>wld_az1_rack8_host16_hostname</vt:lpstr>
      <vt:lpstr>wld_az1_rack8_host16_mgmt_ip</vt:lpstr>
      <vt:lpstr>wld_az1_rack8_host2_fqdn</vt:lpstr>
      <vt:lpstr>wld_az1_rack8_host2_hostname</vt:lpstr>
      <vt:lpstr>wld_az1_rack8_host2_mgmt_ip</vt:lpstr>
      <vt:lpstr>wld_az1_rack8_host3_fqdn</vt:lpstr>
      <vt:lpstr>wld_az1_rack8_host3_hostname</vt:lpstr>
      <vt:lpstr>wld_az1_rack8_host3_mgmt_ip</vt:lpstr>
      <vt:lpstr>wld_az1_rack8_host4_fqdn</vt:lpstr>
      <vt:lpstr>wld_az1_rack8_host4_hostname</vt:lpstr>
      <vt:lpstr>wld_az1_rack8_host4_mgmt_ip</vt:lpstr>
      <vt:lpstr>wld_az1_rack8_host5_fqdn</vt:lpstr>
      <vt:lpstr>wld_az1_rack8_host5_hostname</vt:lpstr>
      <vt:lpstr>wld_az1_rack8_host5_mgmt_ip</vt:lpstr>
      <vt:lpstr>wld_az1_rack8_host6_fqdn</vt:lpstr>
      <vt:lpstr>wld_az1_rack8_host6_hostname</vt:lpstr>
      <vt:lpstr>wld_az1_rack8_host6_mgmt_ip</vt:lpstr>
      <vt:lpstr>wld_az1_rack8_host7_fqdn</vt:lpstr>
      <vt:lpstr>wld_az1_rack8_host7_hostname</vt:lpstr>
      <vt:lpstr>wld_az1_rack8_host7_mgmt_ip</vt:lpstr>
      <vt:lpstr>wld_az1_rack8_host8_fqdn</vt:lpstr>
      <vt:lpstr>wld_az1_rack8_host8_hostname</vt:lpstr>
      <vt:lpstr>wld_az1_rack8_host8_mgmt_ip</vt:lpstr>
      <vt:lpstr>wld_az1_rack8_host9_fqdn</vt:lpstr>
      <vt:lpstr>wld_az1_rack8_host9_hostname</vt:lpstr>
      <vt:lpstr>wld_az1_rack8_host9_mgmt_ip</vt:lpstr>
      <vt:lpstr>wld_az1_rack8_mgmt_cidr</vt:lpstr>
      <vt:lpstr>wld_az1_rack8_mgmt_gateway_cidr</vt:lpstr>
      <vt:lpstr>wld_az1_rack8_mgmt_gateway_ip</vt:lpstr>
      <vt:lpstr>wld_az1_rack8_mgmt_mask</vt:lpstr>
      <vt:lpstr>wld_az1_rack8_mgmt_mtu</vt:lpstr>
      <vt:lpstr>wld_az1_rack8_mgmt_network</vt:lpstr>
      <vt:lpstr>wld_az1_rack8_mgmt_pg</vt:lpstr>
      <vt:lpstr>wld_az1_rack8_mgmt_vlan</vt:lpstr>
      <vt:lpstr>wld_az1_rack8_mgmt_vm_cidr</vt:lpstr>
      <vt:lpstr>wld_az1_rack8_mgmt_vm_gateway_cidr</vt:lpstr>
      <vt:lpstr>wld_az1_rack8_mgmt_vm_gateway_ip</vt:lpstr>
      <vt:lpstr>wld_az1_rack8_mgmt_vm_mask</vt:lpstr>
      <vt:lpstr>wld_az1_rack8_mgmt_vm_mtu</vt:lpstr>
      <vt:lpstr>wld_az1_rack8_mgmt_vm_pg</vt:lpstr>
      <vt:lpstr>wld_az1_rack8_mgmt_vm_vlan</vt:lpstr>
      <vt:lpstr>wld_az1_rack8_pool_name</vt:lpstr>
      <vt:lpstr>wld_az1_rack8_principal_storage_cidr</vt:lpstr>
      <vt:lpstr>wld_az1_rack8_principal_storage_gateway_cidr</vt:lpstr>
      <vt:lpstr>wld_az1_rack8_principal_storage_gateway_ip</vt:lpstr>
      <vt:lpstr>wld_az1_rack8_principal_storage_mask</vt:lpstr>
      <vt:lpstr>wld_az1_rack8_principal_storage_mtu</vt:lpstr>
      <vt:lpstr>wld_az1_rack8_principal_storage_network</vt:lpstr>
      <vt:lpstr>wld_az1_rack8_principal_storage_pg</vt:lpstr>
      <vt:lpstr>wld_az1_rack8_principal_storage_pool_end_ip</vt:lpstr>
      <vt:lpstr>wld_az1_rack8_principal_storage_pool_start_ip</vt:lpstr>
      <vt:lpstr>wld_az1_rack8_principal_storage_vlan</vt:lpstr>
      <vt:lpstr>wld_az1_rack8_reuse_vcf_networkpool_chosen</vt:lpstr>
      <vt:lpstr>wld_az1_rack8_rtep_ip_pool_name</vt:lpstr>
      <vt:lpstr>wld_az1_rack8_rtep_overlay_cidr</vt:lpstr>
      <vt:lpstr>wld_az1_rack8_rtep_overlay_gateway_ip</vt:lpstr>
      <vt:lpstr>wld_az1_rack8_rtep_overlay_mtu</vt:lpstr>
      <vt:lpstr>wld_az1_rack8_rtep_overlay_pool_end_ip</vt:lpstr>
      <vt:lpstr>wld_az1_rack8_rtep_overlay_pool_start_ip</vt:lpstr>
      <vt:lpstr>wld_az1_rack8_rtep_overlay_vlan</vt:lpstr>
      <vt:lpstr>wld_az1_rack8_secondary_storage_cidr</vt:lpstr>
      <vt:lpstr>wld_az1_rack8_secondary_storage_gateway_cidr</vt:lpstr>
      <vt:lpstr>wld_az1_rack8_secondary_storage_gateway_ip</vt:lpstr>
      <vt:lpstr>wld_az1_rack8_secondary_storage_mask</vt:lpstr>
      <vt:lpstr>wld_az1_rack8_secondary_storage_mtu</vt:lpstr>
      <vt:lpstr>wld_az1_rack8_secondary_storage_network</vt:lpstr>
      <vt:lpstr>wld_az1_rack8_secondary_storage_pool_end_ip</vt:lpstr>
      <vt:lpstr>wld_az1_rack8_secondary_storage_pool_start_ip</vt:lpstr>
      <vt:lpstr>wld_az1_rack8_secondary_storage_vlan</vt:lpstr>
      <vt:lpstr>wld_az1_rack8_tor1_peer_asn</vt:lpstr>
      <vt:lpstr>wld_az1_rack8_tor1_peer_bgp_password</vt:lpstr>
      <vt:lpstr>wld_az1_rack8_tor1_peer_ip</vt:lpstr>
      <vt:lpstr>wld_az1_rack8_tor2_peer_asn</vt:lpstr>
      <vt:lpstr>wld_az1_rack8_tor2_peer_bgp_password</vt:lpstr>
      <vt:lpstr>wld_az1_rack8_tor2_peer_ip</vt:lpstr>
      <vt:lpstr>wld_az1_rack8_uplink01_cidr</vt:lpstr>
      <vt:lpstr>wld_az1_rack8_uplink01_gateway_cidr</vt:lpstr>
      <vt:lpstr>wld_az1_rack8_uplink01_gateway_ip</vt:lpstr>
      <vt:lpstr>wld_az1_rack8_uplink01_mask</vt:lpstr>
      <vt:lpstr>wld_az1_rack8_uplink01_mtu</vt:lpstr>
      <vt:lpstr>wld_az1_rack8_uplink01_network</vt:lpstr>
      <vt:lpstr>wld_az1_rack8_uplink01_pg</vt:lpstr>
      <vt:lpstr>wld_az1_rack8_uplink01_vlan</vt:lpstr>
      <vt:lpstr>wld_az1_rack8_uplink02_cidr</vt:lpstr>
      <vt:lpstr>wld_az1_rack8_uplink02_gateway_cidr</vt:lpstr>
      <vt:lpstr>wld_az1_rack8_uplink02_gateway_ip</vt:lpstr>
      <vt:lpstr>wld_az1_rack8_uplink02_mask</vt:lpstr>
      <vt:lpstr>wld_az1_rack8_uplink02_mtu</vt:lpstr>
      <vt:lpstr>wld_az1_rack8_uplink02_network</vt:lpstr>
      <vt:lpstr>wld_az1_rack8_uplink02_pg</vt:lpstr>
      <vt:lpstr>wld_az1_rack8_uplink02_vlan</vt:lpstr>
      <vt:lpstr>wld_az1_rack8_vmotion_cidr</vt:lpstr>
      <vt:lpstr>wld_az1_rack8_vmotion_gateway_cidr</vt:lpstr>
      <vt:lpstr>wld_az1_rack8_vmotion_gateway_ip</vt:lpstr>
      <vt:lpstr>wld_az1_rack8_vmotion_mask</vt:lpstr>
      <vt:lpstr>wld_az1_rack8_vmotion_mtu</vt:lpstr>
      <vt:lpstr>wld_az1_rack8_vmotion_network</vt:lpstr>
      <vt:lpstr>wld_az1_rack8_vmotion_pg</vt:lpstr>
      <vt:lpstr>wld_az1_rack8_vmotion_pool_end_ip</vt:lpstr>
      <vt:lpstr>wld_az1_rack8_vmotion_pool_start_ip</vt:lpstr>
      <vt:lpstr>wld_az1_rack8_vmotion_vlan</vt:lpstr>
      <vt:lpstr>wld_az1_rack8_vrms_cidr</vt:lpstr>
      <vt:lpstr>wld_az1_rack8_vrms_gateway_ip</vt:lpstr>
      <vt:lpstr>wld_az1_rack8_vrms_mtu</vt:lpstr>
      <vt:lpstr>wld_az1_rack8_vrms_vlan</vt:lpstr>
      <vt:lpstr>wld_az1_rack8_vsan_fault_domain</vt:lpstr>
      <vt:lpstr>wld_az1_reuse_vcf_networkpool_chosen</vt:lpstr>
      <vt:lpstr>wld_az1_reuse_vcf_networkpool_result</vt:lpstr>
      <vt:lpstr>wld_az1_rtep_ip_pool_name</vt:lpstr>
      <vt:lpstr>wld_az1_rtep_overlay_cidr</vt:lpstr>
      <vt:lpstr>wld_az1_rtep_overlay_gateway_ip</vt:lpstr>
      <vt:lpstr>wld_az1_rtep_overlay_mtu</vt:lpstr>
      <vt:lpstr>wld_az1_rtep_overlay_network</vt:lpstr>
      <vt:lpstr>wld_az1_rtep_overlay_pg</vt:lpstr>
      <vt:lpstr>wld_az1_rtep_overlay_vlan</vt:lpstr>
      <vt:lpstr>wld_az1_secondary_storage_cidr</vt:lpstr>
      <vt:lpstr>wld_az1_secondary_storage_gateway_cidr</vt:lpstr>
      <vt:lpstr>wld_az1_secondary_storage_gateway_ip</vt:lpstr>
      <vt:lpstr>wld_az1_secondary_storage_ip_assignment_chosen</vt:lpstr>
      <vt:lpstr>wld_az1_secondary_storage_ip_scheme_chosen</vt:lpstr>
      <vt:lpstr>wld_az1_secondary_storage_mask</vt:lpstr>
      <vt:lpstr>wld_az1_secondary_storage_mtu</vt:lpstr>
      <vt:lpstr>wld_az1_secondary_storage_network</vt:lpstr>
      <vt:lpstr>wld_az1_secondary_storage_pool_end_ip</vt:lpstr>
      <vt:lpstr>wld_az1_secondary_storage_pool_start_ip</vt:lpstr>
      <vt:lpstr>wld_az1_secondary_storage_vlan</vt:lpstr>
      <vt:lpstr>wld_az1_storage_cluster_cidr</vt:lpstr>
      <vt:lpstr>wld_az1_storage_cluster_gateway_cidr</vt:lpstr>
      <vt:lpstr>wld_az1_storage_cluster_gateway_ip</vt:lpstr>
      <vt:lpstr>wld_az1_storage_cluster_ip_assignment_chosen</vt:lpstr>
      <vt:lpstr>wld_az1_storage_cluster_ip_scheme_chosen</vt:lpstr>
      <vt:lpstr>wld_az1_storage_cluster_mask</vt:lpstr>
      <vt:lpstr>wld_az1_storage_cluster_mtu</vt:lpstr>
      <vt:lpstr>wld_az1_storage_cluster_network</vt:lpstr>
      <vt:lpstr>wld_az1_storage_cluster_pool_end_ip</vt:lpstr>
      <vt:lpstr>wld_az1_storage_cluster_pool_start_ip</vt:lpstr>
      <vt:lpstr>wld_az1_storage_cluster_vlan</vt:lpstr>
      <vt:lpstr>wld_az1_tor1_peer_asn</vt:lpstr>
      <vt:lpstr>wld_az1_tor1_peer_bgp_password</vt:lpstr>
      <vt:lpstr>wld_az1_tor1_peer_ip</vt:lpstr>
      <vt:lpstr>wld_az1_tor2_peer_asn</vt:lpstr>
      <vt:lpstr>wld_az1_tor2_peer_bgp_password</vt:lpstr>
      <vt:lpstr>wld_az1_tor2_peer_ip</vt:lpstr>
      <vt:lpstr>wld_az1_uplink01_cidr</vt:lpstr>
      <vt:lpstr>wld_az1_uplink01_gateway_ip</vt:lpstr>
      <vt:lpstr>wld_az1_uplink01_mask</vt:lpstr>
      <vt:lpstr>wld_az1_uplink01_mtu</vt:lpstr>
      <vt:lpstr>wld_az1_uplink01_network</vt:lpstr>
      <vt:lpstr>wld_az1_uplink01_vlan</vt:lpstr>
      <vt:lpstr>wld_az1_uplink02_cidr</vt:lpstr>
      <vt:lpstr>wld_az1_uplink02_gateway_ip</vt:lpstr>
      <vt:lpstr>wld_az1_uplink02_mask</vt:lpstr>
      <vt:lpstr>wld_az1_uplink02_mtu</vt:lpstr>
      <vt:lpstr>wld_az1_uplink02_network</vt:lpstr>
      <vt:lpstr>wld_az1_uplink02_vlan</vt:lpstr>
      <vt:lpstr>wld_az1_vm_cidr</vt:lpstr>
      <vt:lpstr>wld_az1_vm_gateway_ip</vt:lpstr>
      <vt:lpstr>wld_az1_vm_mtu</vt:lpstr>
      <vt:lpstr>wld_az1_vm_vlan</vt:lpstr>
      <vt:lpstr>wld_az1_vmotion_cidr</vt:lpstr>
      <vt:lpstr>wld_az1_vmotion_gateway_cidr</vt:lpstr>
      <vt:lpstr>wld_az1_vmotion_gateway_ip</vt:lpstr>
      <vt:lpstr>wld_az1_vmotion_ip_assignment_chosen</vt:lpstr>
      <vt:lpstr>wld_az1_vmotion_ip_scheme_chosen</vt:lpstr>
      <vt:lpstr>wld_az1_vmotion_mask</vt:lpstr>
      <vt:lpstr>wld_az1_vmotion_mtu</vt:lpstr>
      <vt:lpstr>wld_az1_vmotion_network</vt:lpstr>
      <vt:lpstr>wld_az1_vmotion_pool_end_ip</vt:lpstr>
      <vt:lpstr>wld_az1_vmotion_pool_start_ip</vt:lpstr>
      <vt:lpstr>wld_az1_vmotion_vlan</vt:lpstr>
      <vt:lpstr>wld_az1_vrms_cidr</vt:lpstr>
      <vt:lpstr>wld_az1_vrms_gateway_ip</vt:lpstr>
      <vt:lpstr>wld_az1_vrms_mtu</vt:lpstr>
      <vt:lpstr>wld_az1_vrms_network</vt:lpstr>
      <vt:lpstr>wld_az1_vrms_vlan</vt:lpstr>
      <vt:lpstr>wld_az2_edge_overlay_cidr</vt:lpstr>
      <vt:lpstr>wld_az2_edge_overlay_gateway_ip</vt:lpstr>
      <vt:lpstr>wld_az2_edge_overlay_mask</vt:lpstr>
      <vt:lpstr>wld_az2_edge_overlay_mtu</vt:lpstr>
      <vt:lpstr>wld_az2_edge_overlay_network</vt:lpstr>
      <vt:lpstr>wld_az2_edge_overlay_pg</vt:lpstr>
      <vt:lpstr>wld_az2_edge_overlay_vlan</vt:lpstr>
      <vt:lpstr>wld_az2_host_fqdns</vt:lpstr>
      <vt:lpstr>wld_az2_host_hostnames</vt:lpstr>
      <vt:lpstr>wld_az2_host_mgmt_ips</vt:lpstr>
      <vt:lpstr>wld_az2_host_overlay_cidr</vt:lpstr>
      <vt:lpstr>wld_az2_host_overlay_gateway_ip</vt:lpstr>
      <vt:lpstr>wld_az2_host_overlay_mask</vt:lpstr>
      <vt:lpstr>wld_az2_host_overlay_mtu</vt:lpstr>
      <vt:lpstr>wld_az2_host_overlay_network</vt:lpstr>
      <vt:lpstr>wld_az2_host_overlay_network_pool_name</vt:lpstr>
      <vt:lpstr>wld_az2_host_overlay_network_profile_name</vt:lpstr>
      <vt:lpstr>wld_az2_host_overlay_new_pool_chosen</vt:lpstr>
      <vt:lpstr>wld_az2_host_overlay_pg</vt:lpstr>
      <vt:lpstr>wld_az2_host_overlay_pool_end_ip</vt:lpstr>
      <vt:lpstr>wld_az2_host_overlay_pool_name</vt:lpstr>
      <vt:lpstr>wld_az2_host_overlay_pool_start_ip</vt:lpstr>
      <vt:lpstr>wld_az2_host_overlay_uplink_profile_name</vt:lpstr>
      <vt:lpstr>wld_az2_host_overlay_vlan</vt:lpstr>
      <vt:lpstr>wld_az2_host_vrms_ips</vt:lpstr>
      <vt:lpstr>wld_az2_host1_fqdn</vt:lpstr>
      <vt:lpstr>wld_az2_host1_hostname</vt:lpstr>
      <vt:lpstr>wld_az2_host1_mgmt_ip</vt:lpstr>
      <vt:lpstr>wld_az2_host1_sddc_id</vt:lpstr>
      <vt:lpstr>wld_az2_host1_vrms_ip</vt:lpstr>
      <vt:lpstr>wld_az2_host10_fqdn</vt:lpstr>
      <vt:lpstr>wld_az2_host10_hostname</vt:lpstr>
      <vt:lpstr>wld_az2_host10_mgmt_ip</vt:lpstr>
      <vt:lpstr>wld_az2_host10_vrms_ip</vt:lpstr>
      <vt:lpstr>wld_az2_host11_fqdn</vt:lpstr>
      <vt:lpstr>wld_az2_host11_hostname</vt:lpstr>
      <vt:lpstr>wld_az2_host11_mgmt_ip</vt:lpstr>
      <vt:lpstr>wld_az2_host11_vrms_ip</vt:lpstr>
      <vt:lpstr>wld_az2_host12_fqdn</vt:lpstr>
      <vt:lpstr>wld_az2_host12_hostname</vt:lpstr>
      <vt:lpstr>wld_az2_host12_mgmt_ip</vt:lpstr>
      <vt:lpstr>wld_az2_host12_vrms_ip</vt:lpstr>
      <vt:lpstr>wld_az2_host13_fqdn</vt:lpstr>
      <vt:lpstr>wld_az2_host13_hostname</vt:lpstr>
      <vt:lpstr>wld_az2_host13_mgmt_ip</vt:lpstr>
      <vt:lpstr>wld_az2_host13_vrms_ip</vt:lpstr>
      <vt:lpstr>wld_az2_host14_fqdn</vt:lpstr>
      <vt:lpstr>wld_az2_host14_hostname</vt:lpstr>
      <vt:lpstr>wld_az2_host14_mgmt_ip</vt:lpstr>
      <vt:lpstr>wld_az2_host14_vrms_ip</vt:lpstr>
      <vt:lpstr>wld_az2_host15_fqdn</vt:lpstr>
      <vt:lpstr>wld_az2_host15_hostname</vt:lpstr>
      <vt:lpstr>wld_az2_host15_mgmt_ip</vt:lpstr>
      <vt:lpstr>wld_az2_host15_vrms_ip</vt:lpstr>
      <vt:lpstr>wld_az2_host16_fqdn</vt:lpstr>
      <vt:lpstr>wld_az2_host16_hostname</vt:lpstr>
      <vt:lpstr>wld_az2_host16_mgmt_ip</vt:lpstr>
      <vt:lpstr>wld_az2_host16_vrms_ip</vt:lpstr>
      <vt:lpstr>wld_az2_host2_fqdn</vt:lpstr>
      <vt:lpstr>wld_az2_host2_hostname</vt:lpstr>
      <vt:lpstr>wld_az2_host2_mgmt_ip</vt:lpstr>
      <vt:lpstr>wld_az2_host2_sddc_id</vt:lpstr>
      <vt:lpstr>wld_az2_host2_vrms_ip</vt:lpstr>
      <vt:lpstr>wld_az2_host3_fqdn</vt:lpstr>
      <vt:lpstr>wld_az2_host3_hostname</vt:lpstr>
      <vt:lpstr>wld_az2_host3_mgmt_ip</vt:lpstr>
      <vt:lpstr>wld_az2_host3_sddc_id</vt:lpstr>
      <vt:lpstr>wld_az2_host3_vrms_ip</vt:lpstr>
      <vt:lpstr>wld_az2_host4_fqdn</vt:lpstr>
      <vt:lpstr>wld_az2_host4_hostname</vt:lpstr>
      <vt:lpstr>wld_az2_host4_mgmt_ip</vt:lpstr>
      <vt:lpstr>wld_az2_host4_sddc_id</vt:lpstr>
      <vt:lpstr>wld_az2_host4_vrms_ip</vt:lpstr>
      <vt:lpstr>wld_az2_host5_fqdn</vt:lpstr>
      <vt:lpstr>wld_az2_host5_hostname</vt:lpstr>
      <vt:lpstr>wld_az2_host5_mgmt_ip</vt:lpstr>
      <vt:lpstr>wld_az2_host5_vrms_ip</vt:lpstr>
      <vt:lpstr>wld_az2_host6_fqdn</vt:lpstr>
      <vt:lpstr>wld_az2_host6_hostname</vt:lpstr>
      <vt:lpstr>wld_az2_host6_mgmt_ip</vt:lpstr>
      <vt:lpstr>wld_az2_host6_vrms_ip</vt:lpstr>
      <vt:lpstr>wld_az2_host7_fqdn</vt:lpstr>
      <vt:lpstr>wld_az2_host7_hostname</vt:lpstr>
      <vt:lpstr>wld_az2_host7_mgmt_ip</vt:lpstr>
      <vt:lpstr>wld_az2_host7_vrms_ip</vt:lpstr>
      <vt:lpstr>wld_az2_host8_fqdn</vt:lpstr>
      <vt:lpstr>wld_az2_host8_hostname</vt:lpstr>
      <vt:lpstr>wld_az2_host8_mgmt_ip</vt:lpstr>
      <vt:lpstr>wld_az2_host8_vrms_ip</vt:lpstr>
      <vt:lpstr>wld_az2_host9_fqdn</vt:lpstr>
      <vt:lpstr>wld_az2_host9_hostname</vt:lpstr>
      <vt:lpstr>wld_az2_host9_mgmt_ip</vt:lpstr>
      <vt:lpstr>wld_az2_host9_vrms_ip</vt:lpstr>
      <vt:lpstr>wld_az2_mgmt_cidr</vt:lpstr>
      <vt:lpstr>wld_az2_mgmt_gateway_ip</vt:lpstr>
      <vt:lpstr>wld_az2_mgmt_mask</vt:lpstr>
      <vt:lpstr>wld_az2_mgmt_mtu</vt:lpstr>
      <vt:lpstr>wld_az2_mgmt_network</vt:lpstr>
      <vt:lpstr>wld_az2_mgmt_vlan</vt:lpstr>
      <vt:lpstr>wld_az2_pool_name</vt:lpstr>
      <vt:lpstr>wld_az2_principal_storage_cidr</vt:lpstr>
      <vt:lpstr>wld_az2_principal_storage_gateway_ip</vt:lpstr>
      <vt:lpstr>wld_az2_principal_storage_mask</vt:lpstr>
      <vt:lpstr>wld_az2_principal_storage_mtu</vt:lpstr>
      <vt:lpstr>wld_az2_principal_storage_network</vt:lpstr>
      <vt:lpstr>wld_az2_principal_storage_pool_end_ip</vt:lpstr>
      <vt:lpstr>wld_az2_principal_storage_pool_start_ip</vt:lpstr>
      <vt:lpstr>wld_az2_principal_storage_vlan</vt:lpstr>
      <vt:lpstr>wld_az2_reuse_vcf_networkpool_chosen</vt:lpstr>
      <vt:lpstr>wld_az2_rtep_overlay_cidr</vt:lpstr>
      <vt:lpstr>wld_az2_rtep_overlay_gateway_ip</vt:lpstr>
      <vt:lpstr>wld_az2_rtep_overlay_mask</vt:lpstr>
      <vt:lpstr>wld_az2_rtep_overlay_mtu</vt:lpstr>
      <vt:lpstr>wld_az2_rtep_overlay_network</vt:lpstr>
      <vt:lpstr>wld_az2_rtep_overlay_pg</vt:lpstr>
      <vt:lpstr>wld_az2_rtep_overlay_vlan</vt:lpstr>
      <vt:lpstr>wld_az2_secondary_storage_cidr</vt:lpstr>
      <vt:lpstr>wld_az2_secondary_storage_gateway_ip</vt:lpstr>
      <vt:lpstr>wld_az2_secondary_storage_mask</vt:lpstr>
      <vt:lpstr>wld_az2_secondary_storage_mtu</vt:lpstr>
      <vt:lpstr>wld_az2_secondary_storage_network</vt:lpstr>
      <vt:lpstr>wld_az2_secondary_storage_pool_end_ip</vt:lpstr>
      <vt:lpstr>wld_az2_secondary_storage_pool_start_ip</vt:lpstr>
      <vt:lpstr>wld_az2_secondary_storage_vlan</vt:lpstr>
      <vt:lpstr>wld_az2_storage_cluster_gateway_ip</vt:lpstr>
      <vt:lpstr>wld_az2_storage_cluster_mask</vt:lpstr>
      <vt:lpstr>wld_az2_storage_cluster_mtu</vt:lpstr>
      <vt:lpstr>wld_az2_storage_cluster_network</vt:lpstr>
      <vt:lpstr>wld_az2_storage_cluster_pool_end_ip</vt:lpstr>
      <vt:lpstr>wld_az2_storage_cluster_pool_start_ip</vt:lpstr>
      <vt:lpstr>wld_az2_storage_cluster_vlan</vt:lpstr>
      <vt:lpstr>wld_az2_tor1_peer_asn</vt:lpstr>
      <vt:lpstr>wld_az2_tor1_peer_bgp_password</vt:lpstr>
      <vt:lpstr>wld_az2_tor1_peer_ip</vt:lpstr>
      <vt:lpstr>wld_az2_tor2_peer_asn</vt:lpstr>
      <vt:lpstr>wld_az2_tor2_peer_bgp_password</vt:lpstr>
      <vt:lpstr>wld_az2_tor2_peer_ip</vt:lpstr>
      <vt:lpstr>wld_az2_uplink01_cidr</vt:lpstr>
      <vt:lpstr>wld_az2_uplink01_gateway_ip</vt:lpstr>
      <vt:lpstr>wld_az2_uplink01_mask</vt:lpstr>
      <vt:lpstr>wld_az2_uplink01_mtu</vt:lpstr>
      <vt:lpstr>wld_az2_uplink01_network</vt:lpstr>
      <vt:lpstr>wld_az2_uplink01_vlan</vt:lpstr>
      <vt:lpstr>wld_az2_uplink02_cidr</vt:lpstr>
      <vt:lpstr>wld_az2_uplink02_gateway_ip</vt:lpstr>
      <vt:lpstr>wld_az2_uplink02_mask</vt:lpstr>
      <vt:lpstr>wld_az2_uplink02_mtu</vt:lpstr>
      <vt:lpstr>wld_az2_uplink02_network</vt:lpstr>
      <vt:lpstr>wld_az2_uplink02_vlan</vt:lpstr>
      <vt:lpstr>wld_az2_vm_cidr</vt:lpstr>
      <vt:lpstr>wld_az2_vm_gateway_ip</vt:lpstr>
      <vt:lpstr>wld_az2_vm_mtu</vt:lpstr>
      <vt:lpstr>wld_az2_vm_vlan</vt:lpstr>
      <vt:lpstr>wld_az2_vmotion_cidr</vt:lpstr>
      <vt:lpstr>wld_az2_vmotion_gateway_ip</vt:lpstr>
      <vt:lpstr>wld_az2_vmotion_mask</vt:lpstr>
      <vt:lpstr>wld_az2_vmotion_mtu</vt:lpstr>
      <vt:lpstr>wld_az2_vmotion_network</vt:lpstr>
      <vt:lpstr>wld_az2_vmotion_pool_end_ip</vt:lpstr>
      <vt:lpstr>wld_az2_vmotion_pool_start_ip</vt:lpstr>
      <vt:lpstr>wld_az2_vmotion_vlan</vt:lpstr>
      <vt:lpstr>wld_az2_vrms_cidr</vt:lpstr>
      <vt:lpstr>wld_az2_vrms_gateway_ip</vt:lpstr>
      <vt:lpstr>wld_az2_vrms_mask</vt:lpstr>
      <vt:lpstr>wld_az2_vrms_mtu</vt:lpstr>
      <vt:lpstr>wld_az2_vrms_network</vt:lpstr>
      <vt:lpstr>wld_az2_vrms_vlan</vt:lpstr>
      <vt:lpstr>wld_bf_nsx_appliance_size_chosen</vt:lpstr>
      <vt:lpstr>wld_bf_nsx_create_passwords_chosen</vt:lpstr>
      <vt:lpstr>wld_bf_nsx_existing_chosen</vt:lpstr>
      <vt:lpstr>wld_bf_nsx_ha_mode_chosen</vt:lpstr>
      <vt:lpstr>wld_bf_nsx_join_manager_chosen</vt:lpstr>
      <vt:lpstr>wld_bf_nsxt_admin_password</vt:lpstr>
      <vt:lpstr>wld_bf_nsxt_audit_password</vt:lpstr>
      <vt:lpstr>wld_bf_nsxt_configure_overlay_on_mgmt_pg_chosen</vt:lpstr>
      <vt:lpstr>wld_bf_nsxt_enable_edge_sync_chosen</vt:lpstr>
      <vt:lpstr>wld_bf_nsxt_mgra_fqdn</vt:lpstr>
      <vt:lpstr>wld_bf_nsxt_mgrb_fqdn</vt:lpstr>
      <vt:lpstr>wld_bf_nsxt_mgrc_fqdn</vt:lpstr>
      <vt:lpstr>wld_bf_nsxt_root_password</vt:lpstr>
      <vt:lpstr>wld_bf_nsxt_vip_fqdn</vt:lpstr>
      <vt:lpstr>wld_bf_sddc_domain</vt:lpstr>
      <vt:lpstr>wld_bf_vc_fqdn</vt:lpstr>
      <vt:lpstr>wld_bf_vc_root_password</vt:lpstr>
      <vt:lpstr>wld_bf_vc_sso_password</vt:lpstr>
      <vt:lpstr>wld_bf_vc_sso_username</vt:lpstr>
      <vt:lpstr>wld_bf_vcenter_type_chosen</vt:lpstr>
      <vt:lpstr>wld_bgp_chosen</vt:lpstr>
      <vt:lpstr>wld_bgp_result</vt:lpstr>
      <vt:lpstr>wld_centralized_connectivity_chosen</vt:lpstr>
      <vt:lpstr>wld_cl01_az1_mgmt_lbt_chosen</vt:lpstr>
      <vt:lpstr>wld_cl01_az1_mgmt_pg</vt:lpstr>
      <vt:lpstr>wld_cl01_az1_mgmt_uplink1_chosen</vt:lpstr>
      <vt:lpstr>wld_cl01_az1_mgmt_uplink2_chosen</vt:lpstr>
      <vt:lpstr>wld_cl01_az1_mgmt_vm_lbt_chosen</vt:lpstr>
      <vt:lpstr>wld_cl01_az1_mgmt_vm_pg</vt:lpstr>
      <vt:lpstr>wld_cl01_az1_mgmt_vm_uplink1_chosen</vt:lpstr>
      <vt:lpstr>wld_cl01_az1_mgmt_vm_uplink2_chosen</vt:lpstr>
      <vt:lpstr>wld_cl01_az1_nsx_lbt_chosen</vt:lpstr>
      <vt:lpstr>wld_cl01_az1_nsx_uplink_count</vt:lpstr>
      <vt:lpstr>wld_cl01_az1_nsx_uplink1_chosen</vt:lpstr>
      <vt:lpstr>wld_cl01_az1_nsx_uplink2_chosen</vt:lpstr>
      <vt:lpstr>wld_cl01_az1_principal_storage_pg</vt:lpstr>
      <vt:lpstr>wld_cl01_az1_uplink01_pg</vt:lpstr>
      <vt:lpstr>wld_cl01_az1_uplink02_pg</vt:lpstr>
      <vt:lpstr>wld_cl01_az1_vm_pg</vt:lpstr>
      <vt:lpstr>wld_cl01_az1_vmotion_lbt_chosen</vt:lpstr>
      <vt:lpstr>wld_cl01_az1_vmotion_pg</vt:lpstr>
      <vt:lpstr>wld_cl01_az1_vmotion_uplink1_chosen</vt:lpstr>
      <vt:lpstr>wld_cl01_az1_vmotion_uplink2_chosen</vt:lpstr>
      <vt:lpstr>wld_cl01_az1_vsan_lbt_chosen</vt:lpstr>
      <vt:lpstr>wld_cl01_az1_vsan_storage_client_lbt_chosen</vt:lpstr>
      <vt:lpstr>wld_cl01_az1_vsan_storage_client_pg</vt:lpstr>
      <vt:lpstr>wld_cl01_az1_vsan_storage_client_uplink1_chosen</vt:lpstr>
      <vt:lpstr>wld_cl01_az1_vsan_storage_client_uplink2_chosen</vt:lpstr>
      <vt:lpstr>wld_cl01_az1_vsan_uplink1_chosen</vt:lpstr>
      <vt:lpstr>wld_cl01_az1_vsan_uplink2_chosen</vt:lpstr>
      <vt:lpstr>wld_cl01_az2_mgmt_pg</vt:lpstr>
      <vt:lpstr>wld_cl01_az2_principal_storage_pg</vt:lpstr>
      <vt:lpstr>wld_cl01_az2_uplink01_pg</vt:lpstr>
      <vt:lpstr>wld_cl01_az2_uplink02_pg</vt:lpstr>
      <vt:lpstr>wld_cl01_az2_vm_pg</vt:lpstr>
      <vt:lpstr>wld_cl01_az2_vmotion_pg</vt:lpstr>
      <vt:lpstr>wld_cl01_cluster</vt:lpstr>
      <vt:lpstr>wld_cl01_cluster_sddc_id</vt:lpstr>
      <vt:lpstr>wld_cl01_cluster_zn_name</vt:lpstr>
      <vt:lpstr>wld_cl01_evc_mode</vt:lpstr>
      <vt:lpstr>wld_cl01_image_name</vt:lpstr>
      <vt:lpstr>wld_cl01_nfs_datastore_name</vt:lpstr>
      <vt:lpstr>wld_cl01_nfs_server_address</vt:lpstr>
      <vt:lpstr>wld_cl01_nfs_share_path</vt:lpstr>
      <vt:lpstr>wld_cl01_nsxt_deployent_type_chosen</vt:lpstr>
      <vt:lpstr>wld_cl01_supervisor_control_plane_ip_range</vt:lpstr>
      <vt:lpstr>wld_cl01_supervisor_dns</vt:lpstr>
      <vt:lpstr>wld_cl01_supervisor_name</vt:lpstr>
      <vt:lpstr>wld_cl01_supervisor_nsx_project</vt:lpstr>
      <vt:lpstr>wld_cl01_supervisor_ntp</vt:lpstr>
      <vt:lpstr>wld_cl01_supervisor_private_transit_gateway_cidr</vt:lpstr>
      <vt:lpstr>wld_cl01_supervisor_service_cidr</vt:lpstr>
      <vt:lpstr>wld_cl01_supervisor_use_mgmt_vmk_chosen</vt:lpstr>
      <vt:lpstr>wld_cl01_supervisor_vpc_profile</vt:lpstr>
      <vt:lpstr>wld_cl01_vds_copy_profile_chosen</vt:lpstr>
      <vt:lpstr>wld_cl01_vds_name</vt:lpstr>
      <vt:lpstr>wld_cl01_vds_profile_chosen</vt:lpstr>
      <vt:lpstr>wld_cl01_vds_standard_preconfigured_profiles</vt:lpstr>
      <vt:lpstr>wld_cl01_vds_vsanmax_preconfigured_profiles</vt:lpstr>
      <vt:lpstr>wld_cl01_vds01_lacp_mode_chosen</vt:lpstr>
      <vt:lpstr>wld_cl01_vds01_lacp_timeout_chosen</vt:lpstr>
      <vt:lpstr>wld_cl01_vds01_lag_lbt_chosen</vt:lpstr>
      <vt:lpstr>wld_cl01_vds01_lag_name</vt:lpstr>
      <vt:lpstr>wld_cl01_vds01_link_type_chosen</vt:lpstr>
      <vt:lpstr>wld_cl01_vds01_mtu</vt:lpstr>
      <vt:lpstr>wld_cl01_vds01_name</vt:lpstr>
      <vt:lpstr>wld_cl01_vds01_pnics</vt:lpstr>
      <vt:lpstr>wld_cl01_vds01_traffic_type</vt:lpstr>
      <vt:lpstr>wld_cl01_vds01_uplink_count</vt:lpstr>
      <vt:lpstr>wld_cl01_vds02_lacp_mode_chosen</vt:lpstr>
      <vt:lpstr>wld_cl01_vds02_lacp_timeout_chosen</vt:lpstr>
      <vt:lpstr>wld_cl01_vds02_lag_lbt_chosen</vt:lpstr>
      <vt:lpstr>wld_cl01_vds02_lag_name</vt:lpstr>
      <vt:lpstr>wld_cl01_vds02_link_type_chosen</vt:lpstr>
      <vt:lpstr>wld_cl01_vds02_mtu</vt:lpstr>
      <vt:lpstr>wld_cl01_vds02_name</vt:lpstr>
      <vt:lpstr>wld_cl01_vds02_pnics</vt:lpstr>
      <vt:lpstr>wld_cl01_vds02_traffic_type</vt:lpstr>
      <vt:lpstr>wld_cl01_vds02_uplink_count</vt:lpstr>
      <vt:lpstr>wld_cl01_vds03_lacp_mode_chosen</vt:lpstr>
      <vt:lpstr>wld_cl01_vds03_lacp_timeout_chosen</vt:lpstr>
      <vt:lpstr>wld_cl01_vds03_lag_lbt_chosen</vt:lpstr>
      <vt:lpstr>wld_cl01_vds03_lag_name</vt:lpstr>
      <vt:lpstr>wld_cl01_vds03_link_type_chosen</vt:lpstr>
      <vt:lpstr>wld_cl01_vds03_mtu</vt:lpstr>
      <vt:lpstr>wld_cl01_vds03_name</vt:lpstr>
      <vt:lpstr>wld_cl01_vds03_pnics</vt:lpstr>
      <vt:lpstr>wld_cl01_vds03_traffic_type</vt:lpstr>
      <vt:lpstr>wld_cl01_vds03_uplink_count</vt:lpstr>
      <vt:lpstr>wld_cl01_vmfs_datastore_name</vt:lpstr>
      <vt:lpstr>wld_cl01_vsan_client_network</vt:lpstr>
      <vt:lpstr>wld_cl01_vsan_datastore</vt:lpstr>
      <vt:lpstr>wld_cl01_vsan_dedupe_compression_chosen</vt:lpstr>
      <vt:lpstr>wld_cl01_vsan_dit_chosen</vt:lpstr>
      <vt:lpstr>wld_cl01_vsan_dit_rekey_type_chosen</vt:lpstr>
      <vt:lpstr>wld_cl01_vsan_ftt_chosen</vt:lpstr>
      <vt:lpstr>wld_cluster_compute_edge</vt:lpstr>
      <vt:lpstr>wld_cluster_compute_only</vt:lpstr>
      <vt:lpstr>wld_cluster_edge</vt:lpstr>
      <vt:lpstr>wld_compute_hosts_per_rack</vt:lpstr>
      <vt:lpstr>wld_compute_hosts_per_rack_chosen</vt:lpstr>
      <vt:lpstr>wld_compute_hosts_per_rack_result</vt:lpstr>
      <vt:lpstr>wld_compute_total_number_hosts</vt:lpstr>
      <vt:lpstr>wld_datacenter</vt:lpstr>
      <vt:lpstr>wld_dedicated_edge_cluster_chosen_exclude</vt:lpstr>
      <vt:lpstr>wld_dedicated_edge_cluster_chosen_include</vt:lpstr>
      <vt:lpstr>wld_domain_chosen</vt:lpstr>
      <vt:lpstr>wld_domain_deployment_dual_stack_chosen</vt:lpstr>
      <vt:lpstr>wld_domain_deployment_type</vt:lpstr>
      <vt:lpstr>wld_domain_number_chosen</vt:lpstr>
      <vt:lpstr>wld_domain_password_creation_chosen</vt:lpstr>
      <vt:lpstr>wld_domain_result</vt:lpstr>
      <vt:lpstr>wld_dpg_separation_chosen</vt:lpstr>
      <vt:lpstr>wld_dpg_separation_result</vt:lpstr>
      <vt:lpstr>wld_ec_api_chosen</vt:lpstr>
      <vt:lpstr>wld_ec_formfactor_chosen</vt:lpstr>
      <vt:lpstr>wld_ec_gateway_type</vt:lpstr>
      <vt:lpstr>wld_ec_ip_assignment_chosen</vt:lpstr>
      <vt:lpstr>wld_ec_mtu</vt:lpstr>
      <vt:lpstr>wld_ec_name</vt:lpstr>
      <vt:lpstr>wld_ec_rp_name</vt:lpstr>
      <vt:lpstr>wld_ec01_en01_host_group_affinity_rule_name</vt:lpstr>
      <vt:lpstr>wld_ec01_en02_host_group_affinity_rule_name</vt:lpstr>
      <vt:lpstr>wld_ec01_host_group_affinity_rule_chosen</vt:lpstr>
      <vt:lpstr>wld_ec01_use_host_overlay_chosen</vt:lpstr>
      <vt:lpstr>wld_en_asn</vt:lpstr>
      <vt:lpstr>wld_en01_bfd_chosen</vt:lpstr>
      <vt:lpstr>wld_en02_bfd_chosen</vt:lpstr>
      <vt:lpstr>wld_esx_root_password</vt:lpstr>
      <vt:lpstr>wld_esx_root_username</vt:lpstr>
      <vt:lpstr>wld_esxi_external_certs_chosen</vt:lpstr>
      <vt:lpstr>wld_esxi_external_certs_result</vt:lpstr>
      <vt:lpstr>wld_existing_active_nsx_gm</vt:lpstr>
      <vt:lpstr>wld_existing_cross_instance_t0_name</vt:lpstr>
      <vt:lpstr>wld_gateway_routing_type_chosen</vt:lpstr>
      <vt:lpstr>wld_host_overlay_addressing_chosen</vt:lpstr>
      <vt:lpstr>wld_iaas_chosen</vt:lpstr>
      <vt:lpstr>wld_iaas_result</vt:lpstr>
      <vt:lpstr>wld_iaas_service_chosen</vt:lpstr>
      <vt:lpstr>wld_multi_rack_count_chosen</vt:lpstr>
      <vt:lpstr>wld_multi_rack_count_result</vt:lpstr>
      <vt:lpstr>wld_multirack_calc</vt:lpstr>
      <vt:lpstr>wld_multirack_result</vt:lpstr>
      <vt:lpstr>wld_nsx_default_operation_mode_chosen</vt:lpstr>
      <vt:lpstr>wld_nsx_ha_mode_chosen</vt:lpstr>
      <vt:lpstr>wld_nsx_operation_mode_chosen</vt:lpstr>
      <vt:lpstr>wld_nsx_overlay_transport_zone_chosen</vt:lpstr>
      <vt:lpstr>wld_nsx_vlan_transport_zone_chosen</vt:lpstr>
      <vt:lpstr>wld_nsx_vlan_transport_zone_name</vt:lpstr>
      <vt:lpstr>wld_nsxt_appliance_size_chosen</vt:lpstr>
      <vt:lpstr>wld_nsxt_en_admin_password</vt:lpstr>
      <vt:lpstr>wld_nsxt_en_root_password</vt:lpstr>
      <vt:lpstr>wld_nsxt_federation_chosen</vt:lpstr>
      <vt:lpstr>wld_nsxt_federation_global_manager_name</vt:lpstr>
      <vt:lpstr>wld_nsxt_federation_location_name</vt:lpstr>
      <vt:lpstr>wld_nsxt_federation_result</vt:lpstr>
      <vt:lpstr>wld_nsxt_global_mgr_anti_affinity_rule_name</vt:lpstr>
      <vt:lpstr>wld_nsxt_global_mgr_certificate_id</vt:lpstr>
      <vt:lpstr>wld_nsxt_global_mgr_cluster_id</vt:lpstr>
      <vt:lpstr>wld_nsxt_global_mgr_vmca_signed_thumbprint</vt:lpstr>
      <vt:lpstr>wld_nsxt_global_mgra_fqdn</vt:lpstr>
      <vt:lpstr>wld_nsxt_global_mgra_hostname</vt:lpstr>
      <vt:lpstr>wld_nsxt_global_mgra_ip</vt:lpstr>
      <vt:lpstr>wld_nsxt_global_mgrb_fqdn</vt:lpstr>
      <vt:lpstr>wld_nsxt_global_mgrb_hostname</vt:lpstr>
      <vt:lpstr>wld_nsxt_global_mgrb_ip</vt:lpstr>
      <vt:lpstr>wld_nsxt_global_mgrc_fqdn</vt:lpstr>
      <vt:lpstr>wld_nsxt_global_mgrc_hostname</vt:lpstr>
      <vt:lpstr>wld_nsxt_global_mgrc_ip</vt:lpstr>
      <vt:lpstr>wld_nsxt_gm_admin_password</vt:lpstr>
      <vt:lpstr>wld_nsxt_gm_audit_password</vt:lpstr>
      <vt:lpstr>wld_nsxt_gm_fingerprint</vt:lpstr>
      <vt:lpstr>wld_nsxt_gm_hostname</vt:lpstr>
      <vt:lpstr>wld_nsxt_gm_root_password</vt:lpstr>
      <vt:lpstr>wld_nsxt_gm_vip_fqdn</vt:lpstr>
      <vt:lpstr>wld_nsxt_gm_vip_ip</vt:lpstr>
      <vt:lpstr>wld_nsxt_hostname</vt:lpstr>
      <vt:lpstr>wld_nsxt_lm_admin_password</vt:lpstr>
      <vt:lpstr>wld_nsxt_lm_audit_password</vt:lpstr>
      <vt:lpstr>wld_nsxt_lm_fingerprint</vt:lpstr>
      <vt:lpstr>wld_nsxt_mgra_fqdn</vt:lpstr>
      <vt:lpstr>wld_nsxt_mgra_hostname</vt:lpstr>
      <vt:lpstr>wld_nsxt_mgra_ip</vt:lpstr>
      <vt:lpstr>wld_nsxt_mgrb_fqdn</vt:lpstr>
      <vt:lpstr>wld_nsxt_mgrb_hostname</vt:lpstr>
      <vt:lpstr>wld_nsxt_mgrb_ip</vt:lpstr>
      <vt:lpstr>wld_nsxt_mgrc_fqdn</vt:lpstr>
      <vt:lpstr>wld_nsxt_mgrc_hostname</vt:lpstr>
      <vt:lpstr>wld_nsxt_mgrc_ip</vt:lpstr>
      <vt:lpstr>wld_nsxt_vip_fqdn</vt:lpstr>
      <vt:lpstr>wld_nsxt_vip_ip</vt:lpstr>
      <vt:lpstr>wld_nsxt_xreg_t1_name</vt:lpstr>
      <vt:lpstr>wld_principal_storage_chosen</vt:lpstr>
      <vt:lpstr>wld_principal_storage_result</vt:lpstr>
      <vt:lpstr>wld_rack2_en_asn</vt:lpstr>
      <vt:lpstr>wld_rack3_en_asn</vt:lpstr>
      <vt:lpstr>wld_rack4_en_asn</vt:lpstr>
      <vt:lpstr>wld_rack5_en_asn</vt:lpstr>
      <vt:lpstr>wld_rack6_en_asn</vt:lpstr>
      <vt:lpstr>wld_rack7_en_asn</vt:lpstr>
      <vt:lpstr>wld_rack8_en_asn</vt:lpstr>
      <vt:lpstr>wld_rtep_ip_pool_name</vt:lpstr>
      <vt:lpstr>wld_rtep_overlay_pool_end_ip</vt:lpstr>
      <vt:lpstr>wld_rtep_overlay_pool_start_ip</vt:lpstr>
      <vt:lpstr>wld_rwr_az1_vrms_gateway_ip</vt:lpstr>
      <vt:lpstr>wld_rwr_az1_vrms_gateway_mask</vt:lpstr>
      <vt:lpstr>wld_rwr_cl02_cluster</vt:lpstr>
      <vt:lpstr>wld_rwr_recovery_site_az1_vrms_cidr</vt:lpstr>
      <vt:lpstr>wld_rwr_recovery_site_vc_fqdn</vt:lpstr>
      <vt:lpstr>wld_rwr_recoverysite_fd</vt:lpstr>
      <vt:lpstr>wld_rwr_recoverysite_prefix</vt:lpstr>
      <vt:lpstr>wld_rwr_vc_fqdn</vt:lpstr>
      <vt:lpstr>wld_rwr_vcfops_vlsr_username</vt:lpstr>
      <vt:lpstr>wld_rwr_vcfops_vr_username</vt:lpstr>
      <vt:lpstr>wld_sddc_domain</vt:lpstr>
      <vt:lpstr>wld_secondary_storage_chosen</vt:lpstr>
      <vt:lpstr>wld_secondary_storage_result</vt:lpstr>
      <vt:lpstr>wld_signed_certs_chosen</vt:lpstr>
      <vt:lpstr>wld_signed_certs_result</vt:lpstr>
      <vt:lpstr>wld_srm_admin_email</vt:lpstr>
      <vt:lpstr>wld_srm_admin_password</vt:lpstr>
      <vt:lpstr>wld_srm_database_password</vt:lpstr>
      <vt:lpstr>wld_srm_fqdn</vt:lpstr>
      <vt:lpstr>wld_srm_hostname</vt:lpstr>
      <vt:lpstr>wld_srm_ip</vt:lpstr>
      <vt:lpstr>wld_srm_p12_password</vt:lpstr>
      <vt:lpstr>wld_srm_recovery_vcenter_fqdn</vt:lpstr>
      <vt:lpstr>wld_srm_recovery_vcenter_password</vt:lpstr>
      <vt:lpstr>wld_srm_recovery_vcenter_username</vt:lpstr>
      <vt:lpstr>wld_srm_root_password</vt:lpstr>
      <vt:lpstr>wld_srm_site_name</vt:lpstr>
      <vt:lpstr>wld_srm_sso_domain_membership</vt:lpstr>
      <vt:lpstr>wld_srm_vm_folder</vt:lpstr>
      <vt:lpstr>wld_srm_vm_size</vt:lpstr>
      <vt:lpstr>wld_sso_domain_administrator</vt:lpstr>
      <vt:lpstr>wld_sso_domain_administrator_password</vt:lpstr>
      <vt:lpstr>wld_sso_domain_name</vt:lpstr>
      <vt:lpstr>wld_stretched_cluster_chosen</vt:lpstr>
      <vt:lpstr>wld_stretched_cluster_result</vt:lpstr>
      <vt:lpstr>wld_supervisor_chosen</vt:lpstr>
      <vt:lpstr>wld_supervisor_result</vt:lpstr>
      <vt:lpstr>wld_supvr_api_server_fqdn</vt:lpstr>
      <vt:lpstr>wld_supvr_cp_storage_policy</vt:lpstr>
      <vt:lpstr>wld_supvr_ctrl_plane_ha_chosen</vt:lpstr>
      <vt:lpstr>wld_supvr_ctrl_plane_size_chosen</vt:lpstr>
      <vt:lpstr>wld_supvr_ed_storage_policy</vt:lpstr>
      <vt:lpstr>wld_supvr_ic_storage_policy</vt:lpstr>
      <vt:lpstr>wld_supvr_ip_address_range</vt:lpstr>
      <vt:lpstr>wld_supvr_ip_mode_chosen</vt:lpstr>
      <vt:lpstr>wld_supvr_location_chosen</vt:lpstr>
      <vt:lpstr>wld_supvr_mgmt_dns_server</vt:lpstr>
      <vt:lpstr>wld_supvr_mgmt_dns_zones</vt:lpstr>
      <vt:lpstr>wld_supvr_mgmt_ntp_server</vt:lpstr>
      <vt:lpstr>wld_supvr_name</vt:lpstr>
      <vt:lpstr>wld_supvr_networking_stack_chosen</vt:lpstr>
      <vt:lpstr>wld_supvr_nsx_project</vt:lpstr>
      <vt:lpstr>wld_supvr_vpc_connectivity_profile</vt:lpstr>
      <vt:lpstr>wld_supvr_vpc_ext_ip_blocks_name</vt:lpstr>
      <vt:lpstr>wld_supvr_vpc_priv_cidr</vt:lpstr>
      <vt:lpstr>wld_supvr_vpc_priv_ip_blocks_name</vt:lpstr>
      <vt:lpstr>wld_supvr_vpc_service_cidr</vt:lpstr>
      <vt:lpstr>wld_supvr_wld_dns_server</vt:lpstr>
      <vt:lpstr>wld_supvr_wld_ntp_server</vt:lpstr>
      <vt:lpstr>wld_supvr_zone_name</vt:lpstr>
      <vt:lpstr>wld_tier0_ha_chosen</vt:lpstr>
      <vt:lpstr>wld_tier0_name</vt:lpstr>
      <vt:lpstr>wld_vc_fqdn</vt:lpstr>
      <vt:lpstr>wld_vc_hostname</vt:lpstr>
      <vt:lpstr>wld_vc_ip</vt:lpstr>
      <vt:lpstr>wld_vcenter_root_password</vt:lpstr>
      <vt:lpstr>wld_vlr_fqdn</vt:lpstr>
      <vt:lpstr>wld_vlr_hostname</vt:lpstr>
      <vt:lpstr>wld_vlr_replication_user</vt:lpstr>
      <vt:lpstr>wld_vna_ip_assignment_address_type_chosen</vt:lpstr>
      <vt:lpstr>wld_vna_ip_assignment_chosen</vt:lpstr>
      <vt:lpstr>wld_vna_rp_name</vt:lpstr>
      <vt:lpstr>wld_vnaa_fqdn</vt:lpstr>
      <vt:lpstr>wld_vnaa_ip</vt:lpstr>
      <vt:lpstr>wld_vnab_fqdn</vt:lpstr>
      <vt:lpstr>wld_vnab_ip</vt:lpstr>
      <vt:lpstr>wld_vpc_ext_ip_blocks</vt:lpstr>
      <vt:lpstr>wld_vpc_ext_ip_blocks_cidr</vt:lpstr>
      <vt:lpstr>wld_vpc_ext_ip_blocks_excluded_ips</vt:lpstr>
      <vt:lpstr>wld_vpc_ext_ip_blocks_name</vt:lpstr>
      <vt:lpstr>wld_vpc_ext_ip_blocks_reserved</vt:lpstr>
      <vt:lpstr>wld_vpc_ext_ip_blocks_visability</vt:lpstr>
      <vt:lpstr>wld_vpc_priv_ip_blocks_excluded_ips</vt:lpstr>
      <vt:lpstr>wld_vpc_priv_ip_blocks_name</vt:lpstr>
      <vt:lpstr>wld_vpc_priv_ip_blocks_reserved</vt:lpstr>
      <vt:lpstr>wld_vpc_priv_ip_blocks_visability</vt:lpstr>
      <vt:lpstr>wld_vpc_transit_gateway_ip_blocks_cidr</vt:lpstr>
      <vt:lpstr>wld_vpc_vna_cluster_name</vt:lpstr>
      <vt:lpstr>wld_vpc_vna_cluster_size_chosen</vt:lpstr>
      <vt:lpstr>wld_vrms_admin_email</vt:lpstr>
      <vt:lpstr>wld_vrms_admin_password</vt:lpstr>
      <vt:lpstr>wld_vrms_fqdn</vt:lpstr>
      <vt:lpstr>wld_vrms_hostname</vt:lpstr>
      <vt:lpstr>wld_vrms_mask</vt:lpstr>
      <vt:lpstr>wld_vrms_mgmt_ip</vt:lpstr>
      <vt:lpstr>wld_vrms_p12_password</vt:lpstr>
      <vt:lpstr>wld_vrms_pg</vt:lpstr>
      <vt:lpstr>wld_vrms_recovery_replication_cidr</vt:lpstr>
      <vt:lpstr>wld_vrms_root_password</vt:lpstr>
      <vt:lpstr>wld_vrms_site_name</vt:lpstr>
      <vt:lpstr>wld_vrms_vm_folder</vt:lpstr>
      <vt:lpstr>wld_vrms_vrms_ip</vt:lpstr>
      <vt:lpstr>wld_vsan_type</vt:lpstr>
      <vt:lpstr>wld_vsan_type_chosen</vt:lpstr>
      <vt:lpstr>wld_witness_az_mgmt_mask</vt:lpstr>
      <vt:lpstr>wld_witness_cluster</vt:lpstr>
      <vt:lpstr>wld_witness_dns1_ip</vt:lpstr>
      <vt:lpstr>wld_witness_dns2_ip</vt:lpstr>
      <vt:lpstr>wld_witness_fqdn</vt:lpstr>
      <vt:lpstr>wld_witness_hostname</vt:lpstr>
      <vt:lpstr>wld_witness_ip</vt:lpstr>
      <vt:lpstr>wld_witness_mgmt_ip</vt:lpstr>
      <vt:lpstr>wld_witness_mgmt_pg</vt:lpstr>
      <vt:lpstr>wld_witness_ntp1_server</vt:lpstr>
      <vt:lpstr>wld_witness_ntp2_server</vt:lpstr>
      <vt:lpstr>wld_witness_root_password</vt:lpstr>
      <vt:lpstr>wld_witness_vc_fqdn</vt:lpstr>
      <vt:lpstr>wld_witness_vm_folder</vt:lpstr>
      <vt:lpstr>wld_witness_vsan_datastore</vt:lpstr>
      <vt:lpstr>wld_witness_zone_vc_fqdn</vt:lpstr>
      <vt:lpstr>wld_witness_zone_vc_hostname</vt:lpstr>
      <vt:lpstr>wld_witness_zone_vc_ip</vt:lpstr>
      <vt:lpstr>wld_witnessaz_gateway_ip</vt:lpstr>
      <vt:lpstr>wld_witnessaz_mgmt_cidr</vt:lpstr>
      <vt:lpstr>wld_witnessaz_mgmt_gateway_ip</vt:lpstr>
      <vt:lpstr>wld_witnessaz_mgmt_mask</vt:lpstr>
      <vt:lpstr>wld_witnessaz_mgmt_mtu</vt:lpstr>
      <vt:lpstr>wld_witnessaz_mgmt_network</vt:lpstr>
      <vt:lpstr>wld_witnessaz_mgmt_vlan</vt:lpstr>
      <vt:lpstr>workload_descriptor</vt:lpstr>
      <vt:lpstr>xreg_vra_admin_password</vt:lpstr>
      <vt:lpstr>xreg_vra_nodea_ip</vt:lpstr>
      <vt:lpstr>xreg_vra_nodeb_ip</vt:lpstr>
      <vt:lpstr>xreg_vra_nodec_ip</vt:lpstr>
      <vt:lpstr>xreg_vra_noded_ip</vt:lpstr>
      <vt:lpstr>xreg_vra_nodee_ip</vt:lpstr>
      <vt:lpstr>xreg_vra_nodef_ip</vt:lpstr>
      <vt:lpstr>xreg_vra_virtual_fqdn</vt:lpstr>
      <vt:lpstr>xreg_vra_virtual_hostname</vt:lpstr>
      <vt:lpstr>xreg_vra_virtual_ip</vt:lpstr>
      <vt:lpstr>xreg_vra_vm_folder</vt:lpstr>
      <vt:lpstr>xreg_vrni_nodea_hostname</vt:lpstr>
      <vt:lpstr>xreg_vrni_nodea_ip</vt:lpstr>
      <vt:lpstr>xreg_vrops_admin_password</vt:lpstr>
      <vt:lpstr>xreg_vrops_collector_fqdn</vt:lpstr>
      <vt:lpstr>xreg_vrops_collector_hostname</vt:lpstr>
      <vt:lpstr>xreg_vrops_collector_ip</vt:lpstr>
      <vt:lpstr>xreg_vrops_collector_root_password</vt:lpstr>
      <vt:lpstr>xreg_vrops_nodea_fqdn</vt:lpstr>
      <vt:lpstr>xreg_vrops_nodea_hostname</vt:lpstr>
      <vt:lpstr>xreg_vrops_nodea_ip</vt:lpstr>
      <vt:lpstr>xreg_vrops_nodeb_fqdn</vt:lpstr>
      <vt:lpstr>xreg_vrops_nodeb_hostname</vt:lpstr>
      <vt:lpstr>xreg_vrops_nodeb_ip</vt:lpstr>
      <vt:lpstr>xreg_vrops_nodec_fqdn</vt:lpstr>
      <vt:lpstr>xreg_vrops_nodec_hostname</vt:lpstr>
      <vt:lpstr>xreg_vrops_nodec_ip</vt:lpstr>
      <vt:lpstr>xreg_vrops_root_password</vt:lpstr>
      <vt:lpstr>xreg_vrops_srm_sso_password</vt:lpstr>
      <vt:lpstr>xreg_vrops_srm_sso_username</vt:lpstr>
      <vt:lpstr>xreg_vrops_virtual_fqdn</vt:lpstr>
      <vt:lpstr>xreg_vrops_virtual_hostname</vt:lpstr>
      <vt:lpstr>xreg_vrops_virtual_ip</vt:lpstr>
      <vt:lpstr>xreg_vrops_vm_folder</vt:lpstr>
      <vt:lpstr>xreg_vrops_vrms_sso_password</vt:lpstr>
      <vt:lpstr>xreg_vrops_vrms_sso_username</vt:lpstr>
      <vt:lpstr>xreg_wsa_vm_folder</vt:lpstr>
      <vt:lpstr>xregion_dns1_ip</vt:lpstr>
      <vt:lpstr>xregion_dns2_ip</vt:lpstr>
      <vt:lpstr>xregion_ntp1_server</vt:lpstr>
      <vt:lpstr>xregion_ntp2_server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Cliff Cahill</cp:lastModifiedBy>
  <cp:revision/>
  <dcterms:created xsi:type="dcterms:W3CDTF">2020-01-21T13:51:29Z</dcterms:created>
  <dcterms:modified xsi:type="dcterms:W3CDTF">2026-06-15T14:35:46Z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0x010100A82EF44E0227C24E85294C0D2197735E</vt:lpwstr>
  </property>
  <property fmtid="{D5CDD505-2E9C-101B-9397-08002B2CF9AE}" pid="3" name="MediaServiceImageTags">
    <vt:lpwstr/>
  </property>
</Properties>
</file>